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Default Extension="fntdata" ContentType="application/x-fontdata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15.xml.rels" ContentType="application/vnd.openxmlformats-package.relationships+xml"/>
  <Override PartName="/xl/worksheets/_rels/sheet2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4.xml.rels" ContentType="application/vnd.openxmlformats-package.relationships+xml"/>
  <Override PartName="/xl/worksheets/_rels/sheet13.xml.rels" ContentType="application/vnd.openxmlformats-package.relationships+xml"/>
  <Override PartName="/xl/worksheets/_rels/sheet5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5.xml" ContentType="application/vnd.openxmlformats-officedocument.spreadsheetml.worksheet+xml"/>
  <Override PartName="/xl/worksheets/sheet8.xml" ContentType="application/vnd.openxmlformats-officedocument.spreadsheetml.worksheet+xml"/>
  <Override PartName="/xl/worksheets/sheet4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xl/drawings/vmlDrawing1.vml" ContentType="application/vnd.openxmlformats-officedocument.vmlDrawing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3.vml" ContentType="application/vnd.openxmlformats-officedocument.vmlDrawing"/>
  <Override PartName="/xl/drawings/drawing2.xml" ContentType="application/vnd.openxmlformats-officedocument.drawing+xml"/>
  <Override PartName="/xl/drawings/vmlDrawing4.vml" ContentType="application/vnd.openxmlformats-officedocument.vmlDrawing"/>
  <Override PartName="/xl/drawings/drawing3.xml" ContentType="application/vnd.openxmlformats-officedocument.drawing+xml"/>
  <Override PartName="/xl/drawings/vmlDrawing2.vml" ContentType="application/vnd.openxmlformats-officedocument.vmlDrawing"/>
  <Override PartName="/xl/comments15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media/image10.png" ContentType="image/png"/>
  <Override PartName="/xl/media/image3.jpeg" ContentType="image/jpeg"/>
  <Override PartName="/xl/media/image6.jpeg" ContentType="image/jpeg"/>
  <Override PartName="/xl/media/image9.png" ContentType="image/png"/>
  <Override PartName="/xl/media/image1.jpeg" ContentType="image/jpeg"/>
  <Override PartName="/xl/media/image4.jpeg" ContentType="image/jpeg"/>
  <Override PartName="/xl/media/image7.png" ContentType="image/png"/>
  <Override PartName="/xl/media/image11.png" ContentType="image/png"/>
  <Override PartName="/xl/media/image2.jpeg" ContentType="image/jpeg"/>
  <Override PartName="/xl/media/image5.jpeg" ContentType="image/jpeg"/>
  <Override PartName="/xl/media/image8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7"/>
  </bookViews>
  <sheets>
    <sheet name="Дилер" sheetId="1" state="visible" r:id="rId3"/>
    <sheet name="Управление" sheetId="2" state="visible" r:id="rId4"/>
    <sheet name="Comfort" sheetId="3" state="visible" r:id="rId5"/>
    <sheet name="Absolut" sheetId="4" state="visible" r:id="rId6"/>
    <sheet name="Termo $" sheetId="5" state="visible" r:id="rId7"/>
    <sheet name="Квартирная" sheetId="6" state="visible" r:id="rId8"/>
    <sheet name="Термо" sheetId="7" state="visible" r:id="rId9"/>
    <sheet name="Конструктивы" sheetId="8" state="visible" r:id="rId10"/>
    <sheet name="Не удалять" sheetId="9" state="hidden" r:id="rId11"/>
    <sheet name="Наружная отделка" sheetId="10" state="visible" r:id="rId12"/>
    <sheet name="Внутренняя отделка" sheetId="11" state="visible" r:id="rId13"/>
    <sheet name="Покраска металла" sheetId="12" state="visible" r:id="rId14"/>
    <sheet name="Плёнки ПВХ" sheetId="13" state="visible" r:id="rId15"/>
    <sheet name="Замки " sheetId="14" state="visible" r:id="rId16"/>
    <sheet name="Цилиндр" sheetId="15" state="visible" r:id="rId17"/>
    <sheet name="Фурнитура" sheetId="16" state="visible" r:id="rId18"/>
    <sheet name="Порог" sheetId="17" state="visible" r:id="rId19"/>
    <sheet name="HPL" sheetId="18" state="visible" r:id="rId20"/>
  </sheets>
  <definedNames>
    <definedName function="false" hidden="false" name="в2" vbProcedure="false">Квартирная!$B$2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104" authorId="0">
      <text>
        <r>
          <rPr>
            <sz val="10"/>
            <rFont val="Arial"/>
            <family val="2"/>
          </rPr>
          <t xml:space="preserve">ZB 855-2_0.25</t>
        </r>
      </text>
    </comment>
    <comment ref="I105" authorId="0">
      <text>
        <r>
          <rPr>
            <sz val="10"/>
            <rFont val="Arial"/>
            <family val="2"/>
          </rPr>
          <t xml:space="preserve">User:
CW 275-3-L_0.25</t>
        </r>
      </text>
    </comment>
    <comment ref="I106" authorId="0">
      <text>
        <r>
          <rPr>
            <sz val="10"/>
            <rFont val="Arial"/>
            <family val="2"/>
          </rPr>
          <t xml:space="preserve">User:
CW 278-SFT-L_0.25</t>
        </r>
      </text>
    </comment>
    <comment ref="I107" authorId="0">
      <text>
        <r>
          <rPr>
            <sz val="10"/>
            <rFont val="Arial"/>
            <family val="2"/>
          </rPr>
          <t xml:space="preserve">User:
CW 274-3-L_0.25</t>
        </r>
      </text>
    </comment>
    <comment ref="I108" authorId="0">
      <text>
        <r>
          <rPr>
            <sz val="10"/>
            <rFont val="Arial"/>
            <family val="2"/>
          </rPr>
          <t xml:space="preserve">User:
LW 674-2A_0.25</t>
        </r>
      </text>
    </comment>
    <comment ref="I109" authorId="0">
      <text>
        <r>
          <rPr>
            <sz val="10"/>
            <rFont val="Arial"/>
            <family val="2"/>
          </rPr>
          <t xml:space="preserve">User:
LW 674-2C_0.25</t>
        </r>
      </text>
    </comment>
    <comment ref="I111" authorId="0">
      <text>
        <r>
          <rPr>
            <sz val="10"/>
            <rFont val="Arial"/>
            <family val="2"/>
          </rPr>
          <t xml:space="preserve">User:
LW 721-2_0.25
</t>
        </r>
      </text>
    </comment>
    <comment ref="I112" authorId="0">
      <text>
        <r>
          <rPr>
            <sz val="10"/>
            <rFont val="Arial"/>
            <family val="2"/>
          </rPr>
          <t xml:space="preserve">User:
LW 727-2_0.25</t>
        </r>
      </text>
    </comment>
    <comment ref="I113" authorId="0">
      <text>
        <r>
          <rPr>
            <sz val="10"/>
            <rFont val="Arial"/>
            <family val="2"/>
          </rPr>
          <t xml:space="preserve">User:
LW 711-2_0.25</t>
        </r>
      </text>
    </comment>
    <comment ref="I114" authorId="0">
      <text>
        <r>
          <rPr>
            <sz val="10"/>
            <rFont val="Arial"/>
            <family val="2"/>
          </rPr>
          <t xml:space="preserve">User:
FRS 1816-2-L_0.25</t>
        </r>
      </text>
    </comment>
    <comment ref="I117" authorId="0">
      <text>
        <r>
          <rPr>
            <sz val="10"/>
            <rFont val="Arial"/>
            <family val="2"/>
          </rPr>
          <t xml:space="preserve">FRS 1833-2-L-0.25</t>
        </r>
      </text>
    </comment>
    <comment ref="I121" authorId="0">
      <text>
        <r>
          <rPr>
            <sz val="10"/>
            <rFont val="Arial"/>
            <family val="2"/>
          </rPr>
          <t xml:space="preserve">User:
FRS 1819-2-L_0.25</t>
        </r>
      </text>
    </comment>
    <comment ref="I122" authorId="0">
      <text>
        <r>
          <rPr>
            <sz val="10"/>
            <rFont val="Arial"/>
            <family val="2"/>
          </rPr>
          <t xml:space="preserve">User:
FRS 823-2-L_0.25</t>
        </r>
      </text>
    </comment>
    <comment ref="I123" authorId="0">
      <text>
        <r>
          <rPr>
            <sz val="10"/>
            <rFont val="Arial"/>
            <family val="2"/>
          </rPr>
          <t xml:space="preserve">User:
LW 666-2_0.25</t>
        </r>
      </text>
    </comment>
    <comment ref="I125" authorId="0">
      <text>
        <r>
          <rPr>
            <sz val="10"/>
            <rFont val="Arial"/>
            <family val="2"/>
          </rPr>
          <t xml:space="preserve">User:
CRM 101-SD-L_0.18</t>
        </r>
      </text>
    </comment>
    <comment ref="I126" authorId="0">
      <text>
        <r>
          <rPr>
            <sz val="10"/>
            <rFont val="Arial"/>
            <family val="2"/>
          </rPr>
          <t xml:space="preserve">User:
CRM 108-SD-L_0.18</t>
        </r>
      </text>
    </comment>
    <comment ref="I127" authorId="0">
      <text>
        <r>
          <rPr>
            <sz val="10"/>
            <rFont val="Arial"/>
            <family val="2"/>
          </rPr>
          <t xml:space="preserve">User:
CRM 105-SD-L_0.18</t>
        </r>
      </text>
    </comment>
    <comment ref="I128" authorId="0">
      <text>
        <r>
          <rPr>
            <sz val="10"/>
            <rFont val="Arial"/>
            <family val="2"/>
          </rPr>
          <t xml:space="preserve">User:
CRM 107-SD-L_0.18</t>
        </r>
      </text>
    </comment>
    <comment ref="I129" authorId="0">
      <text>
        <r>
          <rPr>
            <sz val="10"/>
            <rFont val="Arial"/>
            <family val="2"/>
          </rPr>
          <t xml:space="preserve">User:
CRM 102-SD-L_0.18</t>
        </r>
      </text>
    </comment>
    <comment ref="I130" authorId="0">
      <text>
        <r>
          <rPr>
            <sz val="10"/>
            <rFont val="Arial"/>
            <family val="2"/>
          </rPr>
          <t xml:space="preserve">User:
CRM 106-SD-L_0.18</t>
        </r>
      </text>
    </comment>
    <comment ref="I131" authorId="0">
      <text>
        <r>
          <rPr>
            <sz val="10"/>
            <rFont val="Arial"/>
            <family val="2"/>
          </rPr>
          <t xml:space="preserve">User:
CRM 103-SD-L_0.18</t>
        </r>
      </text>
    </comment>
    <comment ref="I132" authorId="0">
      <text>
        <r>
          <rPr>
            <sz val="10"/>
            <rFont val="Arial"/>
            <family val="2"/>
          </rPr>
          <t xml:space="preserve">User:
ZB 886-2_0.25</t>
        </r>
      </text>
    </comment>
    <comment ref="I133" authorId="0">
      <text>
        <r>
          <rPr>
            <sz val="10"/>
            <rFont val="Arial"/>
            <family val="2"/>
          </rPr>
          <t xml:space="preserve">User:
Greenwood ZB 883-2_0.25</t>
        </r>
      </text>
    </comment>
    <comment ref="I134" authorId="0">
      <text>
        <r>
          <rPr>
            <sz val="10"/>
            <rFont val="Arial"/>
            <family val="2"/>
          </rPr>
          <t xml:space="preserve">User:
ZB 885-2_0.25</t>
        </r>
      </text>
    </comment>
    <comment ref="I135" authorId="0">
      <text>
        <r>
          <rPr>
            <sz val="10"/>
            <rFont val="Arial"/>
            <family val="2"/>
          </rPr>
          <t xml:space="preserve">User:
Greenwood ZB 880-2_0.25</t>
        </r>
      </text>
    </comment>
    <comment ref="I136" authorId="0">
      <text>
        <r>
          <rPr>
            <sz val="10"/>
            <rFont val="Arial"/>
            <family val="2"/>
          </rPr>
          <t xml:space="preserve">FRS 1827-2-L_0.25
</t>
        </r>
      </text>
    </comment>
    <comment ref="I139" authorId="0">
      <text>
        <r>
          <rPr>
            <sz val="10"/>
            <rFont val="Arial"/>
            <family val="2"/>
          </rPr>
          <t xml:space="preserve">User:
CW 297-2_0.25</t>
        </r>
      </text>
    </comment>
    <comment ref="I140" authorId="0">
      <text>
        <r>
          <rPr>
            <sz val="10"/>
            <rFont val="Arial"/>
            <family val="2"/>
          </rPr>
          <t xml:space="preserve">User:
CW 296-2_0.25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8" authorId="0">
      <text>
        <r>
          <rPr>
            <sz val="10"/>
            <rFont val="Arial"/>
            <family val="2"/>
          </rPr>
          <t xml:space="preserve">User:
LW 721-2_0.25
</t>
        </r>
      </text>
    </comment>
    <comment ref="B22" authorId="0">
      <text>
        <r>
          <rPr>
            <sz val="10"/>
            <rFont val="Arial"/>
            <family val="2"/>
          </rPr>
          <t xml:space="preserve">User:
CRM 108-SD-L_0.18</t>
        </r>
      </text>
    </comment>
    <comment ref="C8" authorId="0">
      <text>
        <r>
          <rPr>
            <sz val="10"/>
            <rFont val="Arial"/>
            <family val="2"/>
          </rPr>
          <t xml:space="preserve">User:
LW 727-2_0.25</t>
        </r>
      </text>
    </comment>
    <comment ref="C18" authorId="0">
      <text>
        <r>
          <rPr>
            <sz val="10"/>
            <rFont val="Arial"/>
            <family val="2"/>
          </rPr>
          <t xml:space="preserve">User:
CRM 101-SD-L_0.18</t>
        </r>
      </text>
    </comment>
    <comment ref="C22" authorId="0">
      <text>
        <r>
          <rPr>
            <sz val="10"/>
            <rFont val="Arial"/>
            <family val="2"/>
          </rPr>
          <t xml:space="preserve">User:
ZB 886-2_0.25</t>
        </r>
      </text>
    </comment>
    <comment ref="D8" authorId="0">
      <text>
        <r>
          <rPr>
            <sz val="10"/>
            <rFont val="Arial"/>
            <family val="2"/>
          </rPr>
          <t xml:space="preserve">User:
LW 674-2A_0.25</t>
        </r>
      </text>
    </comment>
    <comment ref="D18" authorId="0">
      <text>
        <r>
          <rPr>
            <sz val="10"/>
            <rFont val="Arial"/>
            <family val="2"/>
          </rPr>
          <t xml:space="preserve">User:
Greenwood ZB 880-2_0.25</t>
        </r>
      </text>
    </comment>
    <comment ref="D22" authorId="0">
      <text>
        <r>
          <rPr>
            <sz val="10"/>
            <rFont val="Arial"/>
            <family val="2"/>
          </rPr>
          <t xml:space="preserve">User:
CRM 107-SD-L_0.18</t>
        </r>
      </text>
    </comment>
    <comment ref="E8" authorId="0">
      <text>
        <r>
          <rPr>
            <sz val="10"/>
            <rFont val="Arial"/>
            <family val="2"/>
          </rPr>
          <t xml:space="preserve">User:
LW 674-2C_0.25</t>
        </r>
      </text>
    </comment>
    <comment ref="E22" authorId="0">
      <text>
        <r>
          <rPr>
            <sz val="10"/>
            <rFont val="Arial"/>
            <family val="2"/>
          </rPr>
          <t xml:space="preserve">User:
FRS 1819-2-L_0.25</t>
        </r>
      </text>
    </comment>
    <comment ref="F8" authorId="0">
      <text>
        <r>
          <rPr>
            <sz val="10"/>
            <rFont val="Arial"/>
            <family val="2"/>
          </rPr>
          <t xml:space="preserve">User:
CW 274-3-L_0.25</t>
        </r>
      </text>
    </comment>
    <comment ref="F18" authorId="0">
      <text>
        <r>
          <rPr>
            <sz val="10"/>
            <rFont val="Arial"/>
            <family val="2"/>
          </rPr>
          <t xml:space="preserve">User:
Greenwood ZB 883-2_0.25</t>
        </r>
      </text>
    </comment>
    <comment ref="F22" authorId="0">
      <text>
        <r>
          <rPr>
            <sz val="10"/>
            <rFont val="Arial"/>
            <family val="2"/>
          </rPr>
          <t xml:space="preserve">User:
FRS 1816-2-L_0.25</t>
        </r>
      </text>
    </comment>
    <comment ref="G8" authorId="0">
      <text>
        <r>
          <rPr>
            <sz val="10"/>
            <rFont val="Arial"/>
            <family val="2"/>
          </rPr>
          <t xml:space="preserve">User:
CW 296-2_0.25</t>
        </r>
      </text>
    </comment>
    <comment ref="G18" authorId="0">
      <text>
        <r>
          <rPr>
            <sz val="10"/>
            <rFont val="Arial"/>
            <family val="2"/>
          </rPr>
          <t xml:space="preserve">User:
CRM 102-SD-L_0.18</t>
        </r>
      </text>
    </comment>
    <comment ref="G22" authorId="0">
      <text>
        <r>
          <rPr>
            <sz val="10"/>
            <rFont val="Arial"/>
            <family val="2"/>
          </rPr>
          <t xml:space="preserve">User:
FRS 823-2-L_0.25</t>
        </r>
      </text>
    </comment>
    <comment ref="H8" authorId="0">
      <text>
        <r>
          <rPr>
            <sz val="10"/>
            <rFont val="Arial"/>
            <family val="2"/>
          </rPr>
          <t xml:space="preserve">User:
CW 275-3-L_0.25</t>
        </r>
      </text>
    </comment>
    <comment ref="H18" authorId="0">
      <text>
        <r>
          <rPr>
            <sz val="10"/>
            <rFont val="Arial"/>
            <family val="2"/>
          </rPr>
          <t xml:space="preserve">User:
CRM 103-SD-L_0.18</t>
        </r>
      </text>
    </comment>
    <comment ref="H22" authorId="0">
      <text>
        <r>
          <rPr>
            <sz val="10"/>
            <rFont val="Arial"/>
            <family val="2"/>
          </rPr>
          <t xml:space="preserve">FRS 1827-2-L_0.25
</t>
        </r>
      </text>
    </comment>
    <comment ref="I8" authorId="0">
      <text>
        <r>
          <rPr>
            <sz val="10"/>
            <rFont val="Arial"/>
            <family val="2"/>
          </rPr>
          <t xml:space="preserve">User:
LW 711-2_0.25</t>
        </r>
      </text>
    </comment>
    <comment ref="I18" authorId="0">
      <text>
        <r>
          <rPr>
            <sz val="10"/>
            <rFont val="Arial"/>
            <family val="2"/>
          </rPr>
          <t xml:space="preserve">User:
CRM 105-SD-L_0.18</t>
        </r>
      </text>
    </comment>
    <comment ref="I22" authorId="0">
      <text>
        <r>
          <rPr>
            <sz val="10"/>
            <rFont val="Arial"/>
            <family val="2"/>
          </rPr>
          <t xml:space="preserve">FRS 1833-2-L-0.25</t>
        </r>
      </text>
    </comment>
    <comment ref="J8" authorId="0">
      <text>
        <r>
          <rPr>
            <sz val="10"/>
            <rFont val="Arial"/>
            <family val="2"/>
          </rPr>
          <t xml:space="preserve">User:
CW 278-SFT-L_0.25</t>
        </r>
      </text>
    </comment>
    <comment ref="J18" authorId="0">
      <text>
        <r>
          <rPr>
            <sz val="10"/>
            <rFont val="Arial"/>
            <family val="2"/>
          </rPr>
          <t xml:space="preserve">ZB 855-2_0.25</t>
        </r>
      </text>
    </comment>
    <comment ref="K4" authorId="0">
      <text>
        <r>
          <rPr>
            <sz val="10"/>
            <rFont val="Arial"/>
            <family val="2"/>
          </rPr>
          <t xml:space="preserve">User:
CW 297-2_0.25</t>
        </r>
      </text>
    </comment>
    <comment ref="K18" authorId="0">
      <text>
        <r>
          <rPr>
            <sz val="10"/>
            <rFont val="Arial"/>
            <family val="2"/>
          </rPr>
          <t xml:space="preserve">User:
ZB 885-2_0.25</t>
        </r>
      </text>
    </comment>
    <comment ref="L4" authorId="0">
      <text>
        <r>
          <rPr>
            <sz val="10"/>
            <rFont val="Arial"/>
            <family val="2"/>
          </rPr>
          <t xml:space="preserve">User:
LW 666-2_0.25</t>
        </r>
      </text>
    </comment>
    <comment ref="L18" authorId="0">
      <text>
        <r>
          <rPr>
            <sz val="10"/>
            <rFont val="Arial"/>
            <family val="2"/>
          </rPr>
          <t xml:space="preserve">User:
CRM 106-SD-L_0.18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A9" authorId="0">
      <text>
        <r>
          <rPr>
            <sz val="10"/>
            <rFont val="Arial"/>
            <family val="2"/>
          </rPr>
          <t xml:space="preserve">Не менять!
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4" authorId="0">
      <text>
        <r>
          <rPr>
            <sz val="10"/>
            <rFont val="Arial"/>
            <family val="2"/>
          </rPr>
          <t xml:space="preserve">Не менять!</t>
        </r>
      </text>
    </comment>
  </commentList>
</comments>
</file>

<file path=xl/sharedStrings.xml><?xml version="1.0" encoding="utf-8"?>
<sst xmlns="http://schemas.openxmlformats.org/spreadsheetml/2006/main" count="5166" uniqueCount="765">
  <si>
    <t xml:space="preserve">Ваша наценка</t>
  </si>
  <si>
    <t xml:space="preserve">Если Комфорт</t>
  </si>
  <si>
    <t xml:space="preserve">Модуль Комфорт [Ваша покупная цена]</t>
  </si>
  <si>
    <t xml:space="preserve">Если стоимость установлена 0 - это значит, что выбран иной конструктив в Квартирной</t>
  </si>
  <si>
    <t xml:space="preserve">Ваша отпускная цена для Комфорт</t>
  </si>
  <si>
    <t xml:space="preserve">Маржинальность продажи Комфорт [Ваша]</t>
  </si>
  <si>
    <t xml:space="preserve">Если Абсолют</t>
  </si>
  <si>
    <t xml:space="preserve">Модуль Абсолют [Ваша покупная цена]</t>
  </si>
  <si>
    <t xml:space="preserve">Ваша отпускная цена для Абсолют</t>
  </si>
  <si>
    <t xml:space="preserve">Маржинальность продажи Абсолют [Ваша]</t>
  </si>
  <si>
    <t xml:space="preserve">Если Термо</t>
  </si>
  <si>
    <t xml:space="preserve">Модуль Термо [Ваша покупная цена]</t>
  </si>
  <si>
    <t xml:space="preserve">Ваша отпускная цена для Термо</t>
  </si>
  <si>
    <t xml:space="preserve">Маржинальность продажи Термо [Ваша]</t>
  </si>
  <si>
    <t xml:space="preserve">Comfort МП</t>
  </si>
  <si>
    <t xml:space="preserve">Расходы материалов</t>
  </si>
  <si>
    <t xml:space="preserve">Ед.изм</t>
  </si>
  <si>
    <t xml:space="preserve">кол-во</t>
  </si>
  <si>
    <t xml:space="preserve">Цена, руб., евро</t>
  </si>
  <si>
    <t xml:space="preserve">Стоимость</t>
  </si>
  <si>
    <t xml:space="preserve">Модуль калькулятора стоимости</t>
  </si>
  <si>
    <t xml:space="preserve">м3</t>
  </si>
  <si>
    <t xml:space="preserve">Размер панелей</t>
  </si>
  <si>
    <t xml:space="preserve">Сварка</t>
  </si>
  <si>
    <t xml:space="preserve">Формула</t>
  </si>
  <si>
    <t xml:space="preserve">Количество</t>
  </si>
  <si>
    <t xml:space="preserve">Цена</t>
  </si>
  <si>
    <t xml:space="preserve">Наружная</t>
  </si>
  <si>
    <t xml:space="preserve">Заготовка металл, полотно и короб 1,0 мм (2200*1250)</t>
  </si>
  <si>
    <t xml:space="preserve">кг</t>
  </si>
  <si>
    <t xml:space="preserve">Стандартное [Неменяемое]</t>
  </si>
  <si>
    <t xml:space="preserve">Внутренняя</t>
  </si>
  <si>
    <t xml:space="preserve">Ребро 0,6мм (2000*1000)</t>
  </si>
  <si>
    <t xml:space="preserve">Уникальное [Меняемое]</t>
  </si>
  <si>
    <t xml:space="preserve">Навесы каплевидные</t>
  </si>
  <si>
    <t xml:space="preserve">шт.</t>
  </si>
  <si>
    <t xml:space="preserve">Порошок</t>
  </si>
  <si>
    <t xml:space="preserve">Заклепки вытяжные диам.4*10 мм, алюминий/сталь</t>
  </si>
  <si>
    <t xml:space="preserve">Закрыть коробку</t>
  </si>
  <si>
    <t xml:space="preserve">Проволока для полуавтомата,кг</t>
  </si>
  <si>
    <t xml:space="preserve">Дополнительно крепёж если ПП</t>
  </si>
  <si>
    <t xml:space="preserve">Противосъём приварной</t>
  </si>
  <si>
    <t xml:space="preserve">Замки и цилиндры</t>
  </si>
  <si>
    <t xml:space="preserve">Грязный стенд</t>
  </si>
  <si>
    <t xml:space="preserve">краска</t>
  </si>
  <si>
    <t xml:space="preserve">Фурнитура</t>
  </si>
  <si>
    <t xml:space="preserve">заклепки гаечные М4</t>
  </si>
  <si>
    <t xml:space="preserve">Малярка</t>
  </si>
  <si>
    <t xml:space="preserve">обезжириватель, ацетон,л</t>
  </si>
  <si>
    <t xml:space="preserve">л</t>
  </si>
  <si>
    <t xml:space="preserve">Г-образный наличник МДФ [Компл]</t>
  </si>
  <si>
    <t xml:space="preserve">Цинкогрунт</t>
  </si>
  <si>
    <t xml:space="preserve">Дополнительные элементы отделки</t>
  </si>
  <si>
    <t xml:space="preserve">Антик медь</t>
  </si>
  <si>
    <t xml:space="preserve">Цинкогрунт если Verso и ZN</t>
  </si>
  <si>
    <t xml:space="preserve">Антик серебро</t>
  </si>
  <si>
    <t xml:space="preserve">ФЗП</t>
  </si>
  <si>
    <t xml:space="preserve">Букле серый</t>
  </si>
  <si>
    <t xml:space="preserve">Порог из нержавейки</t>
  </si>
  <si>
    <t xml:space="preserve">Букле чёрный</t>
  </si>
  <si>
    <t xml:space="preserve">Если электронный замок</t>
  </si>
  <si>
    <t xml:space="preserve">Букле опал</t>
  </si>
  <si>
    <t xml:space="preserve">Если бугельная ручка с курком [Или 32.21]</t>
  </si>
  <si>
    <t xml:space="preserve">Муар 1019</t>
  </si>
  <si>
    <t xml:space="preserve">Вертушки на шток</t>
  </si>
  <si>
    <t xml:space="preserve">Муар чёрный 9005</t>
  </si>
  <si>
    <t xml:space="preserve">Наценка за сложность</t>
  </si>
  <si>
    <t xml:space="preserve">Муар 7021</t>
  </si>
  <si>
    <t xml:space="preserve">Муар 7024</t>
  </si>
  <si>
    <t xml:space="preserve">Муар 9003</t>
  </si>
  <si>
    <t xml:space="preserve">Муар 6028</t>
  </si>
  <si>
    <t xml:space="preserve">Бронза 74П-566</t>
  </si>
  <si>
    <t xml:space="preserve">Синий 74П-220</t>
  </si>
  <si>
    <t xml:space="preserve">Золото на белом</t>
  </si>
  <si>
    <t xml:space="preserve">Серебро на белом</t>
  </si>
  <si>
    <t xml:space="preserve">Шагрень 9003</t>
  </si>
  <si>
    <t xml:space="preserve">Муар металлик бронзовый</t>
  </si>
  <si>
    <t xml:space="preserve">Муар металлик 8019</t>
  </si>
  <si>
    <t xml:space="preserve">Муар металлик синий</t>
  </si>
  <si>
    <t xml:space="preserve">Муар металлик чёрный</t>
  </si>
  <si>
    <t xml:space="preserve">Муар металлик серый</t>
  </si>
  <si>
    <t xml:space="preserve">Арбиталка на МУАР</t>
  </si>
  <si>
    <t xml:space="preserve">шт</t>
  </si>
  <si>
    <t xml:space="preserve">Отделка</t>
  </si>
  <si>
    <t xml:space="preserve">Уплотнитель на полотне YJ-A302 (10,8*15)</t>
  </si>
  <si>
    <t xml:space="preserve">пог.м.</t>
  </si>
  <si>
    <t xml:space="preserve">Уплотнитель на коробе 12*14</t>
  </si>
  <si>
    <t xml:space="preserve">Мин вата в полотно 11 кг/м3</t>
  </si>
  <si>
    <t xml:space="preserve">Пенопласт ПСБ-15, толщина 30, шт</t>
  </si>
  <si>
    <t xml:space="preserve">Заклепки вытяжные диам.4*10 мм, сталь/сталь</t>
  </si>
  <si>
    <t xml:space="preserve">Задвижка 65</t>
  </si>
  <si>
    <t xml:space="preserve">Себестоимость</t>
  </si>
  <si>
    <t xml:space="preserve">Эксцентрик</t>
  </si>
  <si>
    <t xml:space="preserve">Наценка Дорстон</t>
  </si>
  <si>
    <t xml:space="preserve">оптовик</t>
  </si>
  <si>
    <t xml:space="preserve">Нержавейка для эксцентрика</t>
  </si>
  <si>
    <t xml:space="preserve">Отпускная цена с налогом</t>
  </si>
  <si>
    <t xml:space="preserve">дилер</t>
  </si>
  <si>
    <t xml:space="preserve">Винт 4*10</t>
  </si>
  <si>
    <t xml:space="preserve">Наценка дистрибьютера</t>
  </si>
  <si>
    <t xml:space="preserve">Винт 4*40 (под эксцентрик)</t>
  </si>
  <si>
    <t xml:space="preserve">Цена дистрибьютера</t>
  </si>
  <si>
    <t xml:space="preserve">Винт 6*100</t>
  </si>
  <si>
    <t xml:space="preserve">Чистый стенд</t>
  </si>
  <si>
    <t xml:space="preserve">заглушки под анкерные болты, ЗАП 25</t>
  </si>
  <si>
    <t xml:space="preserve">Втулка D20 под ригель замка 18мм</t>
  </si>
  <si>
    <t xml:space="preserve">Пакетики для фурнитуры</t>
  </si>
  <si>
    <t xml:space="preserve">Упаковка</t>
  </si>
  <si>
    <t xml:space="preserve">Гофра №5 для фурнитуры</t>
  </si>
  <si>
    <t xml:space="preserve">Труба на петли</t>
  </si>
  <si>
    <t xml:space="preserve">Прокладка 200*2000 под ленту</t>
  </si>
  <si>
    <t xml:space="preserve">Гофра 207А</t>
  </si>
  <si>
    <t xml:space="preserve">Прокладка 300*2000 под наличник</t>
  </si>
  <si>
    <t xml:space="preserve">Скобы для степлера B16, для гофры</t>
  </si>
  <si>
    <t xml:space="preserve">Скрепа для стрипленты</t>
  </si>
  <si>
    <t xml:space="preserve">Стриплента, Лента ПП 15х2000</t>
  </si>
  <si>
    <t xml:space="preserve">п.м.</t>
  </si>
  <si>
    <t xml:space="preserve">Скотч прозрачный</t>
  </si>
  <si>
    <t xml:space="preserve">мдф для упаковки 960*130мм</t>
  </si>
  <si>
    <t xml:space="preserve">м2</t>
  </si>
  <si>
    <t xml:space="preserve">Пленка П/Э 1200*20</t>
  </si>
  <si>
    <t xml:space="preserve">Шильдик Дорстон</t>
  </si>
  <si>
    <t xml:space="preserve">Прочее</t>
  </si>
  <si>
    <t xml:space="preserve">гайка М8</t>
  </si>
  <si>
    <t xml:space="preserve">пленка для упаковки</t>
  </si>
  <si>
    <t xml:space="preserve">Накладные расходы</t>
  </si>
  <si>
    <t xml:space="preserve">Электричество</t>
  </si>
  <si>
    <t xml:space="preserve">Формула закрытой коробки</t>
  </si>
  <si>
    <t xml:space="preserve">Закрытый короб 1,0 мм</t>
  </si>
  <si>
    <t xml:space="preserve">Мин вата в косяк 11 кг/м3</t>
  </si>
  <si>
    <t xml:space="preserve">Модуль по ПП</t>
  </si>
  <si>
    <t xml:space="preserve">Шуруп 3*10</t>
  </si>
  <si>
    <t xml:space="preserve">компл.</t>
  </si>
  <si>
    <t xml:space="preserve">Модуль замков</t>
  </si>
  <si>
    <t xml:space="preserve">Acuretto ML-16</t>
  </si>
  <si>
    <t xml:space="preserve">Гардиан 32.11</t>
  </si>
  <si>
    <t xml:space="preserve">Kale 442</t>
  </si>
  <si>
    <t xml:space="preserve">Acuretto ML-18</t>
  </si>
  <si>
    <t xml:space="preserve">Гардиан 30.11</t>
  </si>
  <si>
    <t xml:space="preserve">Kale 442L</t>
  </si>
  <si>
    <t xml:space="preserve">Acuretto ML-17</t>
  </si>
  <si>
    <t xml:space="preserve">Гардиан 30.01</t>
  </si>
  <si>
    <t xml:space="preserve">Kale 447L</t>
  </si>
  <si>
    <t xml:space="preserve">Double force 32.01 </t>
  </si>
  <si>
    <t xml:space="preserve">Гардиан 32.01</t>
  </si>
  <si>
    <t xml:space="preserve">Kale 447</t>
  </si>
  <si>
    <t xml:space="preserve">Модуль цилиндров Основной замок</t>
  </si>
  <si>
    <t xml:space="preserve">DWF Profi [55/10/25]</t>
  </si>
  <si>
    <t xml:space="preserve">Fuaro D-Pro 507 [55/10/25]</t>
  </si>
  <si>
    <t xml:space="preserve">Secureme K-2 [55/10/25]</t>
  </si>
  <si>
    <t xml:space="preserve">DWF Profi [60/10/25]</t>
  </si>
  <si>
    <t xml:space="preserve">Fuaro D-Pro 507 [60/10/25]</t>
  </si>
  <si>
    <t xml:space="preserve">Secureme K-2 [60/10/25]</t>
  </si>
  <si>
    <t xml:space="preserve">Модуль цилиндров Дополнительный замок</t>
  </si>
  <si>
    <t xml:space="preserve">Модуль фурнитуры</t>
  </si>
  <si>
    <t xml:space="preserve">Ручки</t>
  </si>
  <si>
    <t xml:space="preserve">Ручка (21 серия), матовое золото</t>
  </si>
  <si>
    <t xml:space="preserve">Ручка PALIDORE A-527 SSC черная</t>
  </si>
  <si>
    <t xml:space="preserve">Ручка PALIDORE A-527 SSC хром матовый</t>
  </si>
  <si>
    <t xml:space="preserve">Ручка 93 Бронза, компл.</t>
  </si>
  <si>
    <t xml:space="preserve">Ручка 93 черн, компл.</t>
  </si>
  <si>
    <t xml:space="preserve">Ручка 93 хром, компл.</t>
  </si>
  <si>
    <t xml:space="preserve">Накладки нижнего замка</t>
  </si>
  <si>
    <t xml:space="preserve">Броненакладка + (21 серия), матовое золото</t>
  </si>
  <si>
    <t xml:space="preserve">накладка под шток (21 серия), матовое золото</t>
  </si>
  <si>
    <t xml:space="preserve">Броненакладка врезная PALIDORE 050-080-C SSC черная</t>
  </si>
  <si>
    <t xml:space="preserve">Накладка PALIDORE шток черная 050-03 SSC</t>
  </si>
  <si>
    <t xml:space="preserve">Броненакладка врезная PALIDORE 050-080-C SSC матовый хром</t>
  </si>
  <si>
    <t xml:space="preserve">Накладка PALIDORE шток матовый хром 050-03 SSC</t>
  </si>
  <si>
    <t xml:space="preserve">Броненакладка врезная (Protector Pro 50/27) бронза</t>
  </si>
  <si>
    <t xml:space="preserve">Накладка под шток  (DP-K-11-AB) бронза</t>
  </si>
  <si>
    <t xml:space="preserve">Броненакладка овальная врезная, черн</t>
  </si>
  <si>
    <t xml:space="preserve">Накладка под шток овальная, черн</t>
  </si>
  <si>
    <t xml:space="preserve">Броненакладка врезная хром</t>
  </si>
  <si>
    <t xml:space="preserve">Накладка цилиндровая/овальная/дешёвая хром</t>
  </si>
  <si>
    <t xml:space="preserve">Накладка сувальдная (21 серия), матовое золото, комплект</t>
  </si>
  <si>
    <t xml:space="preserve">Накладка PALIDORE сувальдная черная 050-02 SSC</t>
  </si>
  <si>
    <t xml:space="preserve">Накладка PALIDORE сувальдная матовый хром 050-02 SSC</t>
  </si>
  <si>
    <t xml:space="preserve">Накладка сувальдная "под КРИТ", бронза (DP-13-S-Auto)</t>
  </si>
  <si>
    <t xml:space="preserve">Накладка сув. овальная (DP-12-S) бронза</t>
  </si>
  <si>
    <t xml:space="preserve">Накладка сувальдная "под КРИТ", черная</t>
  </si>
  <si>
    <t xml:space="preserve">Накладка сувальдная овальная черн</t>
  </si>
  <si>
    <t xml:space="preserve">Накладка сувальдная "под КРИТ"</t>
  </si>
  <si>
    <t xml:space="preserve">Накладка сувальдная/овальная/дешевая, шт</t>
  </si>
  <si>
    <t xml:space="preserve">Накладки верхнего замка</t>
  </si>
  <si>
    <t xml:space="preserve">Глазки</t>
  </si>
  <si>
    <t xml:space="preserve">Глазок квадратный (21 серия), матовое золото</t>
  </si>
  <si>
    <t xml:space="preserve">Глазок квадратный 70-130 черный </t>
  </si>
  <si>
    <t xml:space="preserve">Глазок MY003-70/130, матовый хром</t>
  </si>
  <si>
    <t xml:space="preserve">Глазок круглый 50х90/Бронза, шт</t>
  </si>
  <si>
    <t xml:space="preserve">Удлинитель Глазка (только в бронзе используется) </t>
  </si>
  <si>
    <t xml:space="preserve">Глазок Viever 70-130 black</t>
  </si>
  <si>
    <t xml:space="preserve">Глазок круглый 70х130/Хром</t>
  </si>
  <si>
    <t xml:space="preserve">Вертушки</t>
  </si>
  <si>
    <t xml:space="preserve">Вертушок на ноч. задв. (21 серия), матовое золото</t>
  </si>
  <si>
    <t xml:space="preserve">Вертушок PALIDORE на квадратном основании 050-TL SSC черный, шт</t>
  </si>
  <si>
    <t xml:space="preserve">Вертушок PALIDORE на квадратном основании 050-TL SSC мат. Хром</t>
  </si>
  <si>
    <t xml:space="preserve">Вертушок бронза 8х75 (TT-0705-8/75), шт</t>
  </si>
  <si>
    <t xml:space="preserve">Вертушок 8х75 черн, шт</t>
  </si>
  <si>
    <t xml:space="preserve">Вертушок, хром</t>
  </si>
  <si>
    <t xml:space="preserve">Модуль расчёта панелей на наружнюю отделку [Без вставки]</t>
  </si>
  <si>
    <t xml:space="preserve">МДФ t=10 мм, м2</t>
  </si>
  <si>
    <t xml:space="preserve">кв.м</t>
  </si>
  <si>
    <t xml:space="preserve">Клей</t>
  </si>
  <si>
    <t xml:space="preserve">Наждачная бумага, м2</t>
  </si>
  <si>
    <t xml:space="preserve">Губка шлифовальная</t>
  </si>
  <si>
    <t xml:space="preserve">Колер</t>
  </si>
  <si>
    <t xml:space="preserve">накладные расходы</t>
  </si>
  <si>
    <t xml:space="preserve">Зарплата панель</t>
  </si>
  <si>
    <t xml:space="preserve">Заложенная сложность</t>
  </si>
  <si>
    <t xml:space="preserve">Дополнения для нестандартных панелей</t>
  </si>
  <si>
    <t xml:space="preserve">МДФ t=6 мм, м2</t>
  </si>
  <si>
    <t xml:space="preserve">BC-45</t>
  </si>
  <si>
    <t xml:space="preserve">зарплата [плюс к стандарту [A182]</t>
  </si>
  <si>
    <t xml:space="preserve">BC-24</t>
  </si>
  <si>
    <t xml:space="preserve">МДФ t=12 мм, м2</t>
  </si>
  <si>
    <t xml:space="preserve">BC-13</t>
  </si>
  <si>
    <t xml:space="preserve">Клей 88</t>
  </si>
  <si>
    <t xml:space="preserve">BC-22</t>
  </si>
  <si>
    <t xml:space="preserve">Упаковка [Плюс к стандарту [A180]</t>
  </si>
  <si>
    <t xml:space="preserve">Скобы</t>
  </si>
  <si>
    <t xml:space="preserve">BC-6</t>
  </si>
  <si>
    <t xml:space="preserve">Стекло</t>
  </si>
  <si>
    <t xml:space="preserve">Обработка</t>
  </si>
  <si>
    <t xml:space="preserve">п.м</t>
  </si>
  <si>
    <t xml:space="preserve">Скотч двухсторонний</t>
  </si>
  <si>
    <t xml:space="preserve">Стекло+обработка</t>
  </si>
  <si>
    <t xml:space="preserve">BC-19</t>
  </si>
  <si>
    <t xml:space="preserve">BC-38</t>
  </si>
  <si>
    <t xml:space="preserve">BC-17</t>
  </si>
  <si>
    <t xml:space="preserve">BC-44</t>
  </si>
  <si>
    <t xml:space="preserve">Формула расчёта наружних панелей</t>
  </si>
  <si>
    <t xml:space="preserve">Панель стандартного модельного ряда</t>
  </si>
  <si>
    <t xml:space="preserve">Панель нестандартная BC-6</t>
  </si>
  <si>
    <t xml:space="preserve">Панель нестандартная BC-13</t>
  </si>
  <si>
    <t xml:space="preserve">Панель нестандартная BC-17</t>
  </si>
  <si>
    <t xml:space="preserve">Панель нестандартная BC-19</t>
  </si>
  <si>
    <t xml:space="preserve">Панель нестандартная BC-22</t>
  </si>
  <si>
    <t xml:space="preserve">Панель нестандартная BC-24</t>
  </si>
  <si>
    <t xml:space="preserve">Панель нестандартная BC-38</t>
  </si>
  <si>
    <t xml:space="preserve">Панель нестандартная BC-44</t>
  </si>
  <si>
    <t xml:space="preserve">Панель нестандартная BC-45</t>
  </si>
  <si>
    <t xml:space="preserve">Модуль расчёта внутренней панели</t>
  </si>
  <si>
    <t xml:space="preserve">МДФ t=10 мм, м2 - сюда же вшита 12мм мдф под панели с зеркалами</t>
  </si>
  <si>
    <t xml:space="preserve">Стекло Ф-30</t>
  </si>
  <si>
    <t xml:space="preserve">Стекло Ф-32</t>
  </si>
  <si>
    <t xml:space="preserve">Стекло Ф-79</t>
  </si>
  <si>
    <t xml:space="preserve">Герметик</t>
  </si>
  <si>
    <t xml:space="preserve">Фацет</t>
  </si>
  <si>
    <t xml:space="preserve">Зеркало ФЗ-1</t>
  </si>
  <si>
    <t xml:space="preserve">Зеркало ФЗ-6</t>
  </si>
  <si>
    <t xml:space="preserve">Зеркало ФЗ-7</t>
  </si>
  <si>
    <t xml:space="preserve">Зеркало ФЗ-8</t>
  </si>
  <si>
    <t xml:space="preserve">Модуль расчёта МДФ-наличников [Г-Образные]</t>
  </si>
  <si>
    <t xml:space="preserve">Зарплата</t>
  </si>
  <si>
    <t xml:space="preserve">Verso</t>
  </si>
  <si>
    <t xml:space="preserve">Накладка N1 1,4 мм (2200*1250)</t>
  </si>
  <si>
    <t xml:space="preserve">Шпильки+гайки</t>
  </si>
  <si>
    <t xml:space="preserve">Forta</t>
  </si>
  <si>
    <t xml:space="preserve">Элемент нержавейка(матовая ) Форта 0,6 мм (895*226) с листа 2000*1000</t>
  </si>
  <si>
    <t xml:space="preserve">Накладной элемент Форта 1 мм (2200*1250)</t>
  </si>
  <si>
    <t xml:space="preserve">Шпильки</t>
  </si>
  <si>
    <t xml:space="preserve">Гайка М4</t>
  </si>
  <si>
    <t xml:space="preserve">Шайба М4</t>
  </si>
  <si>
    <t xml:space="preserve">Stark</t>
  </si>
  <si>
    <t xml:space="preserve">Накладка N2 1,4мм</t>
  </si>
  <si>
    <t xml:space="preserve">Модуль расчёта ФЗП</t>
  </si>
  <si>
    <t xml:space="preserve">Базовая ФЗП дверной системы</t>
  </si>
  <si>
    <t xml:space="preserve">Цинкогрунтование</t>
  </si>
  <si>
    <t xml:space="preserve">Установка порога из нержавейки</t>
  </si>
  <si>
    <t xml:space="preserve">Итог Стандарт</t>
  </si>
  <si>
    <t xml:space="preserve">Итог Нестандарт</t>
  </si>
  <si>
    <t xml:space="preserve">Модуль порога из нержавейки</t>
  </si>
  <si>
    <t xml:space="preserve">Модуль Электронных замков</t>
  </si>
  <si>
    <t xml:space="preserve">Hogo P-02</t>
  </si>
  <si>
    <t xml:space="preserve">Hogo V-05</t>
  </si>
  <si>
    <t xml:space="preserve">Dircode T850</t>
  </si>
  <si>
    <t xml:space="preserve">Hogo D-01 с бугельной ручкой</t>
  </si>
  <si>
    <t xml:space="preserve">Модуль бугельной ручки</t>
  </si>
  <si>
    <t xml:space="preserve">Гардиан 32.21</t>
  </si>
  <si>
    <t xml:space="preserve">Бугельная ручка 1600х60</t>
  </si>
  <si>
    <t xml:space="preserve">Бугельная ручка 1800х60</t>
  </si>
  <si>
    <t xml:space="preserve">Модуль вертушек на шток основного замка</t>
  </si>
  <si>
    <t xml:space="preserve">Вертушок на шток (21 серия), матовое золото</t>
  </si>
  <si>
    <t xml:space="preserve">Вертушок на шток черный, шт</t>
  </si>
  <si>
    <t xml:space="preserve">Вертушок на шток матовый хром</t>
  </si>
  <si>
    <t xml:space="preserve">Вертушок на шток, бронза</t>
  </si>
  <si>
    <t xml:space="preserve">Вертушок на шток, хром</t>
  </si>
  <si>
    <t xml:space="preserve">Модуль вертушек на шток дополнительного замка</t>
  </si>
  <si>
    <t xml:space="preserve">Absolut МП [1.2]</t>
  </si>
  <si>
    <t xml:space="preserve">Заготовка металл, открытый (2200*1250)</t>
  </si>
  <si>
    <t xml:space="preserve">Порог нержавейки</t>
  </si>
  <si>
    <t xml:space="preserve">Если бугельная ручка с курком (или 32.21)</t>
  </si>
  <si>
    <t xml:space="preserve">Уплотнитель магнит1082 (14,5х12,5) палка 2,1 м вертикальная часть короба</t>
  </si>
  <si>
    <t xml:space="preserve">Уплотнитель магнит1082 (14,5х12,5) палка 2,1 м горизонтальная часть короба</t>
  </si>
  <si>
    <t xml:space="preserve">Уплотнитель на коробе 12*14 (РГ 127)</t>
  </si>
  <si>
    <t xml:space="preserve">Базальтовая плита 45 (1000х600х50) в полотно</t>
  </si>
  <si>
    <t xml:space="preserve">Отпускная цена</t>
  </si>
  <si>
    <t xml:space="preserve">пенопласт ППС 10 30мм для упаковки</t>
  </si>
  <si>
    <t xml:space="preserve">Шильдик Дорстен</t>
  </si>
  <si>
    <t xml:space="preserve">Закрытый короб 1,2 мм</t>
  </si>
  <si>
    <t xml:space="preserve">Базальтовая плита 45 (1000х600х50) в косяк</t>
  </si>
  <si>
    <t xml:space="preserve">внимательно</t>
  </si>
  <si>
    <t xml:space="preserve">зарплата [плюс к стандарту [A185]</t>
  </si>
  <si>
    <t xml:space="preserve">Зеркало ЗФ-8</t>
  </si>
  <si>
    <t xml:space="preserve">лист</t>
  </si>
  <si>
    <t xml:space="preserve">Замок Гардиан 32.21</t>
  </si>
  <si>
    <t xml:space="preserve">Термо Оптима</t>
  </si>
  <si>
    <t xml:space="preserve">Заготовка 1,2 (2200*1250)</t>
  </si>
  <si>
    <t xml:space="preserve">Дополнительно крепёж если HPL</t>
  </si>
  <si>
    <t xml:space="preserve">credo 1.3</t>
  </si>
  <si>
    <t xml:space="preserve">Nova отделка</t>
  </si>
  <si>
    <t xml:space="preserve">Термокабель</t>
  </si>
  <si>
    <t xml:space="preserve">Стеклопакет</t>
  </si>
  <si>
    <t xml:space="preserve">Металл</t>
  </si>
  <si>
    <t xml:space="preserve">Букле черный</t>
  </si>
  <si>
    <t xml:space="preserve">Комплект в стеклопакет</t>
  </si>
  <si>
    <t xml:space="preserve">Электронный замок</t>
  </si>
  <si>
    <t xml:space="preserve">Наценка за сложность покраски</t>
  </si>
  <si>
    <t xml:space="preserve">Уплотнитель 10*12 (РГ 141) на полотно</t>
  </si>
  <si>
    <t xml:space="preserve">Мин вата Изовер 11 (1220*700*50) в короб</t>
  </si>
  <si>
    <t xml:space="preserve">Базальт 50 мм (ROCKWOOL LB 32 кг/м3)</t>
  </si>
  <si>
    <t xml:space="preserve">Пластиковый профиль СПЭНСЕР</t>
  </si>
  <si>
    <t xml:space="preserve">метр</t>
  </si>
  <si>
    <t xml:space="preserve">Саморез 3,5*12 грибок</t>
  </si>
  <si>
    <t xml:space="preserve">Наценка дистрибьютора</t>
  </si>
  <si>
    <t xml:space="preserve">Цена дистрибьютора</t>
  </si>
  <si>
    <t xml:space="preserve">Заглушки под противосьемы, ЗП 25</t>
  </si>
  <si>
    <t xml:space="preserve">Заглушка под ригеля квадратная Интекрон</t>
  </si>
  <si>
    <t xml:space="preserve">пенопласт ППС 15 30мм для упаковки</t>
  </si>
  <si>
    <t xml:space="preserve">параметры для других</t>
  </si>
  <si>
    <t xml:space="preserve">Модуль цилиндра основного замка</t>
  </si>
  <si>
    <t xml:space="preserve">Fuaro D-Proterm 507 [60/10/25]</t>
  </si>
  <si>
    <t xml:space="preserve">Guardian GS Termo [60/10/25]</t>
  </si>
  <si>
    <t xml:space="preserve">Модуль цилиндра дополнительного замка</t>
  </si>
  <si>
    <t xml:space="preserve">Накладки</t>
  </si>
  <si>
    <t xml:space="preserve">Глазки [На термо как правило не устанавливаются]</t>
  </si>
  <si>
    <t xml:space="preserve">чёрная</t>
  </si>
  <si>
    <t xml:space="preserve">хром</t>
  </si>
  <si>
    <t xml:space="preserve">Модуль по HPL</t>
  </si>
  <si>
    <t xml:space="preserve">размер стеклопакета, зависит от размера двери</t>
  </si>
  <si>
    <t xml:space="preserve">высота</t>
  </si>
  <si>
    <t xml:space="preserve">ширина</t>
  </si>
  <si>
    <t xml:space="preserve">Дарквуд, Древос</t>
  </si>
  <si>
    <t xml:space="preserve">Модуль стеклопакетов</t>
  </si>
  <si>
    <t xml:space="preserve">цена м2</t>
  </si>
  <si>
    <t xml:space="preserve">цена м2 1 слоя</t>
  </si>
  <si>
    <t xml:space="preserve">цена м2 2 слоя</t>
  </si>
  <si>
    <t xml:space="preserve">Наценка &lt;200</t>
  </si>
  <si>
    <t xml:space="preserve">без наценки</t>
  </si>
  <si>
    <t xml:space="preserve">с наценкой за нестандарт</t>
  </si>
  <si>
    <t xml:space="preserve">Сенатор</t>
  </si>
  <si>
    <t xml:space="preserve">Стеклопакет 3х камерный 72мм под древос, дарквуд</t>
  </si>
  <si>
    <t xml:space="preserve">Сенатор Макс</t>
  </si>
  <si>
    <t xml:space="preserve">Стеклопакет 4х камерный 83мм, под сенатор</t>
  </si>
  <si>
    <t xml:space="preserve">Кредо</t>
  </si>
  <si>
    <t xml:space="preserve">Стеклопакет 4х камерный 75мм, под сенатор макс</t>
  </si>
  <si>
    <t xml:space="preserve">м2 Дарквуд, Древос</t>
  </si>
  <si>
    <t xml:space="preserve">Стеклопакет 4х камерный 75мм, под кредо</t>
  </si>
  <si>
    <t xml:space="preserve">м2 Сенатор</t>
  </si>
  <si>
    <t xml:space="preserve">Модуль термокабеля</t>
  </si>
  <si>
    <t xml:space="preserve">м2 Сенатор Макс</t>
  </si>
  <si>
    <t xml:space="preserve">пм</t>
  </si>
  <si>
    <t xml:space="preserve">м2 Кредо</t>
  </si>
  <si>
    <t xml:space="preserve">Модуль HPL накладок</t>
  </si>
  <si>
    <t xml:space="preserve">Darkwood SP Дуб чарлстон</t>
  </si>
  <si>
    <t xml:space="preserve">Darkwood SP Вудлайн тёмный</t>
  </si>
  <si>
    <t xml:space="preserve">Soros Дуб чарлстон</t>
  </si>
  <si>
    <t xml:space="preserve">Soros Вудлайн тёмный</t>
  </si>
  <si>
    <t xml:space="preserve">Drevos SP Пино+чёрный</t>
  </si>
  <si>
    <t xml:space="preserve">Veles Вяз шоколад + чёрный</t>
  </si>
  <si>
    <t xml:space="preserve">Darkwood SP Вяз шоколад</t>
  </si>
  <si>
    <t xml:space="preserve">Darkwood SP Пино</t>
  </si>
  <si>
    <t xml:space="preserve">Drevos SP Дуб чарлстон</t>
  </si>
  <si>
    <t xml:space="preserve">Drevos SP Вяз шоколад</t>
  </si>
  <si>
    <t xml:space="preserve">Drevos SP Вудлайн тёмный</t>
  </si>
  <si>
    <t xml:space="preserve">Soros Вяз шоколад</t>
  </si>
  <si>
    <t xml:space="preserve">Soros Пино</t>
  </si>
  <si>
    <t xml:space="preserve">Veles Вудлайн тёмный</t>
  </si>
  <si>
    <t xml:space="preserve">Veles Дуб чарлстон</t>
  </si>
  <si>
    <t xml:space="preserve">Veles Пино</t>
  </si>
  <si>
    <t xml:space="preserve">Nova (база Оптима)</t>
  </si>
  <si>
    <t xml:space="preserve">Накладной элемент Strike, металл 1,4</t>
  </si>
  <si>
    <t xml:space="preserve">Шуруп 3,5*12</t>
  </si>
  <si>
    <t xml:space="preserve">Nova (Наценка как на Stark)</t>
  </si>
  <si>
    <t xml:space="preserve">Термокабель [Наценка]</t>
  </si>
  <si>
    <t xml:space="preserve">Модуль расхода металла по модельным рядам</t>
  </si>
  <si>
    <t xml:space="preserve">Termo Оптима</t>
  </si>
  <si>
    <t xml:space="preserve">Заготовка 1,2</t>
  </si>
  <si>
    <t xml:space="preserve">тм</t>
  </si>
  <si>
    <t xml:space="preserve">вес кв.м</t>
  </si>
  <si>
    <t xml:space="preserve">кол-во листов</t>
  </si>
  <si>
    <t xml:space="preserve">вес общий</t>
  </si>
  <si>
    <t xml:space="preserve">цена кг</t>
  </si>
  <si>
    <t xml:space="preserve">цена общая</t>
  </si>
  <si>
    <t xml:space="preserve">Заготовка рёбра до 2120 0.6мм, выше 2120 0.8мм</t>
  </si>
  <si>
    <t xml:space="preserve">Termo HPL [Soros, Veles]</t>
  </si>
  <si>
    <t xml:space="preserve">Заготовка 1,4</t>
  </si>
  <si>
    <t xml:space="preserve">Termo Credo</t>
  </si>
  <si>
    <t xml:space="preserve">Заготовка 1 </t>
  </si>
  <si>
    <t xml:space="preserve">Termo Credo SP</t>
  </si>
  <si>
    <t xml:space="preserve">Заготовка 1,4 (2200*1250)</t>
  </si>
  <si>
    <t xml:space="preserve">Заготовка 1 (2200*1250)</t>
  </si>
  <si>
    <t xml:space="preserve">Termo Imperato (база Оптима)</t>
  </si>
  <si>
    <t xml:space="preserve">Termo Senator</t>
  </si>
  <si>
    <t xml:space="preserve">Заготовка 1,0</t>
  </si>
  <si>
    <t xml:space="preserve">Заготовка 0,6</t>
  </si>
  <si>
    <t xml:space="preserve">Termo HPL Darkwood и Drevos</t>
  </si>
  <si>
    <t xml:space="preserve">Termo Модуль комплектующих стеклопакета [Неменяемое]</t>
  </si>
  <si>
    <t xml:space="preserve">Уплотнитель 170</t>
  </si>
  <si>
    <t xml:space="preserve">пог.м</t>
  </si>
  <si>
    <t xml:space="preserve">Шпилька 10*30</t>
  </si>
  <si>
    <t xml:space="preserve">Гайка М10</t>
  </si>
  <si>
    <t xml:space="preserve">Пластиковый профиль СПЭНСЕР [Перенесён в общую спецификацию - строчку не удалять! </t>
  </si>
  <si>
    <t xml:space="preserve">Заглушки Д22 для рамки стеклопакета</t>
  </si>
  <si>
    <t xml:space="preserve">Модуль порошковой краски на внутреннюю рамку</t>
  </si>
  <si>
    <t xml:space="preserve">Муар 6028 (Питер)</t>
  </si>
  <si>
    <t xml:space="preserve">графит</t>
  </si>
  <si>
    <t xml:space="preserve">бронза</t>
  </si>
  <si>
    <t xml:space="preserve">серебро зеркало</t>
  </si>
  <si>
    <t xml:space="preserve">Золото</t>
  </si>
  <si>
    <t xml:space="preserve">Коричневая</t>
  </si>
  <si>
    <t xml:space="preserve">Чёрная</t>
  </si>
  <si>
    <t xml:space="preserve">Цена:</t>
  </si>
  <si>
    <t xml:space="preserve">Дата:</t>
  </si>
  <si>
    <t xml:space="preserve">№ заказа</t>
  </si>
  <si>
    <t xml:space="preserve">Адрес салона:</t>
  </si>
  <si>
    <t xml:space="preserve">Ф.И.О. покупателя:</t>
  </si>
  <si>
    <t xml:space="preserve">Телефон покупателя:</t>
  </si>
  <si>
    <t xml:space="preserve">Адрес объекта:</t>
  </si>
  <si>
    <t xml:space="preserve">Установочные размеры:</t>
  </si>
  <si>
    <t xml:space="preserve">Высота:</t>
  </si>
  <si>
    <t xml:space="preserve">Стандарт</t>
  </si>
  <si>
    <t xml:space="preserve">Ширина:</t>
  </si>
  <si>
    <t xml:space="preserve">Нестандарт</t>
  </si>
  <si>
    <t xml:space="preserve">Открывание:</t>
  </si>
  <si>
    <t xml:space="preserve">Левое</t>
  </si>
  <si>
    <t xml:space="preserve">Лист 2500</t>
  </si>
  <si>
    <t xml:space="preserve">Конструктив</t>
  </si>
  <si>
    <t xml:space="preserve">Выбор конструктива</t>
  </si>
  <si>
    <t xml:space="preserve">Absolut</t>
  </si>
  <si>
    <t xml:space="preserve">Конструктив короба</t>
  </si>
  <si>
    <t xml:space="preserve">Открытый [Без утепления]</t>
  </si>
  <si>
    <t xml:space="preserve">Выбор дизайна</t>
  </si>
  <si>
    <t xml:space="preserve">Наружная отделка</t>
  </si>
  <si>
    <t xml:space="preserve">Внутренняя отделка</t>
  </si>
  <si>
    <t xml:space="preserve">Название панелей</t>
  </si>
  <si>
    <t xml:space="preserve">Ф-3</t>
  </si>
  <si>
    <t xml:space="preserve">Основной цвет плёнки ПВХ</t>
  </si>
  <si>
    <t xml:space="preserve">Название плёнки</t>
  </si>
  <si>
    <t xml:space="preserve">Лиственница белая</t>
  </si>
  <si>
    <t xml:space="preserve">Астана Эш Уайт</t>
  </si>
  <si>
    <t xml:space="preserve">Дополнительный цвет плёнки ПВХ</t>
  </si>
  <si>
    <t xml:space="preserve">Английский дуб фог</t>
  </si>
  <si>
    <t xml:space="preserve">Цвет наличника ПВХ</t>
  </si>
  <si>
    <t xml:space="preserve">Покраска металла</t>
  </si>
  <si>
    <t xml:space="preserve">Предварительное грунтования</t>
  </si>
  <si>
    <t xml:space="preserve">Основной цвет</t>
  </si>
  <si>
    <t xml:space="preserve">Цвет дополнительного элемента</t>
  </si>
  <si>
    <t xml:space="preserve">Нет</t>
  </si>
  <si>
    <t xml:space="preserve">Выбор фурнитуры и замковой системы</t>
  </si>
  <si>
    <t xml:space="preserve">Основной замок</t>
  </si>
  <si>
    <t xml:space="preserve">Дополнительный замок</t>
  </si>
  <si>
    <t xml:space="preserve">Цилиндровый механизм основного замка</t>
  </si>
  <si>
    <t xml:space="preserve">DWF Profi</t>
  </si>
  <si>
    <t xml:space="preserve">Цилиндровый механизм дополнительного замка</t>
  </si>
  <si>
    <t xml:space="preserve">Цилиндр не нужен</t>
  </si>
  <si>
    <t xml:space="preserve">Цвет фурнитуры</t>
  </si>
  <si>
    <t xml:space="preserve">Основание фурнитуры</t>
  </si>
  <si>
    <t xml:space="preserve">Выберите цвет и основание</t>
  </si>
  <si>
    <t xml:space="preserve">Хром</t>
  </si>
  <si>
    <t xml:space="preserve">Квадратное</t>
  </si>
  <si>
    <t xml:space="preserve">Ручка</t>
  </si>
  <si>
    <t xml:space="preserve">Меняя нажимную ручку на бугельную, пожалуйста, вернитесь к замкам! </t>
  </si>
  <si>
    <t xml:space="preserve">Нажимная</t>
  </si>
  <si>
    <t xml:space="preserve">Стандартный размер</t>
  </si>
  <si>
    <t xml:space="preserve">Накладки основного замка</t>
  </si>
  <si>
    <t xml:space="preserve">Накладки дополнительного замка</t>
  </si>
  <si>
    <t xml:space="preserve">Вертушок на шток цилиндра [Основной замок]</t>
  </si>
  <si>
    <t xml:space="preserve">Вертушок на шток цилиндра [Доп. замок]</t>
  </si>
  <si>
    <t xml:space="preserve">Ночная задвижка+повортник</t>
  </si>
  <si>
    <t xml:space="preserve">Глазок</t>
  </si>
  <si>
    <t xml:space="preserve">Дополнительные опции</t>
  </si>
  <si>
    <t xml:space="preserve">Порог из нержавеющей стали</t>
  </si>
  <si>
    <t xml:space="preserve">ИТОГО СТОИМОСТЬ</t>
  </si>
  <si>
    <t xml:space="preserve">Дополнительная информация:</t>
  </si>
  <si>
    <t xml:space="preserve">Габаритные размеры двери записаны со слов заказчика:</t>
  </si>
  <si>
    <t xml:space="preserve">Высота</t>
  </si>
  <si>
    <t xml:space="preserve">Ширина</t>
  </si>
  <si>
    <t xml:space="preserve">Фамилия продавца:</t>
  </si>
  <si>
    <t xml:space="preserve">Подпись покупателя:</t>
  </si>
  <si>
    <t xml:space="preserve">Расшифровка подписи</t>
  </si>
  <si>
    <t xml:space="preserve">@dropdown</t>
  </si>
  <si>
    <t xml:space="preserve">Credo SP</t>
  </si>
  <si>
    <t xml:space="preserve">Ф-85 (Credo SP)</t>
  </si>
  <si>
    <t xml:space="preserve">Предварительное грунтование</t>
  </si>
  <si>
    <t xml:space="preserve">Цвет внутренних рамок</t>
  </si>
  <si>
    <t xml:space="preserve">Как основной</t>
  </si>
  <si>
    <t xml:space="preserve">Плёнка стеклопакета [Снаружи]</t>
  </si>
  <si>
    <t xml:space="preserve">Плёнка стеклопакета [Внутри]</t>
  </si>
  <si>
    <t xml:space="preserve">первая</t>
  </si>
  <si>
    <t xml:space="preserve">вторая</t>
  </si>
  <si>
    <t xml:space="preserve">Стеклопакета нет! </t>
  </si>
  <si>
    <t xml:space="preserve">Графит</t>
  </si>
  <si>
    <t xml:space="preserve">Fuaro D-Proterm 507</t>
  </si>
  <si>
    <t xml:space="preserve">Меняя нажимную ручку на бугельную,выберите основным замком Гардиан 32.21 </t>
  </si>
  <si>
    <t xml:space="preserve">Накладки Основного замка</t>
  </si>
  <si>
    <t xml:space="preserve">Накладки Дополнительного замка</t>
  </si>
  <si>
    <t xml:space="preserve">Да</t>
  </si>
  <si>
    <t xml:space="preserve">Укажите "Нет", если опция не нужна</t>
  </si>
  <si>
    <t xml:space="preserve">Порог шлифованный. Цвет: Хром</t>
  </si>
  <si>
    <t xml:space="preserve">Термокабель по периметру короба</t>
  </si>
  <si>
    <t xml:space="preserve">Фурнитура Тор, цвет панели Дуб арктик горизонт</t>
  </si>
  <si>
    <t xml:space="preserve">Демина Наталья</t>
  </si>
  <si>
    <t xml:space="preserve">Конструктивы</t>
  </si>
  <si>
    <t xml:space="preserve">Komfort</t>
  </si>
  <si>
    <t xml:space="preserve">Особенности:</t>
  </si>
  <si>
    <t xml:space="preserve">Толщина металла с порошково полимерным покрытием</t>
  </si>
  <si>
    <t xml:space="preserve">1,2 мм</t>
  </si>
  <si>
    <t xml:space="preserve">1,4 мм</t>
  </si>
  <si>
    <t xml:space="preserve">Уплотнитель на полотне</t>
  </si>
  <si>
    <t xml:space="preserve">2 шт.  Шлегель</t>
  </si>
  <si>
    <t xml:space="preserve">Уплотнитель на коробе</t>
  </si>
  <si>
    <t xml:space="preserve">D образный</t>
  </si>
  <si>
    <t xml:space="preserve">Магнитный+ D образный</t>
  </si>
  <si>
    <t xml:space="preserve">Заполнение двери</t>
  </si>
  <si>
    <t xml:space="preserve">Минеральная вата 11 кг/м3+ пенополистирол</t>
  </si>
  <si>
    <t xml:space="preserve">Базальтовая плита Rockwool 45 кг/м3 + пенополистирол</t>
  </si>
  <si>
    <t xml:space="preserve">Termo</t>
  </si>
  <si>
    <t xml:space="preserve">Termo с HPL-панелью</t>
  </si>
  <si>
    <t xml:space="preserve">1,4 мм -полотно, 1,4 мм-короб</t>
  </si>
  <si>
    <t xml:space="preserve">1,4 мм-полотно, 1,6 мм-короб</t>
  </si>
  <si>
    <t xml:space="preserve">2 шт. D-образный</t>
  </si>
  <si>
    <t xml:space="preserve">Базальтовая плита Rockwool 45 кг/м3- 2 слоя</t>
  </si>
  <si>
    <t xml:space="preserve">Квартирка и Термо внутрен. панель</t>
  </si>
  <si>
    <t xml:space="preserve">Высота двери</t>
  </si>
  <si>
    <t xml:space="preserve">Высота панели</t>
  </si>
  <si>
    <t xml:space="preserve">Ширина двери</t>
  </si>
  <si>
    <t xml:space="preserve">Ширина панели</t>
  </si>
  <si>
    <t xml:space="preserve">Квартирка наружн. панель</t>
  </si>
  <si>
    <t xml:space="preserve">Термо наружняя панель</t>
  </si>
  <si>
    <t xml:space="preserve">Коэффициент ФЗП</t>
  </si>
  <si>
    <t xml:space="preserve">Квартрка</t>
  </si>
  <si>
    <t xml:space="preserve">1.15</t>
  </si>
  <si>
    <t xml:space="preserve">1.2</t>
  </si>
  <si>
    <t xml:space="preserve">Термо</t>
  </si>
  <si>
    <t xml:space="preserve">Название моделей</t>
  </si>
  <si>
    <t xml:space="preserve">Kombi</t>
  </si>
  <si>
    <t xml:space="preserve">Толщина МДФ</t>
  </si>
  <si>
    <t xml:space="preserve">BC-41</t>
  </si>
  <si>
    <t xml:space="preserve">BC-46</t>
  </si>
  <si>
    <t xml:space="preserve">BC-47</t>
  </si>
  <si>
    <t xml:space="preserve">BC-32</t>
  </si>
  <si>
    <t xml:space="preserve">BC-48</t>
  </si>
  <si>
    <t xml:space="preserve">BC-42</t>
  </si>
  <si>
    <t xml:space="preserve">BC-49</t>
  </si>
  <si>
    <t xml:space="preserve">BC-50</t>
  </si>
  <si>
    <t xml:space="preserve">BC-43</t>
  </si>
  <si>
    <t xml:space="preserve">BC-51</t>
  </si>
  <si>
    <t xml:space="preserve">НФ-6</t>
  </si>
  <si>
    <t xml:space="preserve">BC-52</t>
  </si>
  <si>
    <t xml:space="preserve">BC-34</t>
  </si>
  <si>
    <t xml:space="preserve">BC-30</t>
  </si>
  <si>
    <t xml:space="preserve">ВС-17</t>
  </si>
  <si>
    <t xml:space="preserve">Уличные двери с терморазрывом</t>
  </si>
  <si>
    <t xml:space="preserve">Optima</t>
  </si>
  <si>
    <t xml:space="preserve">Credo</t>
  </si>
  <si>
    <t xml:space="preserve">Senator SP</t>
  </si>
  <si>
    <t xml:space="preserve">Senator Max SP</t>
  </si>
  <si>
    <t xml:space="preserve">Nova</t>
  </si>
  <si>
    <t xml:space="preserve">Imperato</t>
  </si>
  <si>
    <t xml:space="preserve">Уличные двери с терморазрывом и панелью HPL</t>
  </si>
  <si>
    <t xml:space="preserve">Veles Вяз шоколад</t>
  </si>
  <si>
    <t xml:space="preserve">НФТ-3</t>
  </si>
  <si>
    <t xml:space="preserve">НФТ-2</t>
  </si>
  <si>
    <t xml:space="preserve">НФТ-4</t>
  </si>
  <si>
    <t xml:space="preserve">НФТ-5</t>
  </si>
  <si>
    <t xml:space="preserve">Панель наружняя</t>
  </si>
  <si>
    <t xml:space="preserve">Наличник</t>
  </si>
  <si>
    <t xml:space="preserve">Классический стиль</t>
  </si>
  <si>
    <t xml:space="preserve">Ф-11</t>
  </si>
  <si>
    <t xml:space="preserve">Ф-20</t>
  </si>
  <si>
    <t xml:space="preserve">Ф-31</t>
  </si>
  <si>
    <t xml:space="preserve">Ф-36</t>
  </si>
  <si>
    <t xml:space="preserve">Ф-37</t>
  </si>
  <si>
    <t xml:space="preserve">Ф-48</t>
  </si>
  <si>
    <t xml:space="preserve">Ф-64</t>
  </si>
  <si>
    <t xml:space="preserve">Ф-71</t>
  </si>
  <si>
    <t xml:space="preserve">Ф-75</t>
  </si>
  <si>
    <t xml:space="preserve">Ф-88</t>
  </si>
  <si>
    <t xml:space="preserve">Ф-95</t>
  </si>
  <si>
    <t xml:space="preserve">Ф-99</t>
  </si>
  <si>
    <t xml:space="preserve">Ф-94</t>
  </si>
  <si>
    <t xml:space="preserve">Современный стиль</t>
  </si>
  <si>
    <t xml:space="preserve">Ячейку не занимать</t>
  </si>
  <si>
    <t xml:space="preserve">Ф-21</t>
  </si>
  <si>
    <t xml:space="preserve">Ф-22</t>
  </si>
  <si>
    <t xml:space="preserve">Ф-23</t>
  </si>
  <si>
    <t xml:space="preserve">Ф-26</t>
  </si>
  <si>
    <t xml:space="preserve">Ф-42</t>
  </si>
  <si>
    <t xml:space="preserve">Ф-24</t>
  </si>
  <si>
    <t xml:space="preserve">Ф-30</t>
  </si>
  <si>
    <t xml:space="preserve">Ф-32</t>
  </si>
  <si>
    <t xml:space="preserve">Ф-76</t>
  </si>
  <si>
    <t xml:space="preserve">Ф-79</t>
  </si>
  <si>
    <t xml:space="preserve">ГЛ-1</t>
  </si>
  <si>
    <t xml:space="preserve">Без панели</t>
  </si>
  <si>
    <t xml:space="preserve">С зеркалом</t>
  </si>
  <si>
    <t xml:space="preserve">ФЗ-1</t>
  </si>
  <si>
    <t xml:space="preserve">ФЗ-6</t>
  </si>
  <si>
    <t xml:space="preserve">ФЗ-7</t>
  </si>
  <si>
    <t xml:space="preserve">ФЗ-8</t>
  </si>
  <si>
    <t xml:space="preserve">Для моделей с стеклопакетом</t>
  </si>
  <si>
    <t xml:space="preserve">Ф-63 (Darkwood SP)</t>
  </si>
  <si>
    <t xml:space="preserve">Ф-81 (Drevos SP)</t>
  </si>
  <si>
    <t xml:space="preserve">Ф-96 (Senator Max SP)</t>
  </si>
  <si>
    <t xml:space="preserve">Ф-84 (Senator SP)</t>
  </si>
  <si>
    <t xml:space="preserve">нужно для формулы, не удалять</t>
  </si>
  <si>
    <t xml:space="preserve">Цвет покраски</t>
  </si>
  <si>
    <t xml:space="preserve">Плёнки ПВХ</t>
  </si>
  <si>
    <t xml:space="preserve">Древесная структура</t>
  </si>
  <si>
    <t xml:space="preserve">Название пленки</t>
  </si>
  <si>
    <t xml:space="preserve">Ривьера айс</t>
  </si>
  <si>
    <t xml:space="preserve">Лиственница капучино</t>
  </si>
  <si>
    <t xml:space="preserve">Канадский дуб арктик горизонтальный</t>
  </si>
  <si>
    <t xml:space="preserve">Канадский дуб пацифик горизонтальный</t>
  </si>
  <si>
    <t xml:space="preserve">Статус коньяк</t>
  </si>
  <si>
    <t xml:space="preserve">Дуб морёный</t>
  </si>
  <si>
    <t xml:space="preserve">Шпон дуб коньяк</t>
  </si>
  <si>
    <t xml:space="preserve">Орех каньон коньяк</t>
  </si>
  <si>
    <t xml:space="preserve">цена</t>
  </si>
  <si>
    <t xml:space="preserve">Дуб седан белый</t>
  </si>
  <si>
    <t xml:space="preserve">Дуб седан сиеста</t>
  </si>
  <si>
    <t xml:space="preserve">Дуб мадейра песок</t>
  </si>
  <si>
    <t xml:space="preserve">Дуб мадейра янтарь</t>
  </si>
  <si>
    <t xml:space="preserve">Дуб бодега натуральный</t>
  </si>
  <si>
    <t xml:space="preserve">Шпон дуб натуральный</t>
  </si>
  <si>
    <t xml:space="preserve">Дуб бодега золотой</t>
  </si>
  <si>
    <t xml:space="preserve">Дуб честерфилд лайт-грей</t>
  </si>
  <si>
    <t xml:space="preserve">Дуб бодега коричневый</t>
  </si>
  <si>
    <t xml:space="preserve">Лофт</t>
  </si>
  <si>
    <t xml:space="preserve">Бетон снежный</t>
  </si>
  <si>
    <t xml:space="preserve">Бетон светлый</t>
  </si>
  <si>
    <t xml:space="preserve">Бетон тёмный</t>
  </si>
  <si>
    <t xml:space="preserve">Верона графит</t>
  </si>
  <si>
    <t xml:space="preserve">Однотонные</t>
  </si>
  <si>
    <t xml:space="preserve">Белый матовый</t>
  </si>
  <si>
    <t xml:space="preserve">Санд айс</t>
  </si>
  <si>
    <t xml:space="preserve">Секвойя милк</t>
  </si>
  <si>
    <t xml:space="preserve">Лофт белый</t>
  </si>
  <si>
    <t xml:space="preserve">Секвойя какао</t>
  </si>
  <si>
    <t xml:space="preserve">Санд лайт грей</t>
  </si>
  <si>
    <t xml:space="preserve">Санд cмоук</t>
  </si>
  <si>
    <t xml:space="preserve">Санд грей</t>
  </si>
  <si>
    <t xml:space="preserve">Грей</t>
  </si>
  <si>
    <t xml:space="preserve">Секвойя латте</t>
  </si>
  <si>
    <t xml:space="preserve">Санд миди грей</t>
  </si>
  <si>
    <t xml:space="preserve">Санд антрацит</t>
  </si>
  <si>
    <t xml:space="preserve">Секвойя графит</t>
  </si>
  <si>
    <t xml:space="preserve">Санд дарк грей</t>
  </si>
  <si>
    <t xml:space="preserve">Морская волна</t>
  </si>
  <si>
    <t xml:space="preserve">Зелёный камень</t>
  </si>
  <si>
    <t xml:space="preserve">Олива</t>
  </si>
  <si>
    <t xml:space="preserve">Синий</t>
  </si>
  <si>
    <t xml:space="preserve">Красная Бургундия</t>
  </si>
  <si>
    <t xml:space="preserve">Чёрный матовый</t>
  </si>
  <si>
    <t xml:space="preserve">Название</t>
  </si>
  <si>
    <t xml:space="preserve">Характеристики</t>
  </si>
  <si>
    <t xml:space="preserve">Тип механизма: цилиндровый               Класс безопасности: 4;                 Количество ригелей: 3 шт.;      Диаметр ригелей: 15,8 мм;   Количество оборотов: 2;                    Страна производства: Китай</t>
  </si>
  <si>
    <t xml:space="preserve">Тип механизма: цилиндровый               Класс безопасности: 4;                 Количество ригелей: 3 шт.;      Диаметр ригелей: 15,8 мм;   Количество оборотов: 2;                    Страна производства: Россия</t>
  </si>
  <si>
    <t xml:space="preserve">Тип механизма: цилиндровый               Класс безопасности: 4;                 Количество ригелей: 3 шт.;      Диаметр ригелей: 16 мм;   Количество оборотов: 2;                    Страна производства: Турция</t>
  </si>
  <si>
    <t xml:space="preserve">Тип механизма: сувальдный               Класс безопасности: 4;                 Количество ригелей: 3 шт.;      Диаметр ригелей: 15,8 мм;   Количество полуоборотов: 2;                    Страна производства: Китай</t>
  </si>
  <si>
    <t xml:space="preserve">Тип механизма: сувальдный               Класс безопасности: 3;                 Количество ригелей: 3 шт.;      Диаметр ригелей: 15,8 мм;   Количество полуоборотов: 2;                    Страна производства: Россия</t>
  </si>
  <si>
    <t xml:space="preserve">Тип механизма: сувальдный           Класс безопасности: 4;                 Количество ригелей: 3 шт.;      Диаметр ригелей: 16 мм;   Количество оборотов: 2;                    Страна производства: Турция</t>
  </si>
  <si>
    <t xml:space="preserve">Face ID, Распознавание ладони, Отпечаток пальца, Пароль, IC карта, IC стикер, Механический ключ, Мобильное приложение Smart Life (Tuya) (Подключение к сети Wi-Fi); Язык озвучки: русский; Тип питания: аккумуляторная батарея 6000mAh; </t>
  </si>
  <si>
    <t xml:space="preserve">Отпечаток пальца, Пароль, IC карта, IC стикер, Механический ключ, Мобильное приложение TtLock (Подключение по Bluetooth); Язык озвучки: русский; Тип питания: 4 АА</t>
  </si>
  <si>
    <t xml:space="preserve">Face ID, Отпечаток пальца, Пароль, IC карта, IC стикер, Механический ключ, Мобильное приложение USmartGo (Подключение к сети Wi-Fi); Язык озвучки: русский; Тип питания: аккумуляторная батарея 4200mAh; </t>
  </si>
  <si>
    <t xml:space="preserve">Face ID, Распознавание ладони, Отпечаток пальца, Пароль, IC карта, IC стикер, Механический ключ, Мобильное приложение Smart Life (Tuya) (Подключение к сети Wi-Fi); Язык озвучки: русский; Тип питания: аккумуляторная батарея 5000mAh; </t>
  </si>
  <si>
    <t xml:space="preserve">Тип механизма: сувальдный               Класс безопасности: 4;                 Количество ригелей: 3  шт.;      Диаметр ригелей: 15,8 мм;   Количество полуоборотов: 2;     Количество комбинаций: высокая степень;                   Страна производства: Китай</t>
  </si>
  <si>
    <t xml:space="preserve">Тип механизма: сувальдный             Класс безопасности: 3;                  Количество регилей: 3 шт.;    Диаметр ригелей: 15,8 мм;   Количество полуоборотов: 2;        Количество комбинаций: 100 000;               Страна производства: Россия</t>
  </si>
  <si>
    <t xml:space="preserve">Тип механизма: сувальдный;                 Класс безопасности: 4;                Количество ригелей: 3 шт. ;        Диаметр ригелей:  16 мм;           Количество полуоборотов: 2; Количество комбинаций: 50 000;                                     Страна производства: Турция</t>
  </si>
  <si>
    <t xml:space="preserve">Тип механизма: цилиндровый ;                 Класс безопасности: 4;                Количество ригелей: 3 шт. ;        Диаметр ригелей:  15,8 мм;           Количество оборотов: 2;                                 Страна производства: Китай</t>
  </si>
  <si>
    <t xml:space="preserve">Тип механизма: цилиндровый;                          Класс безопасности: 4;                Количество ригелей: 3 шт. ;        Диаметр ригелей: 15,8 мм;           Количество оборотов: 2;                                     Страна производства: Россия</t>
  </si>
  <si>
    <t xml:space="preserve">Тип механизма: цилиндровый;                     Класс безопасности: 4;                Количество ригелей: 3 шт. ;        Диаметр ригелей: 16 мм;           Количество оборотов: 2;                                     Страна производства: Турция</t>
  </si>
  <si>
    <t xml:space="preserve">У Acuretto, Галеон, Фуаро нет дополнительного цилиндрового замка. Есть у других из перечисленных брендов</t>
  </si>
  <si>
    <t xml:space="preserve">Kale 257 врезной цилиндровый</t>
  </si>
  <si>
    <t xml:space="preserve">DOUBLE FORCE (32.01)</t>
  </si>
  <si>
    <t xml:space="preserve">Гардиан 12.01</t>
  </si>
  <si>
    <t xml:space="preserve">Гардиан 82.01</t>
  </si>
  <si>
    <t xml:space="preserve">Тип механизма: цилиндровый ;                 Класс безопасности: 4;                Количество ригелей: 3 шт. ;        Диаметр ригелей: 16  мм;           Количество оборотов: 3;                                 Страна производства: Турция </t>
  </si>
  <si>
    <t xml:space="preserve">Тип механизма: цилиндровый ;                 Класс безопасности: ;                Количество ригелей:  шт. ;        Диаметр ригелей:   мм;           Количество оборотов: ;                                 Страна производства: </t>
  </si>
  <si>
    <t xml:space="preserve">Тип механизма: цилиндровый ;                 Класс безопасности: 3;                Количество ригелей:  3 шт. ;        Диаметр ригелей:  13,5 мм;           Количество оборотов: 2;                                 Страна производства:  Россия</t>
  </si>
  <si>
    <t xml:space="preserve">Тип механизма: цилиндровый;                 Класс безопасности: 4;                Количество ригелей:  3 шт. ;        Диаметр ригелей:  15,8 мм;           Количество оборотов: 2;                                 Страна производства: Россия</t>
  </si>
  <si>
    <t xml:space="preserve">Есть премиальные у Гардиан еше 102.01 Т и 102.02. Т с 4 регилями</t>
  </si>
  <si>
    <t xml:space="preserve">До Acuretto использовали  DF</t>
  </si>
  <si>
    <t xml:space="preserve">Цилиндры</t>
  </si>
  <si>
    <t xml:space="preserve">Для квартирных дверей</t>
  </si>
  <si>
    <t xml:space="preserve">Для уличных дверей</t>
  </si>
  <si>
    <t xml:space="preserve">DWF Profi </t>
  </si>
  <si>
    <t xml:space="preserve">Fuaro D-Pro 507</t>
  </si>
  <si>
    <t xml:space="preserve">Secureme K-2</t>
  </si>
  <si>
    <t xml:space="preserve">Guardian GS Termo</t>
  </si>
  <si>
    <t xml:space="preserve">Защита от бампинга - нет
Защита от вырывания - нет
Защита от высверливания - нет
Защита от излома - нет
Класс безопасности - 2
Количество комбинаций - 50 000
Материал ключа - сталь
Материал цилиндра - ЦАМ
Перекодировка - Нет</t>
  </si>
  <si>
    <t xml:space="preserve">Защита от бампинга - Нет
Защита от вырывания - Нет
Защита от высверливания - Да
Защита от излома - Нет
Класс безопасности - 2
Количество комбинаций - Более 78 000
Материал ключа - Латунь
Материал цилиндра - Zamak
Перекодировка - Нет</t>
  </si>
  <si>
    <t xml:space="preserve">Защита от бампинга - Да
Защита от вырывания - Да
Защита от высверливания - Да
Защита от излома - Да
Класс безопасности - 3
Количество комбинаций - 250 000
Материал ключа - латунь
Материал цилиндра - латунь
Перекодировка - Да
Есть система защиты от отмычек</t>
  </si>
  <si>
    <t xml:space="preserve">Защита от бампинга - Да
Защита от вырывания - нет
Защита от высверливания - Да
Защита от излома - нет
Класс безопасности - 3
Количество комбинаций - Более 2,5 млн.
Материал ключа - латунь
Материал цилиндра - латунь
Перекодировка - нет
Есть система защиты от отмычек</t>
  </si>
  <si>
    <t xml:space="preserve">Ячейки ниже не трогать</t>
  </si>
  <si>
    <t xml:space="preserve">основной</t>
  </si>
  <si>
    <t xml:space="preserve">дополнительный</t>
  </si>
  <si>
    <t xml:space="preserve">Квартирные двери</t>
  </si>
  <si>
    <t xml:space="preserve">Под все модели МП идёт цилиндр 55/10/25 со штоком</t>
  </si>
  <si>
    <t xml:space="preserve">Под все модели ПП идёт цилиндр 60/10/25 со штоком</t>
  </si>
  <si>
    <t xml:space="preserve">На все модели МП и ПП идёт цилиндр 60/10/25 со штоком</t>
  </si>
  <si>
    <t xml:space="preserve">Прямоугольное основание</t>
  </si>
  <si>
    <t xml:space="preserve">Накладка цилиндрового замка</t>
  </si>
  <si>
    <t xml:space="preserve">Накладка сувальдного замка</t>
  </si>
  <si>
    <t xml:space="preserve">глазок</t>
  </si>
  <si>
    <t xml:space="preserve">ночная задвижка-поворотник</t>
  </si>
  <si>
    <t xml:space="preserve">Вертушок на шток цилиндра</t>
  </si>
  <si>
    <t xml:space="preserve">золото</t>
  </si>
  <si>
    <t xml:space="preserve">100 руб</t>
  </si>
  <si>
    <t xml:space="preserve">Название модели</t>
  </si>
  <si>
    <t xml:space="preserve">Броненакладка + накладка под шток (21 серия), матовое золото</t>
  </si>
  <si>
    <t xml:space="preserve">405 + 60</t>
  </si>
  <si>
    <t xml:space="preserve">накладка основного замка</t>
  </si>
  <si>
    <t xml:space="preserve">накладка дополнительного замка</t>
  </si>
  <si>
    <t xml:space="preserve">черная</t>
  </si>
  <si>
    <t xml:space="preserve">57 руб</t>
  </si>
  <si>
    <t xml:space="preserve">Броненакладка врезная PALIDORE 050-080-C SSC черная, шт + Накладка PALIDORE шток черная 050-03 SSC, шт</t>
  </si>
  <si>
    <t xml:space="preserve">Накладка PALIDORE сувальдная черная 050-02 SSC, шт</t>
  </si>
  <si>
    <t xml:space="preserve">350+ 60</t>
  </si>
  <si>
    <t xml:space="preserve">70+70</t>
  </si>
  <si>
    <t xml:space="preserve">60 руб</t>
  </si>
  <si>
    <t xml:space="preserve">Броненакладка врезная PALIDORE 050-080-C SSC матовый хром, шт + Накладка PALIDORE шток матовый хром 050-03 SSC</t>
  </si>
  <si>
    <t xml:space="preserve">Накладка PALIDORE сувальдная матовый хром 050-02 SSC, шт</t>
  </si>
  <si>
    <t xml:space="preserve">350+60</t>
  </si>
  <si>
    <t xml:space="preserve">Овальное основание</t>
  </si>
  <si>
    <t xml:space="preserve">вертушок на шток цилиндра</t>
  </si>
  <si>
    <t xml:space="preserve">Броненакладка врезная (Protector Pro 50/27) бронза, шт + Накладка под шток  (DP-K-11-AB) бронза, шт</t>
  </si>
  <si>
    <t xml:space="preserve">Накладка сувальдная "под КРИТ", бронза (DP-13-S-Auto), шт + Накладка сув. овальная (DP-12-S) бронза, шт</t>
  </si>
  <si>
    <t xml:space="preserve">Глазок круглый 50х90/Бронза, шт+Удлинитель Глазка</t>
  </si>
  <si>
    <t xml:space="preserve">395+81</t>
  </si>
  <si>
    <t xml:space="preserve">90+120</t>
  </si>
  <si>
    <t xml:space="preserve">205+43</t>
  </si>
  <si>
    <t xml:space="preserve">Броненакладка овальная врезная, черн + Накладка под шток овальная, черн</t>
  </si>
  <si>
    <t xml:space="preserve">Накладка сувальдная "под КРИТ", черная + Накладка сувальдная овальная черн, шт</t>
  </si>
  <si>
    <t xml:space="preserve">220+50</t>
  </si>
  <si>
    <t xml:space="preserve">151+50</t>
  </si>
  <si>
    <t xml:space="preserve">74 руб</t>
  </si>
  <si>
    <t xml:space="preserve">Броненакладка врезная + Накладка цилиндровая/овальная/дешёвая</t>
  </si>
  <si>
    <t xml:space="preserve">Накладка сувальдная "под КРИТ", компл + Накладка сувальдная/овальная/дешевая, шт</t>
  </si>
  <si>
    <t xml:space="preserve">Вертушек, шт</t>
  </si>
  <si>
    <t xml:space="preserve">Вертушок на шток, хром </t>
  </si>
  <si>
    <t xml:space="preserve">245+ 19,5</t>
  </si>
  <si>
    <t xml:space="preserve">55+32</t>
  </si>
  <si>
    <t xml:space="preserve">Не трогать!</t>
  </si>
  <si>
    <t xml:space="preserve">Бугельная ручка с нажимным механизмом</t>
  </si>
  <si>
    <t xml:space="preserve">1600*60</t>
  </si>
  <si>
    <t xml:space="preserve">1800*60</t>
  </si>
  <si>
    <t xml:space="preserve">Порог из шлифованной нержавейки</t>
  </si>
  <si>
    <t xml:space="preserve">характеристики</t>
  </si>
  <si>
    <t xml:space="preserve">Без терморазрыва</t>
  </si>
  <si>
    <t xml:space="preserve">С терморазрывом</t>
  </si>
  <si>
    <t xml:space="preserve">HPL</t>
  </si>
  <si>
    <t xml:space="preserve">Дуб чарлстон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</si>
</sst>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#,##0.00;\(#,##0.00\)"/>
    <numFmt numFmtId="166" formatCode="#,##0.00"/>
    <numFmt numFmtId="167" formatCode="0"/>
    <numFmt numFmtId="168" formatCode="0.000"/>
    <numFmt numFmtId="169" formatCode="0.0"/>
    <numFmt numFmtId="170" formatCode="0.00"/>
    <numFmt numFmtId="171" formatCode="m/d/yyyy"/>
    <numFmt numFmtId="172" formatCode="#,##0&quot;руб.&quot;"/>
  </numFmts>
  <fonts count="57">
    <font>
      <sz val="11"/>
      <color theme="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35"/>
      <color theme="1"/>
      <name val="Times New Roman"/>
      <family val="0"/>
      <charset val="1"/>
    </font>
    <font>
      <b val="true"/>
      <sz val="35"/>
      <color rgb="FF000000"/>
      <name val="Times New Roman"/>
      <family val="0"/>
      <charset val="1"/>
    </font>
    <font>
      <b val="true"/>
      <sz val="24"/>
      <color theme="1"/>
      <name val="Times New Roman"/>
      <family val="0"/>
      <charset val="1"/>
    </font>
    <font>
      <b val="true"/>
      <sz val="11"/>
      <color theme="1"/>
      <name val="Calibri"/>
      <family val="0"/>
      <charset val="1"/>
    </font>
    <font>
      <b val="true"/>
      <sz val="13"/>
      <color rgb="FF000000"/>
      <name val="Times New Roman"/>
      <family val="0"/>
      <charset val="1"/>
    </font>
    <font>
      <b val="true"/>
      <sz val="13"/>
      <color rgb="FFFFFFFF"/>
      <name val="Times New Roman"/>
      <family val="0"/>
      <charset val="1"/>
    </font>
    <font>
      <b val="true"/>
      <sz val="14"/>
      <color theme="1"/>
      <name val="Calibri"/>
      <family val="0"/>
      <charset val="1"/>
    </font>
    <font>
      <sz val="14"/>
      <color theme="1"/>
      <name val="Calibri"/>
      <family val="0"/>
      <charset val="1"/>
    </font>
    <font>
      <b val="true"/>
      <sz val="14"/>
      <color rgb="FFFFFFFF"/>
      <name val="Calibri"/>
      <family val="0"/>
      <charset val="1"/>
    </font>
    <font>
      <sz val="14"/>
      <color rgb="FFFFFFFF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4"/>
      <color theme="1"/>
      <name val="Times New Roman"/>
      <family val="0"/>
      <charset val="1"/>
    </font>
    <font>
      <b val="true"/>
      <sz val="14"/>
      <color rgb="FF00FF00"/>
      <name val="Calibri"/>
      <family val="0"/>
      <charset val="1"/>
    </font>
    <font>
      <b val="true"/>
      <sz val="14"/>
      <color rgb="FFFFFFFF"/>
      <name val="Times New Roman"/>
      <family val="0"/>
      <charset val="1"/>
    </font>
    <font>
      <b val="true"/>
      <sz val="14"/>
      <color rgb="FFFFFF00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b val="true"/>
      <sz val="14"/>
      <color rgb="FF000000"/>
      <name val="Times New Roman"/>
      <family val="0"/>
      <charset val="1"/>
    </font>
    <font>
      <sz val="10"/>
      <name val="Arial"/>
      <family val="2"/>
    </font>
    <font>
      <sz val="14"/>
      <color theme="1"/>
      <name val="Arial"/>
      <family val="0"/>
      <charset val="1"/>
    </font>
    <font>
      <sz val="14"/>
      <color theme="1"/>
      <name val="Times New Roman"/>
      <family val="0"/>
      <charset val="1"/>
    </font>
    <font>
      <sz val="14"/>
      <color rgb="FFFFFFFF"/>
      <name val="Times New Roman"/>
      <family val="0"/>
      <charset val="1"/>
    </font>
    <font>
      <sz val="14"/>
      <color rgb="FF000000"/>
      <name val="Times New Roman"/>
      <family val="0"/>
      <charset val="1"/>
    </font>
    <font>
      <b val="true"/>
      <sz val="15"/>
      <color theme="1"/>
      <name val="Calibri"/>
      <family val="0"/>
      <charset val="1"/>
    </font>
    <font>
      <sz val="11"/>
      <color theme="1"/>
      <name val="Arial"/>
      <family val="0"/>
      <charset val="1"/>
    </font>
    <font>
      <b val="true"/>
      <strike val="true"/>
      <sz val="14"/>
      <color theme="1"/>
      <name val="Times New Roman"/>
      <family val="0"/>
      <charset val="1"/>
    </font>
    <font>
      <b val="true"/>
      <sz val="16"/>
      <color theme="1"/>
      <name val="Times New Roman"/>
      <family val="0"/>
      <charset val="1"/>
    </font>
    <font>
      <b val="true"/>
      <sz val="12"/>
      <color theme="1"/>
      <name val="Calibri"/>
      <family val="0"/>
      <charset val="1"/>
    </font>
    <font>
      <sz val="11"/>
      <color rgb="FFFFFFFF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b val="true"/>
      <sz val="12"/>
      <color rgb="FFFF0000"/>
      <name val="Calibri"/>
      <family val="0"/>
      <charset val="1"/>
    </font>
    <font>
      <b val="true"/>
      <sz val="12"/>
      <color rgb="FF666666"/>
      <name val="Calibri"/>
      <family val="0"/>
      <charset val="1"/>
    </font>
    <font>
      <b val="true"/>
      <sz val="12"/>
      <color rgb="FFCC0000"/>
      <name val="Calibri"/>
      <family val="0"/>
      <charset val="1"/>
    </font>
    <font>
      <b val="true"/>
      <sz val="12"/>
      <color rgb="FFFFFFFF"/>
      <name val="Calibri"/>
      <family val="0"/>
      <charset val="1"/>
    </font>
    <font>
      <sz val="11"/>
      <color rgb="FFFF9900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sz val="16"/>
      <color theme="1"/>
      <name val="Calibri"/>
      <family val="0"/>
      <charset val="1"/>
    </font>
    <font>
      <b val="true"/>
      <sz val="14"/>
      <color rgb="FFCC0000"/>
      <name val="Calibri"/>
      <family val="0"/>
      <charset val="1"/>
    </font>
    <font>
      <b val="true"/>
      <sz val="16"/>
      <color theme="1"/>
      <name val="Calibri"/>
      <family val="0"/>
      <charset val="1"/>
    </font>
    <font>
      <b val="true"/>
      <sz val="13"/>
      <color theme="1"/>
      <name val="Calibri"/>
      <family val="0"/>
      <charset val="1"/>
    </font>
    <font>
      <sz val="11"/>
      <color rgb="FF000000"/>
      <name val="Calibri"/>
      <family val="0"/>
      <charset val="1"/>
    </font>
    <font>
      <sz val="13"/>
      <color theme="1"/>
      <name val="Calibri"/>
      <family val="0"/>
      <charset val="1"/>
    </font>
    <font>
      <sz val="13"/>
      <color rgb="FF000000"/>
      <name val="Arial"/>
      <family val="0"/>
      <charset val="1"/>
    </font>
    <font>
      <sz val="11"/>
      <color rgb="FF000000"/>
      <name val="Arial"/>
      <family val="0"/>
      <charset val="1"/>
    </font>
    <font>
      <sz val="13"/>
      <color rgb="FF000000"/>
      <name val="Calibri"/>
      <family val="0"/>
      <charset val="1"/>
    </font>
    <font>
      <b val="true"/>
      <sz val="18"/>
      <color theme="1"/>
      <name val="Calibri"/>
      <family val="0"/>
      <charset val="1"/>
    </font>
    <font>
      <sz val="14"/>
      <color rgb="FFFF0000"/>
      <name val="Calibri"/>
      <family val="0"/>
      <charset val="1"/>
    </font>
    <font>
      <b val="true"/>
      <sz val="15"/>
      <color rgb="FF000000"/>
      <name val="Calibri"/>
      <family val="0"/>
      <charset val="1"/>
    </font>
    <font>
      <sz val="11"/>
      <color rgb="FFFF0000"/>
      <name val="Calibri"/>
      <family val="0"/>
      <charset val="1"/>
    </font>
    <font>
      <u val="single"/>
      <sz val="11"/>
      <color rgb="FF0563C1"/>
      <name val="Calibri"/>
      <family val="0"/>
      <charset val="1"/>
    </font>
    <font>
      <u val="single"/>
      <sz val="11"/>
      <color rgb="FF0000FF"/>
      <name val="Cambria"/>
      <family val="0"/>
      <charset val="1"/>
    </font>
    <font>
      <sz val="12"/>
      <color theme="1"/>
      <name val="Calibri"/>
      <family val="0"/>
      <charset val="1"/>
    </font>
    <font>
      <b val="true"/>
      <sz val="11"/>
      <color rgb="FFFF0000"/>
      <name val="Calibri"/>
      <family val="0"/>
      <charset val="1"/>
    </font>
  </fonts>
  <fills count="40">
    <fill>
      <patternFill patternType="none"/>
    </fill>
    <fill>
      <patternFill patternType="gray125"/>
    </fill>
    <fill>
      <patternFill patternType="solid">
        <fgColor rgb="FFFFFFFF"/>
        <bgColor rgb="FFF3F3F3"/>
      </patternFill>
    </fill>
    <fill>
      <patternFill patternType="solid">
        <fgColor rgb="FFF3F3F3"/>
        <bgColor rgb="FFEFEFEF"/>
      </patternFill>
    </fill>
    <fill>
      <patternFill patternType="solid">
        <fgColor rgb="FF1155CC"/>
        <bgColor rgb="FF0A53A8"/>
      </patternFill>
    </fill>
    <fill>
      <patternFill patternType="solid">
        <fgColor rgb="FFCC0000"/>
        <bgColor rgb="FFC00000"/>
      </patternFill>
    </fill>
    <fill>
      <patternFill patternType="solid">
        <fgColor rgb="FFFF9900"/>
        <bgColor rgb="FFFF6600"/>
      </patternFill>
    </fill>
    <fill>
      <patternFill patternType="solid">
        <fgColor rgb="FF980000"/>
        <bgColor rgb="FFC00000"/>
      </patternFill>
    </fill>
    <fill>
      <patternFill patternType="solid">
        <fgColor rgb="FF595959"/>
        <bgColor rgb="FF666666"/>
      </patternFill>
    </fill>
    <fill>
      <patternFill patternType="solid">
        <fgColor rgb="FFD9EAD3"/>
        <bgColor rgb="FFD0E0E3"/>
      </patternFill>
    </fill>
    <fill>
      <patternFill patternType="solid">
        <fgColor rgb="FFC00000"/>
        <bgColor rgb="FFCC0000"/>
      </patternFill>
    </fill>
    <fill>
      <patternFill patternType="solid">
        <fgColor rgb="FFFF0000"/>
        <bgColor rgb="FFCC0000"/>
      </patternFill>
    </fill>
    <fill>
      <patternFill patternType="solid">
        <fgColor rgb="FF666666"/>
        <bgColor rgb="FF595959"/>
      </patternFill>
    </fill>
    <fill>
      <patternFill patternType="solid">
        <fgColor rgb="FFFFFF00"/>
        <bgColor rgb="FFFFD966"/>
      </patternFill>
    </fill>
    <fill>
      <patternFill patternType="solid">
        <fgColor rgb="FF00FF00"/>
        <bgColor rgb="FF00FFFF"/>
      </patternFill>
    </fill>
    <fill>
      <patternFill patternType="solid">
        <fgColor rgb="FFFFD966"/>
        <bgColor rgb="FFFFE599"/>
      </patternFill>
    </fill>
    <fill>
      <patternFill patternType="solid">
        <fgColor rgb="FFA4C2F4"/>
        <bgColor rgb="FFA2C4C9"/>
      </patternFill>
    </fill>
    <fill>
      <patternFill patternType="solid">
        <fgColor rgb="FF0000FF"/>
        <bgColor rgb="FF0000FF"/>
      </patternFill>
    </fill>
    <fill>
      <patternFill patternType="solid">
        <fgColor rgb="FFFFE599"/>
        <bgColor rgb="FFFFD966"/>
      </patternFill>
    </fill>
    <fill>
      <patternFill patternType="solid">
        <fgColor rgb="FF11734B"/>
        <bgColor rgb="FF008000"/>
      </patternFill>
    </fill>
    <fill>
      <patternFill patternType="solid">
        <fgColor rgb="FFB4A7D6"/>
        <bgColor rgb="FFA4C2F4"/>
      </patternFill>
    </fill>
    <fill>
      <patternFill patternType="solid">
        <fgColor rgb="FFB6D7A8"/>
        <bgColor rgb="FFC5E0B3"/>
      </patternFill>
    </fill>
    <fill>
      <patternFill patternType="solid">
        <fgColor rgb="FFC27BA0"/>
        <bgColor rgb="FF8E7CC3"/>
      </patternFill>
    </fill>
    <fill>
      <patternFill patternType="solid">
        <fgColor rgb="FFF6B26B"/>
        <bgColor rgb="FFFFD966"/>
      </patternFill>
    </fill>
    <fill>
      <patternFill patternType="solid">
        <fgColor rgb="FFA2C4C9"/>
        <bgColor rgb="FFA4C2F4"/>
      </patternFill>
    </fill>
    <fill>
      <patternFill patternType="solid">
        <fgColor rgb="FFD0E0E3"/>
        <bgColor rgb="FFD9D9D9"/>
      </patternFill>
    </fill>
    <fill>
      <patternFill patternType="solid">
        <fgColor rgb="FF93C47D"/>
        <bgColor rgb="FF92D050"/>
      </patternFill>
    </fill>
    <fill>
      <patternFill patternType="solid">
        <fgColor rgb="FFA64D79"/>
        <bgColor rgb="FF993366"/>
      </patternFill>
    </fill>
    <fill>
      <patternFill patternType="solid">
        <fgColor rgb="FF8E7CC3"/>
        <bgColor rgb="FF999999"/>
      </patternFill>
    </fill>
    <fill>
      <patternFill patternType="solid">
        <fgColor rgb="FFEFEFEF"/>
        <bgColor rgb="FFF3F3F3"/>
      </patternFill>
    </fill>
    <fill>
      <patternFill patternType="solid">
        <fgColor rgb="FF0A53A8"/>
        <bgColor rgb="FF1155CC"/>
      </patternFill>
    </fill>
    <fill>
      <patternFill patternType="solid">
        <fgColor rgb="FF999999"/>
        <bgColor rgb="FF8E7CC3"/>
      </patternFill>
    </fill>
    <fill>
      <patternFill patternType="solid">
        <fgColor rgb="FFCCCCCC"/>
        <bgColor rgb="FFD9D9D9"/>
      </patternFill>
    </fill>
    <fill>
      <patternFill patternType="solid">
        <fgColor rgb="FF336699"/>
        <bgColor rgb="FF0A53A8"/>
      </patternFill>
    </fill>
    <fill>
      <patternFill patternType="solid">
        <fgColor rgb="FFFFF2CC"/>
        <bgColor rgb="FFF3F3F3"/>
      </patternFill>
    </fill>
    <fill>
      <patternFill patternType="solid">
        <fgColor rgb="FFD9D9D9"/>
        <bgColor rgb="FFD0E0E3"/>
      </patternFill>
    </fill>
    <fill>
      <patternFill patternType="solid">
        <fgColor rgb="FFC5E0B3"/>
        <bgColor rgb="FFB6D7A8"/>
      </patternFill>
    </fill>
    <fill>
      <patternFill patternType="solid">
        <fgColor rgb="FFF4CCCC"/>
        <bgColor rgb="FFD9D9D9"/>
      </patternFill>
    </fill>
    <fill>
      <patternFill patternType="solid">
        <fgColor rgb="FF92D050"/>
        <bgColor rgb="FF93C47D"/>
      </patternFill>
    </fill>
    <fill>
      <patternFill patternType="solid">
        <fgColor rgb="FFC9DAF8"/>
        <bgColor rgb="FFD0E0E3"/>
      </patternFill>
    </fill>
  </fills>
  <borders count="66">
    <border diagonalUp="false" diagonalDown="false">
      <left/>
      <right/>
      <top/>
      <bottom/>
      <diagonal/>
    </border>
    <border diagonalUp="false" diagonalDown="false">
      <left style="thick"/>
      <right style="thick"/>
      <top style="thick"/>
      <bottom style="thick"/>
      <diagonal/>
    </border>
    <border diagonalUp="false" diagonalDown="false">
      <left style="thick"/>
      <right style="thick"/>
      <top style="thick"/>
      <bottom/>
      <diagonal/>
    </border>
    <border diagonalUp="false" diagonalDown="false">
      <left style="thick"/>
      <right style="medium"/>
      <top style="thick"/>
      <bottom/>
      <diagonal/>
    </border>
    <border diagonalUp="false" diagonalDown="false">
      <left style="medium"/>
      <right style="medium"/>
      <top style="thick"/>
      <bottom/>
      <diagonal/>
    </border>
    <border diagonalUp="false" diagonalDown="false">
      <left style="medium"/>
      <right style="thick"/>
      <top style="thick"/>
      <bottom/>
      <diagonal/>
    </border>
    <border diagonalUp="false" diagonalDown="false">
      <left style="thick"/>
      <right style="medium"/>
      <top style="double"/>
      <bottom/>
      <diagonal/>
    </border>
    <border diagonalUp="false" diagonalDown="false">
      <left style="medium"/>
      <right style="thick"/>
      <top style="double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ck">
        <color rgb="FFFF0000"/>
      </left>
      <right style="thin"/>
      <top style="thick">
        <color rgb="FFFF0000"/>
      </top>
      <bottom style="thin"/>
      <diagonal/>
    </border>
    <border diagonalUp="false" diagonalDown="false">
      <left style="thin"/>
      <right style="thin"/>
      <top style="thick">
        <color rgb="FFFF0000"/>
      </top>
      <bottom style="thin"/>
      <diagonal/>
    </border>
    <border diagonalUp="false" diagonalDown="false">
      <left style="thin"/>
      <right style="thick">
        <color rgb="FFFF0000"/>
      </right>
      <top style="thick">
        <color rgb="FFFF0000"/>
      </top>
      <bottom style="thin"/>
      <diagonal/>
    </border>
    <border diagonalUp="false" diagonalDown="false">
      <left style="thick">
        <color rgb="FFFF0000"/>
      </left>
      <right style="thin"/>
      <top style="thin"/>
      <bottom style="thin"/>
      <diagonal/>
    </border>
    <border diagonalUp="false" diagonalDown="false">
      <left style="thin"/>
      <right style="thick">
        <color rgb="FFFF0000"/>
      </right>
      <top style="thin"/>
      <bottom style="thin"/>
      <diagonal/>
    </border>
    <border diagonalUp="false" diagonalDown="false">
      <left style="thick">
        <color rgb="FFFF0000"/>
      </left>
      <right style="thin"/>
      <top style="thin"/>
      <bottom/>
      <diagonal/>
    </border>
    <border diagonalUp="false" diagonalDown="false">
      <left style="thin"/>
      <right style="thick">
        <color rgb="FFFF0000"/>
      </right>
      <top style="thin"/>
      <bottom/>
      <diagonal/>
    </border>
    <border diagonalUp="false" diagonalDown="false">
      <left style="thick">
        <color rgb="FFFF0000"/>
      </left>
      <right style="thin"/>
      <top style="thin"/>
      <bottom style="thick">
        <color rgb="FFFF0000"/>
      </bottom>
      <diagonal/>
    </border>
    <border diagonalUp="false" diagonalDown="false">
      <left style="thin"/>
      <right style="thin"/>
      <top style="thin"/>
      <bottom style="thick">
        <color rgb="FFFF0000"/>
      </bottom>
      <diagonal/>
    </border>
    <border diagonalUp="false" diagonalDown="false">
      <left style="thin"/>
      <right style="thick">
        <color rgb="FFFF0000"/>
      </right>
      <top style="thin"/>
      <bottom style="thick">
        <color rgb="FFFF0000"/>
      </bottom>
      <diagonal/>
    </border>
    <border diagonalUp="false" diagonalDown="false">
      <left style="thick">
        <color rgb="FFFF0000"/>
      </left>
      <right style="thin"/>
      <top/>
      <bottom style="thin"/>
      <diagonal/>
    </border>
    <border diagonalUp="false" diagonalDown="false">
      <left style="thin"/>
      <right style="thick">
        <color rgb="FFFF0000"/>
      </right>
      <top/>
      <bottom style="thin"/>
      <diagonal/>
    </border>
    <border diagonalUp="false" diagonalDown="false">
      <left style="thick">
        <color rgb="FFFF0000"/>
      </left>
      <right/>
      <top style="thick">
        <color rgb="FFFF0000"/>
      </top>
      <bottom/>
      <diagonal/>
    </border>
    <border diagonalUp="false" diagonalDown="false">
      <left/>
      <right/>
      <top style="thick">
        <color rgb="FFFF0000"/>
      </top>
      <bottom/>
      <diagonal/>
    </border>
    <border diagonalUp="false" diagonalDown="false">
      <left/>
      <right style="thick">
        <color rgb="FFFF0000"/>
      </right>
      <top style="thick">
        <color rgb="FFFF0000"/>
      </top>
      <bottom/>
      <diagonal/>
    </border>
    <border diagonalUp="false" diagonalDown="false">
      <left style="thick">
        <color rgb="FFFF0000"/>
      </left>
      <right/>
      <top/>
      <bottom/>
      <diagonal/>
    </border>
    <border diagonalUp="false" diagonalDown="false">
      <left/>
      <right style="thick">
        <color rgb="FFFF0000"/>
      </right>
      <top/>
      <bottom/>
      <diagonal/>
    </border>
    <border diagonalUp="false" diagonalDown="false">
      <left/>
      <right style="thin"/>
      <top style="thin"/>
      <bottom style="thick">
        <color rgb="FFFF0000"/>
      </bottom>
      <diagonal/>
    </border>
    <border diagonalUp="false" diagonalDown="false">
      <left/>
      <right style="thick">
        <color rgb="FFFF0000"/>
      </right>
      <top style="thin"/>
      <bottom style="thick">
        <color rgb="FFFF0000"/>
      </bottom>
      <diagonal/>
    </border>
    <border diagonalUp="false" diagonalDown="false">
      <left style="thin"/>
      <right/>
      <top style="thick">
        <color rgb="FFFF0000"/>
      </top>
      <bottom style="thin"/>
      <diagonal/>
    </border>
    <border diagonalUp="false" diagonalDown="false">
      <left style="thin"/>
      <right/>
      <top style="thin"/>
      <bottom style="thick">
        <color rgb="FFFF0000"/>
      </bottom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ck">
        <color rgb="FFFF0000"/>
      </right>
      <top style="thick">
        <color rgb="FFFF0000"/>
      </top>
      <bottom style="thin"/>
      <diagonal/>
    </border>
    <border diagonalUp="false" diagonalDown="false">
      <left/>
      <right style="thick">
        <color rgb="FFFF0000"/>
      </right>
      <top style="thin"/>
      <bottom style="thin"/>
      <diagonal/>
    </border>
    <border diagonalUp="false" diagonalDown="false">
      <left/>
      <right/>
      <top style="thin"/>
      <bottom style="thick">
        <color rgb="FFFF0000"/>
      </bottom>
      <diagonal/>
    </border>
    <border diagonalUp="false" diagonalDown="false"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 diagonalUp="false" diagonalDown="false">
      <left style="thick">
        <color rgb="FFFF0000"/>
      </left>
      <right style="thick">
        <color rgb="FFFF0000"/>
      </right>
      <top style="thick">
        <color rgb="FFFF0000"/>
      </top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ck">
        <color rgb="FFFF0000"/>
      </bottom>
      <diagonal/>
    </border>
    <border diagonalUp="false" diagonalDown="false">
      <left style="thick"/>
      <right style="thin"/>
      <top/>
      <bottom style="thin"/>
      <diagonal/>
    </border>
    <border diagonalUp="false" diagonalDown="false">
      <left style="thin"/>
      <right style="thick"/>
      <top/>
      <bottom style="thin"/>
      <diagonal/>
    </border>
    <border diagonalUp="false" diagonalDown="false">
      <left style="thick"/>
      <right style="thin"/>
      <top style="thin"/>
      <bottom style="thin"/>
      <diagonal/>
    </border>
    <border diagonalUp="false" diagonalDown="false">
      <left style="thin"/>
      <right style="thick"/>
      <top style="thin"/>
      <bottom style="thin"/>
      <diagonal/>
    </border>
    <border diagonalUp="false" diagonalDown="false">
      <left style="thick"/>
      <right style="thin"/>
      <top style="thin"/>
      <bottom/>
      <diagonal/>
    </border>
    <border diagonalUp="false" diagonalDown="false">
      <left style="thin"/>
      <right style="thick"/>
      <top style="thin"/>
      <bottom/>
      <diagonal/>
    </border>
    <border diagonalUp="false" diagonalDown="false">
      <left style="thick"/>
      <right/>
      <top/>
      <bottom/>
      <diagonal/>
    </border>
    <border diagonalUp="false" diagonalDown="false">
      <left/>
      <right style="thick"/>
      <top/>
      <bottom/>
      <diagonal/>
    </border>
    <border diagonalUp="false" diagonalDown="false">
      <left style="thick"/>
      <right style="thin"/>
      <top style="thin"/>
      <bottom style="thick"/>
      <diagonal/>
    </border>
    <border diagonalUp="false" diagonalDown="false">
      <left style="thin"/>
      <right style="thin"/>
      <top style="thin"/>
      <bottom style="thick"/>
      <diagonal/>
    </border>
    <border diagonalUp="false" diagonalDown="false">
      <left style="thin"/>
      <right style="thick"/>
      <top style="thin"/>
      <bottom style="thick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thick"/>
      <right style="thin"/>
      <top style="thick"/>
      <bottom style="thin"/>
      <diagonal/>
    </border>
    <border diagonalUp="false" diagonalDown="false">
      <left style="thin"/>
      <right style="thin"/>
      <top style="thick"/>
      <bottom style="thin"/>
      <diagonal/>
    </border>
    <border diagonalUp="false" diagonalDown="false">
      <left style="thin"/>
      <right style="thick"/>
      <top style="thick"/>
      <bottom style="thin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8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9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9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8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8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8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4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1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9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9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3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8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8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8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7" fillId="8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7" fillId="8" borderId="1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7" fillId="8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8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5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3" fillId="2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3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2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13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23" fillId="13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3" fillId="14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3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3" fillId="15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15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23" fillId="15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5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3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5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2" fillId="15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1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16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4" fillId="1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" fillId="1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23" fillId="13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3" fillId="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3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3" fillId="13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1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1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8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18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23" fillId="18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8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3" fillId="13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5" fillId="18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7" fillId="19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1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18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2" fillId="18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1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8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8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3" fillId="14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3" fillId="2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8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3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18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23" fillId="2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2" borderId="1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2" borderId="1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3" fillId="18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18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5" fillId="18" borderId="1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3" fillId="18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18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3" fillId="18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23" fillId="2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8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1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2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4" fillId="2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8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18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3" fillId="18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8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3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3" fillId="2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3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13" borderId="1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3" fillId="1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1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13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1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3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13" borderId="1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3" fillId="1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13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3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3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3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13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2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13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13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13" borderId="2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23" fillId="2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3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3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3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4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9" borderId="1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9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9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9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9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9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9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13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3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1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13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3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2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18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18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3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3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7" fillId="0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7" fillId="0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25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5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7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3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3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3" fillId="2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2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2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3" fillId="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0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1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0" borderId="2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1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1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2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2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3" fillId="14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3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3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14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2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23" fillId="14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23" fillId="14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2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24" fillId="27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13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2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2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2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3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2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9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9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6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9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9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9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9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9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3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13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13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3" fillId="2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13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3" borderId="2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3" fillId="9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3" fillId="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3" fillId="11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23" fillId="11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1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1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2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3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23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0" fontId="23" fillId="1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2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23" fillId="2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4" fillId="17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4" fillId="17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4" fillId="17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27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21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25" fillId="21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7" fillId="2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3" fillId="28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3" fillId="18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3" fillId="21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5" fillId="2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21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0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5" fillId="0" borderId="1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3" fillId="0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21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5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2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21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3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1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2" fillId="2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2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2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2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5" fillId="21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21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21" borderId="3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2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5" fillId="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2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1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3" fillId="0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4" fillId="17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2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3" fillId="2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3" fillId="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2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7" fillId="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3" fillId="2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0" fontId="23" fillId="21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9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2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2" borderId="1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0" fontId="23" fillId="21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2" borderId="2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24" fillId="11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2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2" borderId="2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23" fillId="2" borderId="2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23" fillId="21" borderId="2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23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2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3" fillId="2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23" fillId="2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0" fontId="23" fillId="21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0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23" fillId="6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0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3" fillId="2" borderId="2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0" fontId="23" fillId="21" borderId="2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4" fillId="11" borderId="1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2" borderId="2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1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3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" fillId="1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30" fillId="2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1" fillId="19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0" fillId="29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9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8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3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2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29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3" fillId="3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3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32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4" fillId="2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29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9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5" fillId="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5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3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32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5" fillId="29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3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3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3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3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2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7" fillId="10" borderId="4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7" fillId="3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3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5" fillId="2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3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9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9" fillId="1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4" fillId="3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32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29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0" fillId="3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1" fillId="29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29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9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2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9" borderId="4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29" borderId="4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2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9" fillId="1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2" fillId="3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29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9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9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29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3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4" fillId="3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3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5" borderId="4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5" fillId="3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35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5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4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4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35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9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4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9" borderId="4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4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5" borderId="4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5" fillId="3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5" fillId="35" borderId="4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4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5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5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5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5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6" fillId="1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8" fillId="1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9" borderId="5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9" borderId="5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9" fillId="3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5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35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4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3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5" fillId="1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38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11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9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9" fillId="3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3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9" fillId="2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4" fillId="29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3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3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3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4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2" fillId="0" borderId="5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9" fillId="0" borderId="5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9" fillId="0" borderId="5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5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5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0" fillId="0" borderId="5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5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6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5" fillId="0" borderId="6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5" fillId="0" borderId="6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3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39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4" fillId="0" borderId="1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4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4" fillId="0" borderId="6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39" borderId="6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4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4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9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18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0">
    <dxf>
      <fill>
        <patternFill>
          <bgColor rgb="FFB7E1CD"/>
        </patternFill>
      </fill>
    </dxf>
    <dxf>
      <font>
        <b val="1"/>
        <color rgb="FFCC0000"/>
      </font>
      <fill>
        <patternFill>
          <bgColor rgb="FFD9D9D9"/>
        </patternFill>
      </fill>
    </dxf>
    <dxf>
      <font>
        <color rgb="FF666666"/>
      </font>
      <fill>
        <patternFill>
          <bgColor rgb="FFEFEFEF"/>
        </patternFill>
      </fill>
    </dxf>
    <dxf>
      <font>
        <color rgb="FFCC0000"/>
      </font>
      <fill>
        <patternFill>
          <bgColor rgb="FFD9D9D9"/>
        </patternFill>
      </fill>
    </dxf>
    <dxf>
      <font>
        <b val="1"/>
        <color rgb="FFCC0000"/>
      </font>
      <fill>
        <patternFill>
          <bgColor rgb="FFEFEFEF"/>
        </patternFill>
      </fill>
    </dxf>
    <dxf>
      <font>
        <b val="1"/>
        <color rgb="FF666666"/>
      </font>
      <fill>
        <patternFill>
          <bgColor rgb="FFEFEFEF"/>
        </patternFill>
      </fill>
    </dxf>
    <dxf>
      <font>
        <b val="1"/>
        <color rgb="FF000000"/>
      </font>
      <fill>
        <patternFill>
          <bgColor rgb="FFEFEFEF"/>
        </patternFill>
      </fill>
    </dxf>
    <dxf>
      <font>
        <color rgb="FFCC0000"/>
      </font>
      <fill>
        <patternFill>
          <bgColor rgb="FFCCCCCC"/>
        </patternFill>
      </fill>
    </dxf>
    <dxf>
      <font>
        <b val="1"/>
        <color rgb="FFCC0000"/>
      </font>
      <fill>
        <patternFill>
          <bgColor rgb="FFCCCCCC"/>
        </patternFill>
      </fill>
    </dxf>
    <dxf>
      <fill>
        <patternFill>
          <bgColor rgb="FFEFEFE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D0E0E3"/>
      <rgbColor rgb="FF980000"/>
      <rgbColor rgb="FF008000"/>
      <rgbColor rgb="FF000080"/>
      <rgbColor rgb="FFD9D9D9"/>
      <rgbColor rgb="FF800080"/>
      <rgbColor rgb="FF11734B"/>
      <rgbColor rgb="FFCCCCCC"/>
      <rgbColor rgb="FF8E7CC3"/>
      <rgbColor rgb="FFA2C4C9"/>
      <rgbColor rgb="FFA64D79"/>
      <rgbColor rgb="FFFFF2CC"/>
      <rgbColor rgb="FFEFEFEF"/>
      <rgbColor rgb="FF660066"/>
      <rgbColor rgb="FFC27BA0"/>
      <rgbColor rgb="FF0563C1"/>
      <rgbColor rgb="FFC9DAF8"/>
      <rgbColor rgb="FF000080"/>
      <rgbColor rgb="FFFF00FF"/>
      <rgbColor rgb="FFC5E0B3"/>
      <rgbColor rgb="FF00FFFF"/>
      <rgbColor rgb="FF800080"/>
      <rgbColor rgb="FFC00000"/>
      <rgbColor rgb="FF336699"/>
      <rgbColor rgb="FF0000FF"/>
      <rgbColor rgb="FFB7E1CD"/>
      <rgbColor rgb="FFF3F3F3"/>
      <rgbColor rgb="FFD9EAD3"/>
      <rgbColor rgb="FFFFE599"/>
      <rgbColor rgb="FFA4C2F4"/>
      <rgbColor rgb="FFF6B26B"/>
      <rgbColor rgb="FFB4A7D6"/>
      <rgbColor rgb="FFF4CCCC"/>
      <rgbColor rgb="FF1155CC"/>
      <rgbColor rgb="FF93C47D"/>
      <rgbColor rgb="FF92D050"/>
      <rgbColor rgb="FFFFD966"/>
      <rgbColor rgb="FFFF9900"/>
      <rgbColor rgb="FFFF6600"/>
      <rgbColor rgb="FF666666"/>
      <rgbColor rgb="FF999999"/>
      <rgbColor rgb="FF0A53A8"/>
      <rgbColor rgb="FFB6D7A8"/>
      <rgbColor rgb="FF003300"/>
      <rgbColor rgb="FF333300"/>
      <rgbColor rgb="FFCC0000"/>
      <rgbColor rgb="FF993366"/>
      <rgbColor rgb="FF333399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248</xdr:row>
      <xdr:rowOff>158040</xdr:rowOff>
    </xdr:from>
    <xdr:to>
      <xdr:col>0</xdr:col>
      <xdr:colOff>809280</xdr:colOff>
      <xdr:row>252</xdr:row>
      <xdr:rowOff>219240</xdr:rowOff>
    </xdr:to>
    <xdr:pic>
      <xdr:nvPicPr>
        <xdr:cNvPr id="1" name="image35.jpg" descr=""/>
        <xdr:cNvPicPr/>
      </xdr:nvPicPr>
      <xdr:blipFill>
        <a:blip r:embed="rId1"/>
        <a:stretch/>
      </xdr:blipFill>
      <xdr:spPr>
        <a:xfrm>
          <a:off x="0" y="54864000"/>
          <a:ext cx="809280" cy="942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248</xdr:row>
      <xdr:rowOff>158040</xdr:rowOff>
    </xdr:from>
    <xdr:to>
      <xdr:col>0</xdr:col>
      <xdr:colOff>837720</xdr:colOff>
      <xdr:row>253</xdr:row>
      <xdr:rowOff>8640</xdr:rowOff>
    </xdr:to>
    <xdr:pic>
      <xdr:nvPicPr>
        <xdr:cNvPr id="2" name="image54.jpg" descr=""/>
        <xdr:cNvPicPr/>
      </xdr:nvPicPr>
      <xdr:blipFill>
        <a:blip r:embed="rId2"/>
        <a:stretch/>
      </xdr:blipFill>
      <xdr:spPr>
        <a:xfrm>
          <a:off x="0" y="54864000"/>
          <a:ext cx="837720" cy="952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248</xdr:row>
      <xdr:rowOff>158040</xdr:rowOff>
    </xdr:from>
    <xdr:to>
      <xdr:col>0</xdr:col>
      <xdr:colOff>828360</xdr:colOff>
      <xdr:row>253</xdr:row>
      <xdr:rowOff>103680</xdr:rowOff>
    </xdr:to>
    <xdr:pic>
      <xdr:nvPicPr>
        <xdr:cNvPr id="3" name="image41.jpg" descr=""/>
        <xdr:cNvPicPr/>
      </xdr:nvPicPr>
      <xdr:blipFill>
        <a:blip r:embed="rId3"/>
        <a:stretch/>
      </xdr:blipFill>
      <xdr:spPr>
        <a:xfrm>
          <a:off x="0" y="54864000"/>
          <a:ext cx="828360" cy="1047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248</xdr:row>
      <xdr:rowOff>158040</xdr:rowOff>
    </xdr:from>
    <xdr:to>
      <xdr:col>0</xdr:col>
      <xdr:colOff>809280</xdr:colOff>
      <xdr:row>252</xdr:row>
      <xdr:rowOff>162360</xdr:rowOff>
    </xdr:to>
    <xdr:pic>
      <xdr:nvPicPr>
        <xdr:cNvPr id="4" name="image51.jpg" descr=""/>
        <xdr:cNvPicPr/>
      </xdr:nvPicPr>
      <xdr:blipFill>
        <a:blip r:embed="rId4"/>
        <a:stretch/>
      </xdr:blipFill>
      <xdr:spPr>
        <a:xfrm>
          <a:off x="0" y="54864000"/>
          <a:ext cx="809280" cy="885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248</xdr:row>
      <xdr:rowOff>158040</xdr:rowOff>
    </xdr:from>
    <xdr:to>
      <xdr:col>0</xdr:col>
      <xdr:colOff>723600</xdr:colOff>
      <xdr:row>252</xdr:row>
      <xdr:rowOff>105120</xdr:rowOff>
    </xdr:to>
    <xdr:pic>
      <xdr:nvPicPr>
        <xdr:cNvPr id="5" name="image28.jpg" descr=""/>
        <xdr:cNvPicPr/>
      </xdr:nvPicPr>
      <xdr:blipFill>
        <a:blip r:embed="rId5"/>
        <a:stretch/>
      </xdr:blipFill>
      <xdr:spPr>
        <a:xfrm>
          <a:off x="0" y="54864000"/>
          <a:ext cx="723600" cy="828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248</xdr:row>
      <xdr:rowOff>158040</xdr:rowOff>
    </xdr:from>
    <xdr:to>
      <xdr:col>0</xdr:col>
      <xdr:colOff>742680</xdr:colOff>
      <xdr:row>252</xdr:row>
      <xdr:rowOff>133560</xdr:rowOff>
    </xdr:to>
    <xdr:pic>
      <xdr:nvPicPr>
        <xdr:cNvPr id="6" name="image38.jpg" descr=""/>
        <xdr:cNvPicPr/>
      </xdr:nvPicPr>
      <xdr:blipFill>
        <a:blip r:embed="rId6"/>
        <a:stretch/>
      </xdr:blipFill>
      <xdr:spPr>
        <a:xfrm>
          <a:off x="0" y="54864000"/>
          <a:ext cx="742680" cy="85680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0</xdr:colOff>
      <xdr:row>48</xdr:row>
      <xdr:rowOff>2233080</xdr:rowOff>
    </xdr:from>
    <xdr:to>
      <xdr:col>14</xdr:col>
      <xdr:colOff>1026720</xdr:colOff>
      <xdr:row>50</xdr:row>
      <xdr:rowOff>1680120</xdr:rowOff>
    </xdr:to>
    <xdr:pic>
      <xdr:nvPicPr>
        <xdr:cNvPr id="7" name="image1.png" descr=""/>
        <xdr:cNvPicPr/>
      </xdr:nvPicPr>
      <xdr:blipFill>
        <a:blip r:embed="rId1"/>
        <a:stretch/>
      </xdr:blipFill>
      <xdr:spPr>
        <a:xfrm>
          <a:off x="12152160" y="35604360"/>
          <a:ext cx="2180880" cy="21045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5067000</xdr:colOff>
      <xdr:row>2</xdr:row>
      <xdr:rowOff>4028760</xdr:rowOff>
    </xdr:to>
    <xdr:pic>
      <xdr:nvPicPr>
        <xdr:cNvPr id="8" name="image9.png" descr=""/>
        <xdr:cNvPicPr/>
      </xdr:nvPicPr>
      <xdr:blipFill>
        <a:blip r:embed="rId1"/>
        <a:stretch/>
      </xdr:blipFill>
      <xdr:spPr>
        <a:xfrm>
          <a:off x="2011680" y="819000"/>
          <a:ext cx="5067000" cy="4028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5086080</xdr:colOff>
      <xdr:row>2</xdr:row>
      <xdr:rowOff>3971520</xdr:rowOff>
    </xdr:to>
    <xdr:pic>
      <xdr:nvPicPr>
        <xdr:cNvPr id="9" name="image7.png" descr=""/>
        <xdr:cNvPicPr/>
      </xdr:nvPicPr>
      <xdr:blipFill>
        <a:blip r:embed="rId2"/>
        <a:stretch/>
      </xdr:blipFill>
      <xdr:spPr>
        <a:xfrm>
          <a:off x="8115840" y="819000"/>
          <a:ext cx="5086080" cy="3971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188640</xdr:rowOff>
    </xdr:from>
    <xdr:to>
      <xdr:col>1</xdr:col>
      <xdr:colOff>5086080</xdr:colOff>
      <xdr:row>10</xdr:row>
      <xdr:rowOff>3093480</xdr:rowOff>
    </xdr:to>
    <xdr:pic>
      <xdr:nvPicPr>
        <xdr:cNvPr id="10" name="image21.png" descr=""/>
        <xdr:cNvPicPr/>
      </xdr:nvPicPr>
      <xdr:blipFill>
        <a:blip r:embed="rId3"/>
        <a:stretch/>
      </xdr:blipFill>
      <xdr:spPr>
        <a:xfrm>
          <a:off x="2011680" y="6400800"/>
          <a:ext cx="5086080" cy="3504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188640</xdr:rowOff>
    </xdr:from>
    <xdr:to>
      <xdr:col>2</xdr:col>
      <xdr:colOff>5086080</xdr:colOff>
      <xdr:row>10</xdr:row>
      <xdr:rowOff>3264840</xdr:rowOff>
    </xdr:to>
    <xdr:pic>
      <xdr:nvPicPr>
        <xdr:cNvPr id="11" name="image10.png" descr=""/>
        <xdr:cNvPicPr/>
      </xdr:nvPicPr>
      <xdr:blipFill>
        <a:blip r:embed="rId4"/>
        <a:stretch/>
      </xdr:blipFill>
      <xdr:spPr>
        <a:xfrm>
          <a:off x="8115840" y="6400800"/>
          <a:ext cx="5086080" cy="36763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2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hyperlink" Target="https://hogo-smart.ru/hogo-p02" TargetMode="External"/><Relationship Id="rId3" Type="http://schemas.openxmlformats.org/officeDocument/2006/relationships/hyperlink" Target="https://hogo-smart.ru/hogo_v05" TargetMode="External"/><Relationship Id="rId4" Type="http://schemas.openxmlformats.org/officeDocument/2006/relationships/hyperlink" Target="https://www.dircode.ru/dircode/smartlife/t850" TargetMode="External"/><Relationship Id="rId5" Type="http://schemas.openxmlformats.org/officeDocument/2006/relationships/hyperlink" Target="https://hogo-smart.ru/hogo-d01" TargetMode="External"/><Relationship Id="rId6" Type="http://schemas.openxmlformats.org/officeDocument/2006/relationships/vmlDrawing" Target="../drawings/vmlDrawing3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C15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46.57"/>
    <col collapsed="false" customWidth="true" hidden="false" outlineLevel="0" max="2" min="2" style="0" width="21.14"/>
    <col collapsed="false" customWidth="true" hidden="false" outlineLevel="0" max="3" min="3" style="0" width="84"/>
  </cols>
  <sheetData>
    <row r="1" customFormat="false" ht="42.15" hidden="false" customHeight="false" outlineLevel="0" collapsed="false">
      <c r="A1" s="1" t="s">
        <v>0</v>
      </c>
      <c r="B1" s="2" t="n">
        <v>0</v>
      </c>
    </row>
    <row r="4" customFormat="false" ht="29.15" hidden="false" customHeight="false" outlineLevel="0" collapsed="false">
      <c r="A4" s="3" t="s">
        <v>1</v>
      </c>
    </row>
    <row r="5" customFormat="false" ht="16.15" hidden="false" customHeight="false" outlineLevel="0" collapsed="false">
      <c r="A5" s="4" t="s">
        <v>2</v>
      </c>
      <c r="B5" s="5" t="n">
        <f aca="false">Comfort!K48</f>
        <v>0</v>
      </c>
      <c r="C5" s="6" t="s">
        <v>3</v>
      </c>
    </row>
    <row r="6" customFormat="false" ht="16.15" hidden="false" customHeight="false" outlineLevel="0" collapsed="false">
      <c r="A6" s="4" t="s">
        <v>4</v>
      </c>
      <c r="B6" s="5" t="n">
        <f aca="false">100 * ROUNDUP((B5 * (1 + B1 / 100)) / 100, 0)</f>
        <v>0</v>
      </c>
      <c r="C6" s="6" t="s">
        <v>3</v>
      </c>
    </row>
    <row r="7" customFormat="false" ht="16.15" hidden="false" customHeight="false" outlineLevel="0" collapsed="false">
      <c r="A7" s="4" t="s">
        <v>5</v>
      </c>
      <c r="B7" s="5" t="n">
        <f aca="false">B6-B5</f>
        <v>0</v>
      </c>
      <c r="C7" s="6" t="s">
        <v>3</v>
      </c>
    </row>
    <row r="8" customFormat="false" ht="29.15" hidden="false" customHeight="false" outlineLevel="0" collapsed="false">
      <c r="A8" s="3" t="s">
        <v>6</v>
      </c>
    </row>
    <row r="9" customFormat="false" ht="16.15" hidden="false" customHeight="false" outlineLevel="0" collapsed="false">
      <c r="A9" s="4" t="s">
        <v>7</v>
      </c>
      <c r="B9" s="7" t="n">
        <f aca="false">Absolut!K48</f>
        <v>32200</v>
      </c>
      <c r="C9" s="6" t="s">
        <v>3</v>
      </c>
    </row>
    <row r="10" customFormat="false" ht="16.15" hidden="false" customHeight="false" outlineLevel="0" collapsed="false">
      <c r="A10" s="4" t="s">
        <v>8</v>
      </c>
      <c r="B10" s="7" t="n">
        <f aca="false">100 * ROUNDUP((B9 * (1 + B1 / 100)) / 100, 0)</f>
        <v>32200</v>
      </c>
      <c r="C10" s="6" t="s">
        <v>3</v>
      </c>
    </row>
    <row r="11" customFormat="false" ht="16.15" hidden="false" customHeight="false" outlineLevel="0" collapsed="false">
      <c r="A11" s="4" t="s">
        <v>9</v>
      </c>
      <c r="B11" s="7" t="n">
        <f aca="false">B10-B9</f>
        <v>0</v>
      </c>
      <c r="C11" s="6" t="s">
        <v>3</v>
      </c>
    </row>
    <row r="12" customFormat="false" ht="29.15" hidden="false" customHeight="false" outlineLevel="0" collapsed="false">
      <c r="A12" s="3" t="s">
        <v>10</v>
      </c>
    </row>
    <row r="13" customFormat="false" ht="16.15" hidden="false" customHeight="false" outlineLevel="0" collapsed="false">
      <c r="A13" s="4" t="s">
        <v>11</v>
      </c>
      <c r="B13" s="8" t="n">
        <f aca="false">'Termo $'!K48</f>
        <v>64900</v>
      </c>
    </row>
    <row r="14" customFormat="false" ht="16.15" hidden="false" customHeight="false" outlineLevel="0" collapsed="false">
      <c r="A14" s="4" t="s">
        <v>12</v>
      </c>
      <c r="B14" s="8" t="n">
        <f aca="false">100 * ROUNDUP((B13 * (1 + B1 / 100)) / 100, 0)</f>
        <v>64900</v>
      </c>
    </row>
    <row r="15" customFormat="false" ht="16.15" hidden="false" customHeight="false" outlineLevel="0" collapsed="false">
      <c r="A15" s="4" t="s">
        <v>13</v>
      </c>
      <c r="B15" s="8" t="n">
        <f aca="false">B14-B13</f>
        <v>0</v>
      </c>
    </row>
  </sheetData>
  <conditionalFormatting sqref="C19 G24 G24">
    <cfRule type="expression" priority="2" aboveAverage="0" equalAverage="0" bottom="0" percent="0" rank="0" text="" dxfId="0">
      <formula>LEN(TRIM(C19))&gt;0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U10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67.15"/>
    <col collapsed="false" customWidth="true" hidden="false" outlineLevel="0" max="8" min="8" style="0" width="1.3"/>
    <col collapsed="false" customWidth="true" hidden="false" outlineLevel="0" max="9" min="9" style="0" width="89.86"/>
    <col collapsed="false" customWidth="true" hidden="false" outlineLevel="0" max="11" min="11" style="0" width="1.14"/>
    <col collapsed="false" customWidth="true" hidden="true" outlineLevel="0" max="12" min="12" style="0" width="80.14"/>
    <col collapsed="false" customWidth="true" hidden="true" outlineLevel="0" max="13" min="13" style="0" width="19.43"/>
    <col collapsed="false" customWidth="false" hidden="true" outlineLevel="0" max="14" min="14" style="0" width="14.43"/>
    <col collapsed="false" customWidth="false" hidden="true" outlineLevel="0" max="21" min="16" style="0" width="14.43"/>
  </cols>
  <sheetData>
    <row r="1" customFormat="false" ht="17.35" hidden="false" customHeight="false" outlineLevel="0" collapsed="false">
      <c r="A1" s="9" t="str">
        <f aca="false">IFERROR(__xludf.dummyfunction("importrange(""1EQjOazMus9cZH5fR85JAjzp5WIc9W1Qv5c29XLBn4EY"",""Управление!A1:Z1000"")"),"Основное [Разное]")</f>
        <v>Основное [Разное]</v>
      </c>
      <c r="B1" s="9"/>
      <c r="C1" s="9"/>
      <c r="D1" s="9"/>
      <c r="E1" s="9"/>
      <c r="F1" s="9"/>
      <c r="G1" s="9"/>
      <c r="H1" s="10"/>
      <c r="I1" s="11" t="str">
        <f aca="false">IFERROR(__xludf.dummyfunction("""COMPUTED_VALUE"""),"Порошковая краска")</f>
        <v>Порошковая краска</v>
      </c>
      <c r="J1" s="11"/>
      <c r="K1" s="10"/>
      <c r="L1" s="11" t="str">
        <f aca="false">IFERROR(__xludf.dummyfunction("""COMPUTED_VALUE"""),"Панели")</f>
        <v>Панели</v>
      </c>
      <c r="M1" s="11"/>
      <c r="N1" s="12"/>
      <c r="O1" s="12"/>
      <c r="P1" s="12"/>
      <c r="Q1" s="12"/>
      <c r="R1" s="12"/>
      <c r="S1" s="12"/>
      <c r="T1" s="12"/>
      <c r="U1" s="12"/>
    </row>
    <row r="2" customFormat="false" ht="17.35" hidden="false" customHeight="false" outlineLevel="0" collapsed="false">
      <c r="A2" s="13" t="str">
        <f aca="false">IFERROR(__xludf.dummyfunction("""COMPUTED_VALUE"""),"Номенклатурная позиция")</f>
        <v>Номенклатурная позиция</v>
      </c>
      <c r="B2" s="14" t="str">
        <f aca="false">IFERROR(__xludf.dummyfunction("""COMPUTED_VALUE"""),"р\шт")</f>
        <v>р\шт</v>
      </c>
      <c r="C2" s="14" t="str">
        <f aca="false">IFERROR(__xludf.dummyfunction("""COMPUTED_VALUE"""),"р\п.м")</f>
        <v>р\п.м</v>
      </c>
      <c r="D2" s="14" t="str">
        <f aca="false">IFERROR(__xludf.dummyfunction("""COMPUTED_VALUE"""),"р\л")</f>
        <v>р\л</v>
      </c>
      <c r="E2" s="15" t="str">
        <f aca="false">IFERROR(__xludf.dummyfunction("""COMPUTED_VALUE"""),"р\кв.м")</f>
        <v>р\кв.м</v>
      </c>
      <c r="F2" s="14" t="str">
        <f aca="false">IFERROR(__xludf.dummyfunction("""COMPUTED_VALUE"""),"р\куб.м")</f>
        <v>р\куб.м</v>
      </c>
      <c r="G2" s="16" t="str">
        <f aca="false">IFERROR(__xludf.dummyfunction("""COMPUTED_VALUE"""),"р\кг")</f>
        <v>р\кг</v>
      </c>
      <c r="H2" s="10"/>
      <c r="I2" s="17" t="str">
        <f aca="false">IFERROR(__xludf.dummyfunction("""COMPUTED_VALUE"""),"Номенклатурная позиция")</f>
        <v>Номенклатурная позиция</v>
      </c>
      <c r="J2" s="18" t="str">
        <f aca="false">IFERROR(__xludf.dummyfunction("""COMPUTED_VALUE"""),"р\кг")</f>
        <v>р\кг</v>
      </c>
      <c r="K2" s="10"/>
      <c r="L2" s="19" t="str">
        <f aca="false">IFERROR(__xludf.dummyfunction("""COMPUTED_VALUE"""),"Панели на наружку [Без вставок]")</f>
        <v>Панели на наружку [Без вставок]</v>
      </c>
      <c r="M2" s="20" t="str">
        <f aca="false">IFERROR(__xludf.dummyfunction("""COMPUTED_VALUE"""),"р\шт")</f>
        <v>р\шт</v>
      </c>
      <c r="N2" s="12"/>
      <c r="O2" s="12"/>
      <c r="P2" s="12"/>
      <c r="Q2" s="12"/>
      <c r="R2" s="12"/>
      <c r="S2" s="12"/>
      <c r="T2" s="12"/>
      <c r="U2" s="12"/>
    </row>
    <row r="3" customFormat="false" ht="17.35" hidden="false" customHeight="false" outlineLevel="0" collapsed="false">
      <c r="A3" s="21" t="str">
        <f aca="false">IFERROR(__xludf.dummyfunction("""COMPUTED_VALUE"""),"Металл")</f>
        <v>Металл</v>
      </c>
      <c r="B3" s="22"/>
      <c r="C3" s="22"/>
      <c r="D3" s="22"/>
      <c r="E3" s="23"/>
      <c r="F3" s="22"/>
      <c r="G3" s="22" t="n">
        <f aca="false">IFERROR(__xludf.dummyfunction("""COMPUTED_VALUE"""),84)</f>
        <v>84</v>
      </c>
      <c r="H3" s="10"/>
      <c r="I3" s="21" t="str">
        <f aca="false">IFERROR(__xludf.dummyfunction("""COMPUTED_VALUE"""),"Цинкогрунт")</f>
        <v>Цинкогрунт</v>
      </c>
      <c r="J3" s="24" t="n">
        <f aca="false">IFERROR(__xludf.dummyfunction("""COMPUTED_VALUE"""),420)</f>
        <v>420</v>
      </c>
      <c r="K3" s="10"/>
      <c r="L3" s="25" t="str">
        <f aca="false">IFERROR(__xludf.dummyfunction("""COMPUTED_VALUE"""),"МДФ-панель [Наружняя] - BC-41 - Стандарт")</f>
        <v>МДФ-панель [Наружняя] - BC-41 - Стандарт</v>
      </c>
      <c r="M3" s="26"/>
      <c r="N3" s="12"/>
      <c r="O3" s="12"/>
      <c r="P3" s="12"/>
      <c r="Q3" s="12"/>
      <c r="R3" s="12"/>
      <c r="S3" s="12"/>
      <c r="T3" s="12"/>
      <c r="U3" s="12"/>
    </row>
    <row r="4" customFormat="false" ht="17.35" hidden="false" customHeight="false" outlineLevel="0" collapsed="false">
      <c r="A4" s="27" t="str">
        <f aca="false">IFERROR(__xludf.dummyfunction("""COMPUTED_VALUE"""),"Навес каплевидный")</f>
        <v>Навес каплевидный</v>
      </c>
      <c r="B4" s="26"/>
      <c r="C4" s="26"/>
      <c r="D4" s="26"/>
      <c r="E4" s="28"/>
      <c r="F4" s="26"/>
      <c r="G4" s="26" t="n">
        <f aca="false">IFERROR(__xludf.dummyfunction("""COMPUTED_VALUE"""),49)</f>
        <v>49</v>
      </c>
      <c r="H4" s="10"/>
      <c r="I4" s="29" t="str">
        <f aca="false">IFERROR(__xludf.dummyfunction("""COMPUTED_VALUE"""),"Антик медь")</f>
        <v>Антик медь</v>
      </c>
      <c r="J4" s="24" t="n">
        <f aca="false">IFERROR(__xludf.dummyfunction("""COMPUTED_VALUE"""),390)</f>
        <v>390</v>
      </c>
      <c r="K4" s="10"/>
      <c r="L4" s="25" t="str">
        <f aca="false">IFERROR(__xludf.dummyfunction("""COMPUTED_VALUE"""),"МДФ-панель [Наружняя] - BC-41 - Нестандарт")</f>
        <v>МДФ-панель [Наружняя] - BC-41 - Нестандарт</v>
      </c>
      <c r="M4" s="26"/>
      <c r="N4" s="12"/>
      <c r="O4" s="12"/>
      <c r="P4" s="12"/>
      <c r="Q4" s="12"/>
      <c r="R4" s="12"/>
      <c r="S4" s="12"/>
      <c r="T4" s="12"/>
      <c r="U4" s="12"/>
    </row>
    <row r="5" customFormat="false" ht="17.35" hidden="false" customHeight="false" outlineLevel="0" collapsed="false">
      <c r="A5" s="27" t="str">
        <f aca="false">IFERROR(__xludf.dummyfunction("""COMPUTED_VALUE"""),"Заклепки вытяжные диам.4*10 мм, алюминий/сталь")</f>
        <v>Заклепки вытяжные диам.4*10 мм, алюминий/сталь</v>
      </c>
      <c r="B5" s="26" t="n">
        <f aca="false">IFERROR(__xludf.dummyfunction("""COMPUTED_VALUE"""),0.65)</f>
        <v>0.65</v>
      </c>
      <c r="C5" s="26"/>
      <c r="D5" s="26"/>
      <c r="E5" s="28"/>
      <c r="F5" s="26"/>
      <c r="G5" s="26"/>
      <c r="H5" s="10"/>
      <c r="I5" s="29" t="str">
        <f aca="false">IFERROR(__xludf.dummyfunction("""COMPUTED_VALUE"""),"Антик серебро")</f>
        <v>Антик серебро</v>
      </c>
      <c r="J5" s="24" t="n">
        <f aca="false">IFERROR(__xludf.dummyfunction("""COMPUTED_VALUE"""),480)</f>
        <v>480</v>
      </c>
      <c r="K5" s="10"/>
      <c r="L5" s="30" t="str">
        <f aca="false">IFERROR(__xludf.dummyfunction("""COMPUTED_VALUE"""),"МДФ-панель [Наружняя] - BC-46 - Стандарт")</f>
        <v>МДФ-панель [Наружняя] - BC-46 - Стандарт</v>
      </c>
      <c r="M5" s="26"/>
      <c r="N5" s="12"/>
      <c r="O5" s="12"/>
      <c r="P5" s="12"/>
      <c r="Q5" s="12"/>
      <c r="R5" s="12"/>
      <c r="S5" s="12"/>
      <c r="T5" s="12"/>
      <c r="U5" s="12"/>
    </row>
    <row r="6" customFormat="false" ht="17.35" hidden="false" customHeight="false" outlineLevel="0" collapsed="false">
      <c r="A6" s="27" t="str">
        <f aca="false">IFERROR(__xludf.dummyfunction("""COMPUTED_VALUE"""),"Проволока для полуавтомата,кг")</f>
        <v>Проволока для полуавтомата,кг</v>
      </c>
      <c r="B6" s="26"/>
      <c r="C6" s="26"/>
      <c r="D6" s="26"/>
      <c r="E6" s="28"/>
      <c r="F6" s="26"/>
      <c r="G6" s="26" t="n">
        <f aca="false">IFERROR(__xludf.dummyfunction("""COMPUTED_VALUE"""),130)</f>
        <v>130</v>
      </c>
      <c r="H6" s="10"/>
      <c r="I6" s="29" t="str">
        <f aca="false">IFERROR(__xludf.dummyfunction("""COMPUTED_VALUE"""),"Букле серый")</f>
        <v>Букле серый</v>
      </c>
      <c r="J6" s="24" t="n">
        <f aca="false">IFERROR(__xludf.dummyfunction("""COMPUTED_VALUE"""),455)</f>
        <v>455</v>
      </c>
      <c r="K6" s="10"/>
      <c r="L6" s="30" t="str">
        <f aca="false">IFERROR(__xludf.dummyfunction("""COMPUTED_VALUE"""),"МДФ-панель [Наружняя] - BC-46 - Нестандарт")</f>
        <v>МДФ-панель [Наружняя] - BC-46 - Нестандарт</v>
      </c>
      <c r="M6" s="26"/>
      <c r="N6" s="12"/>
      <c r="O6" s="12"/>
      <c r="P6" s="12"/>
      <c r="Q6" s="12"/>
      <c r="R6" s="12"/>
      <c r="S6" s="12"/>
      <c r="T6" s="12"/>
      <c r="U6" s="12"/>
    </row>
    <row r="7" customFormat="false" ht="17.35" hidden="false" customHeight="false" outlineLevel="0" collapsed="false">
      <c r="A7" s="27" t="str">
        <f aca="false">IFERROR(__xludf.dummyfunction("""COMPUTED_VALUE"""),"Противосъём приварной")</f>
        <v>Противосъём приварной</v>
      </c>
      <c r="B7" s="26" t="n">
        <f aca="false">IFERROR(__xludf.dummyfunction("""COMPUTED_VALUE"""),3.8)</f>
        <v>3.8</v>
      </c>
      <c r="C7" s="26"/>
      <c r="D7" s="26"/>
      <c r="E7" s="28"/>
      <c r="F7" s="26"/>
      <c r="G7" s="26"/>
      <c r="H7" s="10"/>
      <c r="I7" s="29" t="str">
        <f aca="false">IFERROR(__xludf.dummyfunction("""COMPUTED_VALUE"""),"Букле чёрный")</f>
        <v>Букле чёрный</v>
      </c>
      <c r="J7" s="31" t="n">
        <f aca="false">IFERROR(__xludf.dummyfunction("""COMPUTED_VALUE"""),345)</f>
        <v>345</v>
      </c>
      <c r="K7" s="10"/>
      <c r="L7" s="25" t="str">
        <f aca="false">IFERROR(__xludf.dummyfunction("""COMPUTED_VALUE"""),"МДФ-панель [Наружняя] - BC-47 - Стандарт")</f>
        <v>МДФ-панель [Наружняя] - BC-47 - Стандарт</v>
      </c>
      <c r="M7" s="26"/>
      <c r="N7" s="12"/>
      <c r="O7" s="12"/>
      <c r="P7" s="12"/>
      <c r="Q7" s="12"/>
      <c r="R7" s="12"/>
      <c r="S7" s="12"/>
      <c r="T7" s="12"/>
      <c r="U7" s="12"/>
    </row>
    <row r="8" customFormat="false" ht="17.35" hidden="false" customHeight="false" outlineLevel="0" collapsed="false">
      <c r="A8" s="27" t="str">
        <f aca="false">IFERROR(__xludf.dummyfunction("""COMPUTED_VALUE"""),"заклепки гаечные М4")</f>
        <v>заклепки гаечные М4</v>
      </c>
      <c r="B8" s="26" t="n">
        <f aca="false">IFERROR(__xludf.dummyfunction("""COMPUTED_VALUE"""),1.6)</f>
        <v>1.6</v>
      </c>
      <c r="C8" s="26"/>
      <c r="D8" s="26"/>
      <c r="E8" s="28"/>
      <c r="F8" s="26"/>
      <c r="G8" s="26"/>
      <c r="H8" s="10"/>
      <c r="I8" s="29" t="str">
        <f aca="false">IFERROR(__xludf.dummyfunction("""COMPUTED_VALUE"""),"Букле опал")</f>
        <v>Букле опал</v>
      </c>
      <c r="J8" s="31" t="n">
        <f aca="false">IFERROR(__xludf.dummyfunction("""COMPUTED_VALUE"""),421)</f>
        <v>421</v>
      </c>
      <c r="K8" s="10"/>
      <c r="L8" s="25" t="str">
        <f aca="false">IFERROR(__xludf.dummyfunction("""COMPUTED_VALUE"""),"МДФ-панель [Наружняя] - BC-47 - Нестандарт")</f>
        <v>МДФ-панель [Наружняя] - BC-47 - Нестандарт</v>
      </c>
      <c r="M8" s="26"/>
      <c r="N8" s="12"/>
      <c r="O8" s="12"/>
      <c r="P8" s="12"/>
      <c r="Q8" s="12"/>
      <c r="R8" s="12"/>
      <c r="S8" s="12"/>
      <c r="T8" s="12"/>
      <c r="U8" s="12"/>
    </row>
    <row r="9" customFormat="false" ht="17.35" hidden="false" customHeight="false" outlineLevel="0" collapsed="false">
      <c r="A9" s="27" t="str">
        <f aca="false">IFERROR(__xludf.dummyfunction("""COMPUTED_VALUE"""),"обезжириватель, ацетон,л")</f>
        <v>обезжириватель, ацетон,л</v>
      </c>
      <c r="B9" s="26"/>
      <c r="C9" s="26"/>
      <c r="D9" s="26" t="n">
        <f aca="false">IFERROR(__xludf.dummyfunction("""COMPUTED_VALUE"""),125)</f>
        <v>125</v>
      </c>
      <c r="E9" s="28"/>
      <c r="F9" s="26"/>
      <c r="G9" s="26"/>
      <c r="H9" s="10"/>
      <c r="I9" s="29" t="str">
        <f aca="false">IFERROR(__xludf.dummyfunction("""COMPUTED_VALUE"""),"Муар 1019")</f>
        <v>Муар 1019</v>
      </c>
      <c r="J9" s="32" t="n">
        <f aca="false">IFERROR(__xludf.dummyfunction("""COMPUTED_VALUE"""),375)</f>
        <v>375</v>
      </c>
      <c r="K9" s="10"/>
      <c r="L9" s="30" t="str">
        <f aca="false">IFERROR(__xludf.dummyfunction("""COMPUTED_VALUE"""),"МДФ-панель [Наружняя] - BC-32 - Стандарт")</f>
        <v>МДФ-панель [Наружняя] - BC-32 - Стандарт</v>
      </c>
      <c r="M9" s="26"/>
      <c r="N9" s="12"/>
      <c r="O9" s="12"/>
      <c r="P9" s="12"/>
      <c r="Q9" s="12"/>
      <c r="R9" s="12"/>
      <c r="S9" s="12"/>
      <c r="T9" s="12"/>
      <c r="U9" s="12"/>
    </row>
    <row r="10" customFormat="false" ht="17.35" hidden="false" customHeight="false" outlineLevel="0" collapsed="false">
      <c r="A10" s="27" t="str">
        <f aca="false">IFERROR(__xludf.dummyfunction("""COMPUTED_VALUE"""),"Уплотнитель РГ-141 (10х12)")</f>
        <v>Уплотнитель РГ-141 (10х12)</v>
      </c>
      <c r="B10" s="26"/>
      <c r="C10" s="26" t="n">
        <f aca="false">IFERROR(__xludf.dummyfunction("""COMPUTED_VALUE"""),24.95)</f>
        <v>24.95</v>
      </c>
      <c r="D10" s="26"/>
      <c r="E10" s="28"/>
      <c r="F10" s="26"/>
      <c r="G10" s="26"/>
      <c r="H10" s="10"/>
      <c r="I10" s="29" t="str">
        <f aca="false">IFERROR(__xludf.dummyfunction("""COMPUTED_VALUE"""),"Муар чёрный 9005")</f>
        <v>Муар чёрный 9005</v>
      </c>
      <c r="J10" s="32" t="n">
        <f aca="false">IFERROR(__xludf.dummyfunction("""COMPUTED_VALUE"""),300)</f>
        <v>300</v>
      </c>
      <c r="K10" s="10"/>
      <c r="L10" s="30" t="str">
        <f aca="false">IFERROR(__xludf.dummyfunction("""COMPUTED_VALUE"""),"МДФ-панель [Наружняя] - BC-32 - Нестандарт")</f>
        <v>МДФ-панель [Наружняя] - BC-32 - Нестандарт</v>
      </c>
      <c r="M10" s="26"/>
      <c r="N10" s="12"/>
      <c r="O10" s="12"/>
      <c r="P10" s="12"/>
      <c r="Q10" s="12"/>
      <c r="R10" s="12"/>
      <c r="S10" s="12"/>
      <c r="T10" s="12"/>
      <c r="U10" s="12"/>
    </row>
    <row r="11" customFormat="false" ht="17.35" hidden="false" customHeight="false" outlineLevel="0" collapsed="false">
      <c r="A11" s="27" t="str">
        <f aca="false">IFERROR(__xludf.dummyfunction("""COMPUTED_VALUE"""),"Уплотнитель на полотне YJ-A302 (10,8*15)")</f>
        <v>Уплотнитель на полотне YJ-A302 (10,8*15)</v>
      </c>
      <c r="B11" s="26"/>
      <c r="C11" s="26" t="n">
        <f aca="false">IFERROR(__xludf.dummyfunction("""COMPUTED_VALUE"""),21)</f>
        <v>21</v>
      </c>
      <c r="D11" s="26"/>
      <c r="E11" s="28"/>
      <c r="F11" s="26"/>
      <c r="G11" s="26"/>
      <c r="H11" s="10"/>
      <c r="I11" s="29" t="str">
        <f aca="false">IFERROR(__xludf.dummyfunction("""COMPUTED_VALUE"""),"Муар 7021")</f>
        <v>Муар 7021</v>
      </c>
      <c r="J11" s="32" t="n">
        <f aca="false">IFERROR(__xludf.dummyfunction("""COMPUTED_VALUE"""),360)</f>
        <v>360</v>
      </c>
      <c r="K11" s="10"/>
      <c r="L11" s="30" t="str">
        <f aca="false">IFERROR(__xludf.dummyfunction("""COMPUTED_VALUE"""),"МДФ-панель [Наружняя] - BC-48 - Стандарт")</f>
        <v>МДФ-панель [Наружняя] - BC-48 - Стандарт</v>
      </c>
      <c r="M11" s="26"/>
      <c r="N11" s="12"/>
      <c r="O11" s="12"/>
      <c r="P11" s="12"/>
      <c r="Q11" s="12"/>
      <c r="R11" s="12"/>
      <c r="S11" s="12"/>
      <c r="T11" s="12"/>
      <c r="U11" s="12"/>
    </row>
    <row r="12" customFormat="false" ht="17.35" hidden="false" customHeight="false" outlineLevel="0" collapsed="false">
      <c r="A12" s="27" t="str">
        <f aca="false">IFERROR(__xludf.dummyfunction("""COMPUTED_VALUE"""),"Уплотнитель на коробе 12*14")</f>
        <v>Уплотнитель на коробе 12*14</v>
      </c>
      <c r="B12" s="26"/>
      <c r="C12" s="26" t="n">
        <f aca="false">IFERROR(__xludf.dummyfunction("""COMPUTED_VALUE"""),23)</f>
        <v>23</v>
      </c>
      <c r="D12" s="26"/>
      <c r="E12" s="28"/>
      <c r="F12" s="26"/>
      <c r="G12" s="26"/>
      <c r="H12" s="10"/>
      <c r="I12" s="29" t="str">
        <f aca="false">IFERROR(__xludf.dummyfunction("""COMPUTED_VALUE"""),"Муар 7024")</f>
        <v>Муар 7024</v>
      </c>
      <c r="J12" s="32" t="n">
        <f aca="false">IFERROR(__xludf.dummyfunction("""COMPUTED_VALUE"""),370)</f>
        <v>370</v>
      </c>
      <c r="K12" s="10"/>
      <c r="L12" s="30" t="str">
        <f aca="false">IFERROR(__xludf.dummyfunction("""COMPUTED_VALUE"""),"МДФ-панель [Наружняя] - BC-48 - Нестандарт")</f>
        <v>МДФ-панель [Наружняя] - BC-48 - Нестандарт</v>
      </c>
      <c r="M12" s="26"/>
      <c r="N12" s="12"/>
      <c r="O12" s="12"/>
      <c r="P12" s="12"/>
      <c r="Q12" s="12"/>
      <c r="R12" s="12"/>
      <c r="S12" s="12"/>
      <c r="T12" s="12"/>
      <c r="U12" s="12"/>
    </row>
    <row r="13" customFormat="false" ht="17.35" hidden="false" customHeight="false" outlineLevel="0" collapsed="false">
      <c r="A13" s="27" t="str">
        <f aca="false">IFERROR(__xludf.dummyfunction("""COMPUTED_VALUE"""),"Мин вата в полотно 11 кг/м3 [Изовер]")</f>
        <v>Мин вата в полотно 11 кг/м3 [Изовер]</v>
      </c>
      <c r="B13" s="26"/>
      <c r="C13" s="26"/>
      <c r="D13" s="26"/>
      <c r="E13" s="28"/>
      <c r="F13" s="26" t="n">
        <f aca="false">IFERROR(__xludf.dummyfunction("""COMPUTED_VALUE"""),2150)</f>
        <v>2150</v>
      </c>
      <c r="G13" s="26"/>
      <c r="H13" s="10"/>
      <c r="I13" s="29" t="str">
        <f aca="false">IFERROR(__xludf.dummyfunction("""COMPUTED_VALUE"""),"Муар 9003")</f>
        <v>Муар 9003</v>
      </c>
      <c r="J13" s="24" t="n">
        <f aca="false">IFERROR(__xludf.dummyfunction("""COMPUTED_VALUE"""),388)</f>
        <v>388</v>
      </c>
      <c r="K13" s="10"/>
      <c r="L13" s="30" t="str">
        <f aca="false">IFERROR(__xludf.dummyfunction("""COMPUTED_VALUE"""),"МДФ-панель [Наружняя] - BC-42 - Стандарт")</f>
        <v>МДФ-панель [Наружняя] - BC-42 - Стандарт</v>
      </c>
      <c r="M13" s="26"/>
      <c r="N13" s="12"/>
      <c r="O13" s="12"/>
      <c r="P13" s="12"/>
      <c r="Q13" s="12"/>
      <c r="R13" s="12"/>
      <c r="S13" s="12"/>
      <c r="T13" s="12"/>
      <c r="U13" s="12"/>
    </row>
    <row r="14" customFormat="false" ht="17.35" hidden="false" customHeight="false" outlineLevel="0" collapsed="false">
      <c r="A14" s="27" t="str">
        <f aca="false">IFERROR(__xludf.dummyfunction("""COMPUTED_VALUE"""),"Базальт 50 мм (ROCKWOOL LB 32 кг/м3)")</f>
        <v>Базальт 50 мм (ROCKWOOL LB 32 кг/м3)</v>
      </c>
      <c r="B14" s="26"/>
      <c r="C14" s="26"/>
      <c r="D14" s="26"/>
      <c r="E14" s="28"/>
      <c r="F14" s="26" t="n">
        <f aca="false">IFERROR(__xludf.dummyfunction("""COMPUTED_VALUE"""),3500)</f>
        <v>3500</v>
      </c>
      <c r="G14" s="26"/>
      <c r="H14" s="10"/>
      <c r="I14" s="29" t="str">
        <f aca="false">IFERROR(__xludf.dummyfunction("""COMPUTED_VALUE"""),"Муар 6028")</f>
        <v>Муар 6028</v>
      </c>
      <c r="J14" s="32" t="n">
        <f aca="false">IFERROR(__xludf.dummyfunction("""COMPUTED_VALUE"""),480)</f>
        <v>480</v>
      </c>
      <c r="K14" s="10"/>
      <c r="L14" s="30" t="str">
        <f aca="false">IFERROR(__xludf.dummyfunction("""COMPUTED_VALUE"""),"МДФ-панель [Наружняя] - BC-42 - Нестандарт")</f>
        <v>МДФ-панель [Наружняя] - BC-42 - Нестандарт</v>
      </c>
      <c r="M14" s="26"/>
      <c r="N14" s="12"/>
      <c r="O14" s="12"/>
      <c r="P14" s="12"/>
      <c r="Q14" s="12"/>
      <c r="R14" s="12"/>
      <c r="S14" s="12"/>
      <c r="T14" s="12"/>
      <c r="U14" s="12"/>
    </row>
    <row r="15" customFormat="false" ht="17.35" hidden="false" customHeight="false" outlineLevel="0" collapsed="false">
      <c r="A15" s="27" t="str">
        <f aca="false">IFERROR(__xludf.dummyfunction("""COMPUTED_VALUE"""),"Базальтовая плита 45 (1000х600х50)")</f>
        <v>Базальтовая плита 45 (1000х600х50)</v>
      </c>
      <c r="B15" s="26"/>
      <c r="C15" s="26"/>
      <c r="D15" s="26"/>
      <c r="E15" s="28"/>
      <c r="F15" s="26" t="n">
        <f aca="false">IFERROR(__xludf.dummyfunction("""COMPUTED_VALUE"""),3750)</f>
        <v>3750</v>
      </c>
      <c r="G15" s="26"/>
      <c r="H15" s="10"/>
      <c r="I15" s="29" t="str">
        <f aca="false">IFERROR(__xludf.dummyfunction("""COMPUTED_VALUE"""),"Бронза 74П-566")</f>
        <v>Бронза 74П-566</v>
      </c>
      <c r="J15" s="32" t="n">
        <f aca="false">IFERROR(__xludf.dummyfunction("""COMPUTED_VALUE"""),380)</f>
        <v>380</v>
      </c>
      <c r="K15" s="10"/>
      <c r="L15" s="33" t="str">
        <f aca="false">IFERROR(__xludf.dummyfunction("""COMPUTED_VALUE"""),"МДФ-панель [Наружняя] - BC-49 - Стандарт")</f>
        <v>МДФ-панель [Наружняя] - BC-49 - Стандарт</v>
      </c>
      <c r="M15" s="26"/>
      <c r="N15" s="12"/>
      <c r="O15" s="12"/>
      <c r="P15" s="12"/>
      <c r="Q15" s="12"/>
      <c r="R15" s="12"/>
      <c r="S15" s="12"/>
      <c r="T15" s="12"/>
      <c r="U15" s="12"/>
    </row>
    <row r="16" customFormat="false" ht="17.35" hidden="false" customHeight="false" outlineLevel="0" collapsed="false">
      <c r="A16" s="27" t="str">
        <f aca="false">IFERROR(__xludf.dummyfunction("""COMPUTED_VALUE"""),"Пенопласт ПСБ-15, толщина 30, шт")</f>
        <v>Пенопласт ПСБ-15, толщина 30, шт</v>
      </c>
      <c r="B16" s="26"/>
      <c r="C16" s="26"/>
      <c r="D16" s="26"/>
      <c r="E16" s="28"/>
      <c r="F16" s="26" t="n">
        <f aca="false">IFERROR(__xludf.dummyfunction("""COMPUTED_VALUE"""),3250)</f>
        <v>3250</v>
      </c>
      <c r="G16" s="26"/>
      <c r="H16" s="10"/>
      <c r="I16" s="29" t="str">
        <f aca="false">IFERROR(__xludf.dummyfunction("""COMPUTED_VALUE"""),"Синий 74П-220")</f>
        <v>Синий 74П-220</v>
      </c>
      <c r="J16" s="32" t="n">
        <f aca="false">IFERROR(__xludf.dummyfunction("""COMPUTED_VALUE"""),515)</f>
        <v>515</v>
      </c>
      <c r="K16" s="10"/>
      <c r="L16" s="33" t="str">
        <f aca="false">IFERROR(__xludf.dummyfunction("""COMPUTED_VALUE"""),"МДФ-панель [Наружняя] - BC-49 - Нестандарт")</f>
        <v>МДФ-панель [Наружняя] - BC-49 - Нестандарт</v>
      </c>
      <c r="M16" s="26"/>
      <c r="N16" s="12"/>
      <c r="O16" s="12"/>
      <c r="P16" s="12"/>
      <c r="Q16" s="12"/>
      <c r="R16" s="12"/>
      <c r="S16" s="12"/>
      <c r="T16" s="12"/>
      <c r="U16" s="12"/>
    </row>
    <row r="17" customFormat="false" ht="17.35" hidden="false" customHeight="false" outlineLevel="0" collapsed="false">
      <c r="A17" s="27" t="str">
        <f aca="false">IFERROR(__xludf.dummyfunction("""COMPUTED_VALUE"""),"Заклепки вытяжные диам.4*10 мм, сталь/сталь")</f>
        <v>Заклепки вытяжные диам.4*10 мм, сталь/сталь</v>
      </c>
      <c r="B17" s="26" t="n">
        <f aca="false">IFERROR(__xludf.dummyfunction("""COMPUTED_VALUE"""),1.6)</f>
        <v>1.6</v>
      </c>
      <c r="C17" s="26"/>
      <c r="D17" s="26"/>
      <c r="E17" s="28"/>
      <c r="F17" s="26"/>
      <c r="G17" s="26"/>
      <c r="H17" s="10"/>
      <c r="I17" s="29" t="str">
        <f aca="false">IFERROR(__xludf.dummyfunction("""COMPUTED_VALUE"""),"Золото на белом")</f>
        <v>Золото на белом</v>
      </c>
      <c r="J17" s="32" t="n">
        <f aca="false">IFERROR(__xludf.dummyfunction("""COMPUTED_VALUE"""),650)</f>
        <v>650</v>
      </c>
      <c r="K17" s="10"/>
      <c r="L17" s="33" t="str">
        <f aca="false">IFERROR(__xludf.dummyfunction("""COMPUTED_VALUE"""),"МДФ-панель [Наружняя] - BC-50 - Стандарт")</f>
        <v>МДФ-панель [Наружняя] - BC-50 - Стандарт</v>
      </c>
      <c r="M17" s="26"/>
      <c r="N17" s="12"/>
      <c r="O17" s="12"/>
      <c r="P17" s="12"/>
      <c r="Q17" s="12"/>
      <c r="R17" s="12"/>
      <c r="S17" s="12"/>
      <c r="T17" s="12"/>
      <c r="U17" s="12"/>
    </row>
    <row r="18" customFormat="false" ht="17.35" hidden="false" customHeight="false" outlineLevel="0" collapsed="false">
      <c r="A18" s="29" t="str">
        <f aca="false">IFERROR(__xludf.dummyfunction("""COMPUTED_VALUE"""),"Нержавейка для эксцентрика")</f>
        <v>Нержавейка для эксцентрика</v>
      </c>
      <c r="B18" s="34" t="n">
        <f aca="false">IFERROR(__xludf.dummyfunction("""COMPUTED_VALUE"""),4.94)</f>
        <v>4.94</v>
      </c>
      <c r="C18" s="26"/>
      <c r="D18" s="26"/>
      <c r="E18" s="28"/>
      <c r="F18" s="26"/>
      <c r="G18" s="26"/>
      <c r="H18" s="10"/>
      <c r="I18" s="29" t="str">
        <f aca="false">IFERROR(__xludf.dummyfunction("""COMPUTED_VALUE"""),"Серебро на белом")</f>
        <v>Серебро на белом</v>
      </c>
      <c r="J18" s="32" t="n">
        <f aca="false">IFERROR(__xludf.dummyfunction("""COMPUTED_VALUE"""),590)</f>
        <v>590</v>
      </c>
      <c r="K18" s="10"/>
      <c r="L18" s="33" t="str">
        <f aca="false">IFERROR(__xludf.dummyfunction("""COMPUTED_VALUE"""),"МДФ-панель [Наружняя] - BC-50 - Нестандарт")</f>
        <v>МДФ-панель [Наружняя] - BC-50 - Нестандарт</v>
      </c>
      <c r="M18" s="26"/>
      <c r="N18" s="12"/>
      <c r="O18" s="12"/>
      <c r="P18" s="12"/>
      <c r="Q18" s="12"/>
      <c r="R18" s="12"/>
      <c r="S18" s="12"/>
      <c r="T18" s="12"/>
      <c r="U18" s="12"/>
    </row>
    <row r="19" customFormat="false" ht="17.35" hidden="false" customHeight="false" outlineLevel="0" collapsed="false">
      <c r="A19" s="29" t="str">
        <f aca="false">IFERROR(__xludf.dummyfunction("""COMPUTED_VALUE"""),"Винт 4*10")</f>
        <v>Винт 4*10</v>
      </c>
      <c r="B19" s="35" t="n">
        <f aca="false">IFERROR(__xludf.dummyfunction("""COMPUTED_VALUE"""),0.37)</f>
        <v>0.37</v>
      </c>
      <c r="C19" s="26"/>
      <c r="D19" s="26"/>
      <c r="E19" s="28"/>
      <c r="F19" s="26"/>
      <c r="G19" s="26"/>
      <c r="H19" s="10"/>
      <c r="I19" s="29" t="str">
        <f aca="false">IFERROR(__xludf.dummyfunction("""COMPUTED_VALUE"""),"Шагрень 9003")</f>
        <v>Шагрень 9003</v>
      </c>
      <c r="J19" s="32" t="n">
        <f aca="false">IFERROR(__xludf.dummyfunction("""COMPUTED_VALUE"""),450)</f>
        <v>450</v>
      </c>
      <c r="K19" s="10"/>
      <c r="L19" s="33" t="str">
        <f aca="false">IFERROR(__xludf.dummyfunction("""COMPUTED_VALUE"""),"МДФ-панель [Наружняя] - BC-43 - Стандарт")</f>
        <v>МДФ-панель [Наружняя] - BC-43 - Стандарт</v>
      </c>
      <c r="M19" s="26"/>
      <c r="N19" s="12"/>
      <c r="O19" s="12"/>
      <c r="P19" s="12"/>
      <c r="Q19" s="12"/>
      <c r="R19" s="12"/>
      <c r="S19" s="12"/>
      <c r="T19" s="12"/>
      <c r="U19" s="12"/>
    </row>
    <row r="20" customFormat="false" ht="17.35" hidden="false" customHeight="false" outlineLevel="0" collapsed="false">
      <c r="A20" s="29" t="str">
        <f aca="false">IFERROR(__xludf.dummyfunction("""COMPUTED_VALUE"""),"Винт 4*40 (под эксцентрик)")</f>
        <v>Винт 4*40 (под эксцентрик)</v>
      </c>
      <c r="B20" s="35" t="n">
        <f aca="false">IFERROR(__xludf.dummyfunction("""COMPUTED_VALUE"""),0.66)</f>
        <v>0.66</v>
      </c>
      <c r="C20" s="26"/>
      <c r="D20" s="26"/>
      <c r="E20" s="28"/>
      <c r="F20" s="26"/>
      <c r="G20" s="26"/>
      <c r="H20" s="10"/>
      <c r="I20" s="29" t="str">
        <f aca="false">IFERROR(__xludf.dummyfunction("""COMPUTED_VALUE"""),"Муар металлик бронзовый")</f>
        <v>Муар металлик бронзовый</v>
      </c>
      <c r="J20" s="32" t="n">
        <f aca="false">IFERROR(__xludf.dummyfunction("""COMPUTED_VALUE"""),600)</f>
        <v>600</v>
      </c>
      <c r="K20" s="10"/>
      <c r="L20" s="33" t="str">
        <f aca="false">IFERROR(__xludf.dummyfunction("""COMPUTED_VALUE"""),"МДФ-панель [Наружняя] - BC-43 - Нестандарт")</f>
        <v>МДФ-панель [Наружняя] - BC-43 - Нестандарт</v>
      </c>
      <c r="M20" s="26"/>
      <c r="N20" s="12"/>
      <c r="O20" s="12"/>
      <c r="P20" s="12"/>
      <c r="Q20" s="12"/>
      <c r="R20" s="12"/>
      <c r="S20" s="12"/>
      <c r="T20" s="12"/>
      <c r="U20" s="12"/>
    </row>
    <row r="21" customFormat="false" ht="17.35" hidden="false" customHeight="false" outlineLevel="0" collapsed="false">
      <c r="A21" s="29" t="str">
        <f aca="false">IFERROR(__xludf.dummyfunction("""COMPUTED_VALUE"""),"Винт 6*100")</f>
        <v>Винт 6*100</v>
      </c>
      <c r="B21" s="35" t="n">
        <f aca="false">IFERROR(__xludf.dummyfunction("""COMPUTED_VALUE"""),4.67)</f>
        <v>4.67</v>
      </c>
      <c r="C21" s="26"/>
      <c r="D21" s="26"/>
      <c r="E21" s="28"/>
      <c r="F21" s="26"/>
      <c r="G21" s="26"/>
      <c r="H21" s="10"/>
      <c r="I21" s="29" t="str">
        <f aca="false">IFERROR(__xludf.dummyfunction("""COMPUTED_VALUE"""),"Муар металлик 8019")</f>
        <v>Муар металлик 8019</v>
      </c>
      <c r="J21" s="32" t="n">
        <f aca="false">IFERROR(__xludf.dummyfunction("""COMPUTED_VALUE"""),500)</f>
        <v>500</v>
      </c>
      <c r="K21" s="10"/>
      <c r="L21" s="25" t="str">
        <f aca="false">IFERROR(__xludf.dummyfunction("""COMPUTED_VALUE"""),"МДФ-панель [Наружняя] - BC-51 - Стандарт")</f>
        <v>МДФ-панель [Наружняя] - BC-51 - Стандарт</v>
      </c>
      <c r="M21" s="26"/>
      <c r="N21" s="12"/>
      <c r="O21" s="12"/>
      <c r="P21" s="12"/>
      <c r="Q21" s="12"/>
      <c r="R21" s="12"/>
      <c r="S21" s="12"/>
      <c r="T21" s="12"/>
      <c r="U21" s="12"/>
    </row>
    <row r="22" customFormat="false" ht="17.35" hidden="false" customHeight="false" outlineLevel="0" collapsed="false">
      <c r="A22" s="27" t="str">
        <f aca="false">IFERROR(__xludf.dummyfunction("""COMPUTED_VALUE"""),"заглушки под анкерные болты, ЗАП 25")</f>
        <v>заглушки под анкерные болты, ЗАП 25</v>
      </c>
      <c r="B22" s="26" t="n">
        <f aca="false">IFERROR(__xludf.dummyfunction("""COMPUTED_VALUE"""),2.75)</f>
        <v>2.75</v>
      </c>
      <c r="C22" s="26"/>
      <c r="D22" s="26"/>
      <c r="E22" s="28"/>
      <c r="F22" s="26"/>
      <c r="G22" s="26"/>
      <c r="H22" s="10"/>
      <c r="I22" s="29" t="str">
        <f aca="false">IFERROR(__xludf.dummyfunction("""COMPUTED_VALUE"""),"Муар металлик синий")</f>
        <v>Муар металлик синий</v>
      </c>
      <c r="J22" s="32" t="n">
        <f aca="false">IFERROR(__xludf.dummyfunction("""COMPUTED_VALUE"""),540)</f>
        <v>540</v>
      </c>
      <c r="K22" s="10"/>
      <c r="L22" s="25" t="str">
        <f aca="false">IFERROR(__xludf.dummyfunction("""COMPUTED_VALUE"""),"МДФ-панель [Наружняя] - BC-51 - Нестандарт")</f>
        <v>МДФ-панель [Наружняя] - BC-51 - Нестандарт</v>
      </c>
      <c r="M22" s="26"/>
      <c r="N22" s="12"/>
      <c r="O22" s="12"/>
      <c r="P22" s="12"/>
      <c r="Q22" s="12"/>
      <c r="R22" s="12"/>
      <c r="S22" s="12"/>
      <c r="T22" s="12"/>
      <c r="U22" s="12"/>
    </row>
    <row r="23" customFormat="false" ht="17.35" hidden="false" customHeight="false" outlineLevel="0" collapsed="false">
      <c r="A23" s="27" t="str">
        <f aca="false">IFERROR(__xludf.dummyfunction("""COMPUTED_VALUE"""),"Заглушка ванночки под ригеля 18 мм")</f>
        <v>Заглушка ванночки под ригеля 18 мм</v>
      </c>
      <c r="B23" s="26" t="n">
        <f aca="false">IFERROR(__xludf.dummyfunction("""COMPUTED_VALUE"""),15)</f>
        <v>15</v>
      </c>
      <c r="C23" s="26"/>
      <c r="D23" s="26"/>
      <c r="E23" s="28"/>
      <c r="F23" s="26"/>
      <c r="G23" s="26"/>
      <c r="H23" s="10"/>
      <c r="I23" s="29" t="str">
        <f aca="false">IFERROR(__xludf.dummyfunction("""COMPUTED_VALUE"""),"Муар металлик чёрный")</f>
        <v>Муар металлик чёрный</v>
      </c>
      <c r="J23" s="32" t="n">
        <f aca="false">IFERROR(__xludf.dummyfunction("""COMPUTED_VALUE"""),470)</f>
        <v>470</v>
      </c>
      <c r="K23" s="10"/>
      <c r="L23" s="25" t="str">
        <f aca="false">IFERROR(__xludf.dummyfunction("""COMPUTED_VALUE"""),"МДФ-панель [Наружняя] - НФ-6 - Стандарт")</f>
        <v>МДФ-панель [Наружняя] - НФ-6 - Стандарт</v>
      </c>
      <c r="M23" s="26"/>
      <c r="N23" s="12"/>
      <c r="O23" s="12"/>
      <c r="P23" s="12"/>
      <c r="Q23" s="12"/>
      <c r="R23" s="12"/>
      <c r="S23" s="12"/>
      <c r="T23" s="12"/>
      <c r="U23" s="12"/>
    </row>
    <row r="24" customFormat="false" ht="17.35" hidden="false" customHeight="false" outlineLevel="0" collapsed="false">
      <c r="A24" s="27" t="str">
        <f aca="false">IFERROR(__xludf.dummyfunction("""COMPUTED_VALUE"""),"Втулка D20 под ригель замка 18мм")</f>
        <v>Втулка D20 под ригель замка 18мм</v>
      </c>
      <c r="B24" s="26" t="n">
        <f aca="false">IFERROR(__xludf.dummyfunction("""COMPUTED_VALUE"""),5.5)</f>
        <v>5.5</v>
      </c>
      <c r="C24" s="26"/>
      <c r="D24" s="26"/>
      <c r="E24" s="28"/>
      <c r="F24" s="26"/>
      <c r="G24" s="26"/>
      <c r="H24" s="10"/>
      <c r="I24" s="29" t="str">
        <f aca="false">IFERROR(__xludf.dummyfunction("""COMPUTED_VALUE"""),"Муар металлик серый")</f>
        <v>Муар металлик серый</v>
      </c>
      <c r="J24" s="32" t="n">
        <f aca="false">IFERROR(__xludf.dummyfunction("""COMPUTED_VALUE"""),435)</f>
        <v>435</v>
      </c>
      <c r="K24" s="10"/>
      <c r="L24" s="25" t="str">
        <f aca="false">IFERROR(__xludf.dummyfunction("""COMPUTED_VALUE"""),"МДФ-панель [Наружняя] - НФ-6 - Нестандарт")</f>
        <v>МДФ-панель [Наружняя] - НФ-6 - Нестандарт</v>
      </c>
      <c r="M24" s="26"/>
      <c r="N24" s="12"/>
      <c r="O24" s="12"/>
      <c r="P24" s="12"/>
      <c r="Q24" s="12"/>
      <c r="R24" s="12"/>
      <c r="S24" s="12"/>
      <c r="T24" s="12"/>
      <c r="U24" s="12"/>
    </row>
    <row r="25" customFormat="false" ht="17.35" hidden="false" customHeight="false" outlineLevel="0" collapsed="false">
      <c r="A25" s="27" t="str">
        <f aca="false">IFERROR(__xludf.dummyfunction("""COMPUTED_VALUE"""),"Уплотнитель магнит1082 (14,5х12,5) палка 2,1")</f>
        <v>Уплотнитель магнит1082 (14,5х12,5) палка 2,1</v>
      </c>
      <c r="B25" s="26" t="n">
        <f aca="false">IFERROR(__xludf.dummyfunction("""COMPUTED_VALUE"""),118.5)</f>
        <v>118.5</v>
      </c>
      <c r="C25" s="26"/>
      <c r="D25" s="26"/>
      <c r="E25" s="28"/>
      <c r="F25" s="26"/>
      <c r="G25" s="26"/>
      <c r="H25" s="10"/>
      <c r="I25" s="11" t="str">
        <f aca="false">IFERROR(__xludf.dummyfunction("""COMPUTED_VALUE"""),"Фурнитура")</f>
        <v>Фурнитура</v>
      </c>
      <c r="J25" s="11"/>
      <c r="K25" s="10"/>
      <c r="L25" s="33" t="str">
        <f aca="false">IFERROR(__xludf.dummyfunction("""COMPUTED_VALUE"""),"МДФ-панель [Наружняя] - BC-52 - Стандарт")</f>
        <v>МДФ-панель [Наружняя] - BC-52 - Стандарт</v>
      </c>
      <c r="M25" s="26"/>
      <c r="N25" s="12"/>
      <c r="O25" s="12"/>
      <c r="P25" s="12"/>
      <c r="Q25" s="12"/>
      <c r="R25" s="12"/>
      <c r="S25" s="12"/>
      <c r="T25" s="12"/>
      <c r="U25" s="12"/>
    </row>
    <row r="26" customFormat="false" ht="17.35" hidden="false" customHeight="false" outlineLevel="0" collapsed="false">
      <c r="A26" s="27" t="str">
        <f aca="false">IFERROR(__xludf.dummyfunction("""COMPUTED_VALUE"""),"Уплотнитель магнит1082 (14,5х12,5) палка 2,2")</f>
        <v>Уплотнитель магнит1082 (14,5х12,5) палка 2,2</v>
      </c>
      <c r="B26" s="26" t="n">
        <f aca="false">IFERROR(__xludf.dummyfunction("""COMPUTED_VALUE"""),140)</f>
        <v>140</v>
      </c>
      <c r="C26" s="26"/>
      <c r="D26" s="26"/>
      <c r="E26" s="28"/>
      <c r="F26" s="26"/>
      <c r="G26" s="26"/>
      <c r="H26" s="10"/>
      <c r="I26" s="36" t="str">
        <f aca="false">IFERROR(__xludf.dummyfunction("""COMPUTED_VALUE"""),"Номенклатурная позиция")</f>
        <v>Номенклатурная позиция</v>
      </c>
      <c r="J26" s="36" t="str">
        <f aca="false">IFERROR(__xludf.dummyfunction("""COMPUTED_VALUE"""),"р\компл.")</f>
        <v>р\компл.</v>
      </c>
      <c r="K26" s="10"/>
      <c r="L26" s="33" t="str">
        <f aca="false">IFERROR(__xludf.dummyfunction("""COMPUTED_VALUE"""),"МДФ-панель [Наружняя] - BC-52 - Нестандарт")</f>
        <v>МДФ-панель [Наружняя] - BC-52 - Нестандарт</v>
      </c>
      <c r="M26" s="26"/>
      <c r="N26" s="12"/>
      <c r="O26" s="12"/>
      <c r="P26" s="12"/>
      <c r="Q26" s="12"/>
      <c r="R26" s="12"/>
      <c r="S26" s="12"/>
      <c r="T26" s="12"/>
      <c r="U26" s="12"/>
    </row>
    <row r="27" customFormat="false" ht="17.35" hidden="false" customHeight="false" outlineLevel="0" collapsed="false">
      <c r="A27" s="27" t="str">
        <f aca="false">IFERROR(__xludf.dummyfunction("""COMPUTED_VALUE"""),"Пакетики для фурнитуры")</f>
        <v>Пакетики для фурнитуры</v>
      </c>
      <c r="B27" s="26" t="n">
        <f aca="false">IFERROR(__xludf.dummyfunction("""COMPUTED_VALUE"""),2.15)</f>
        <v>2.15</v>
      </c>
      <c r="C27" s="26"/>
      <c r="D27" s="26"/>
      <c r="E27" s="28"/>
      <c r="F27" s="26"/>
      <c r="G27" s="26"/>
      <c r="H27" s="10"/>
      <c r="I27" s="29" t="str">
        <f aca="false">IFERROR(__xludf.dummyfunction("""COMPUTED_VALUE"""),"Задвижка 65")</f>
        <v>Задвижка 65</v>
      </c>
      <c r="J27" s="37" t="n">
        <f aca="false">IFERROR(__xludf.dummyfunction("""COMPUTED_VALUE"""),63)</f>
        <v>63</v>
      </c>
      <c r="K27" s="10"/>
      <c r="L27" s="33" t="str">
        <f aca="false">IFERROR(__xludf.dummyfunction("""COMPUTED_VALUE"""),"МДФ-панель [Наружняя] - BC-34 - Стандарт")</f>
        <v>МДФ-панель [Наружняя] - BC-34 - Стандарт</v>
      </c>
      <c r="M27" s="26"/>
      <c r="N27" s="12"/>
      <c r="O27" s="12"/>
      <c r="P27" s="12"/>
      <c r="Q27" s="12"/>
      <c r="R27" s="12"/>
      <c r="S27" s="12"/>
      <c r="T27" s="12"/>
      <c r="U27" s="12"/>
    </row>
    <row r="28" customFormat="false" ht="17.35" hidden="false" customHeight="false" outlineLevel="0" collapsed="false">
      <c r="A28" s="27" t="str">
        <f aca="false">IFERROR(__xludf.dummyfunction("""COMPUTED_VALUE"""),"Пластиковый профиль СПЭНСЕР")</f>
        <v>Пластиковый профиль СПЭНСЕР</v>
      </c>
      <c r="B28" s="26"/>
      <c r="C28" s="26" t="n">
        <f aca="false">IFERROR(__xludf.dummyfunction("""COMPUTED_VALUE"""),44)</f>
        <v>44</v>
      </c>
      <c r="D28" s="26"/>
      <c r="E28" s="28"/>
      <c r="F28" s="26"/>
      <c r="G28" s="26"/>
      <c r="H28" s="10"/>
      <c r="I28" s="29" t="str">
        <f aca="false">IFERROR(__xludf.dummyfunction("""COMPUTED_VALUE"""),"Эксцентрик")</f>
        <v>Эксцентрик</v>
      </c>
      <c r="J28" s="37" t="n">
        <f aca="false">IFERROR(__xludf.dummyfunction("""COMPUTED_VALUE"""),31.4)</f>
        <v>31.4</v>
      </c>
      <c r="K28" s="10"/>
      <c r="L28" s="33" t="str">
        <f aca="false">IFERROR(__xludf.dummyfunction("""COMPUTED_VALUE"""),"МДФ-панель [Наружняя] - BC-34 - Нестандарт")</f>
        <v>МДФ-панель [Наружняя] - BC-34 - Нестандарт</v>
      </c>
      <c r="M28" s="26"/>
      <c r="N28" s="12"/>
      <c r="O28" s="12"/>
      <c r="P28" s="12"/>
      <c r="Q28" s="12"/>
      <c r="R28" s="12"/>
      <c r="S28" s="12"/>
      <c r="T28" s="12"/>
      <c r="U28" s="12"/>
    </row>
    <row r="29" customFormat="false" ht="17.35" hidden="false" customHeight="false" outlineLevel="0" collapsed="false">
      <c r="A29" s="27" t="str">
        <f aca="false">IFERROR(__xludf.dummyfunction("""COMPUTED_VALUE"""),"Саморез 3,5*12 грибок")</f>
        <v>Саморез 3,5*12 грибок</v>
      </c>
      <c r="B29" s="26" t="n">
        <f aca="false">IFERROR(__xludf.dummyfunction("""COMPUTED_VALUE"""),0.2)</f>
        <v>0.2</v>
      </c>
      <c r="C29" s="26"/>
      <c r="D29" s="26"/>
      <c r="E29" s="28"/>
      <c r="F29" s="26"/>
      <c r="G29" s="26"/>
      <c r="H29" s="10"/>
      <c r="I29" s="38" t="str">
        <f aca="false">IFERROR(__xludf.dummyfunction("""COMPUTED_VALUE"""),"Acuretto ML-16")</f>
        <v>Acuretto ML-16</v>
      </c>
      <c r="J29" s="39" t="n">
        <f aca="false">IFERROR(__xludf.dummyfunction("""COMPUTED_VALUE"""),360)</f>
        <v>360</v>
      </c>
      <c r="K29" s="10"/>
      <c r="L29" s="25" t="str">
        <f aca="false">IFERROR(__xludf.dummyfunction("""COMPUTED_VALUE"""),"МДФ-панель [Наружняя] - BC-30 - Стандарт")</f>
        <v>МДФ-панель [Наружняя] - BC-30 - Стандарт</v>
      </c>
      <c r="M29" s="26"/>
      <c r="N29" s="12"/>
      <c r="O29" s="12"/>
      <c r="P29" s="12"/>
      <c r="Q29" s="12"/>
      <c r="R29" s="12"/>
      <c r="S29" s="12"/>
      <c r="T29" s="12"/>
      <c r="U29" s="12"/>
    </row>
    <row r="30" customFormat="false" ht="17.35" hidden="false" customHeight="false" outlineLevel="0" collapsed="false">
      <c r="A30" s="27" t="str">
        <f aca="false">IFERROR(__xludf.dummyfunction("""COMPUTED_VALUE"""),"Заглушки под противосьемы, ЗП 25")</f>
        <v>Заглушки под противосьемы, ЗП 25</v>
      </c>
      <c r="B30" s="26" t="n">
        <f aca="false">IFERROR(__xludf.dummyfunction("""COMPUTED_VALUE"""),3)</f>
        <v>3</v>
      </c>
      <c r="C30" s="26"/>
      <c r="D30" s="26"/>
      <c r="E30" s="28"/>
      <c r="F30" s="26"/>
      <c r="G30" s="26"/>
      <c r="H30" s="10"/>
      <c r="I30" s="38" t="str">
        <f aca="false">IFERROR(__xludf.dummyfunction("""COMPUTED_VALUE"""),"Гардиан 32.11")</f>
        <v>Гардиан 32.11</v>
      </c>
      <c r="J30" s="39" t="n">
        <f aca="false">IFERROR(__xludf.dummyfunction("""COMPUTED_VALUE"""),758)</f>
        <v>758</v>
      </c>
      <c r="K30" s="10"/>
      <c r="L30" s="25" t="str">
        <f aca="false">IFERROR(__xludf.dummyfunction("""COMPUTED_VALUE"""),"МДФ-панель [Наружняя] - BC-30 - Нестандарт")</f>
        <v>МДФ-панель [Наружняя] - BC-30 - Нестандарт</v>
      </c>
      <c r="M30" s="26"/>
      <c r="N30" s="12"/>
      <c r="O30" s="12"/>
      <c r="P30" s="12"/>
      <c r="Q30" s="12"/>
      <c r="R30" s="12"/>
      <c r="S30" s="12"/>
      <c r="T30" s="12"/>
      <c r="U30" s="12"/>
    </row>
    <row r="31" customFormat="false" ht="17.35" hidden="false" customHeight="false" outlineLevel="0" collapsed="false">
      <c r="A31" s="27" t="str">
        <f aca="false">IFERROR(__xludf.dummyfunction("""COMPUTED_VALUE"""),"Заглушка под ригеля квадратная Интекрон")</f>
        <v>Заглушка под ригеля квадратная Интекрон</v>
      </c>
      <c r="B31" s="26" t="n">
        <f aca="false">IFERROR(__xludf.dummyfunction("""COMPUTED_VALUE"""),13)</f>
        <v>13</v>
      </c>
      <c r="C31" s="26"/>
      <c r="D31" s="26"/>
      <c r="E31" s="28"/>
      <c r="F31" s="26"/>
      <c r="G31" s="26"/>
      <c r="H31" s="10"/>
      <c r="I31" s="38" t="str">
        <f aca="false">IFERROR(__xludf.dummyfunction("""COMPUTED_VALUE"""),"Kale 442")</f>
        <v>Kale 442</v>
      </c>
      <c r="J31" s="39" t="n">
        <f aca="false">IFERROR(__xludf.dummyfunction("""COMPUTED_VALUE"""),875)</f>
        <v>875</v>
      </c>
      <c r="K31" s="10"/>
      <c r="L31" s="19" t="str">
        <f aca="false">IFERROR(__xludf.dummyfunction("""COMPUTED_VALUE"""),"Панели на наружку [с вставками]")</f>
        <v>Панели на наружку [с вставками]</v>
      </c>
      <c r="M31" s="20" t="str">
        <f aca="false">IFERROR(__xludf.dummyfunction("""COMPUTED_VALUE"""),"р\шт")</f>
        <v>р\шт</v>
      </c>
      <c r="N31" s="12"/>
      <c r="O31" s="12"/>
      <c r="P31" s="12"/>
      <c r="Q31" s="12"/>
      <c r="R31" s="12"/>
      <c r="S31" s="12"/>
      <c r="T31" s="12"/>
      <c r="U31" s="12"/>
    </row>
    <row r="32" customFormat="false" ht="17.35" hidden="false" customHeight="false" outlineLevel="0" collapsed="false">
      <c r="A32" s="27" t="str">
        <f aca="false">IFERROR(__xludf.dummyfunction("""COMPUTED_VALUE"""),"Пеноплекс 20*585*1185 (20 листов)")</f>
        <v>Пеноплекс 20*585*1185 (20 листов)</v>
      </c>
      <c r="B32" s="26" t="n">
        <f aca="false">IFERROR(__xludf.dummyfunction("""COMPUTED_VALUE"""),138)</f>
        <v>138</v>
      </c>
      <c r="C32" s="26"/>
      <c r="D32" s="26"/>
      <c r="E32" s="28"/>
      <c r="F32" s="26"/>
      <c r="G32" s="26"/>
      <c r="H32" s="10"/>
      <c r="I32" s="38" t="str">
        <f aca="false">IFERROR(__xludf.dummyfunction("""COMPUTED_VALUE"""),"Acuretto ML-18")</f>
        <v>Acuretto ML-18</v>
      </c>
      <c r="J32" s="39" t="n">
        <f aca="false">IFERROR(__xludf.dummyfunction("""COMPUTED_VALUE"""),485)</f>
        <v>485</v>
      </c>
      <c r="K32" s="10"/>
      <c r="L32" s="33" t="str">
        <f aca="false">IFERROR(__xludf.dummyfunction("""COMPUTED_VALUE"""),"МДФ-панель [Наружняя] - BC-45 - Стандарт")</f>
        <v>МДФ-панель [Наружняя] - BC-45 - Стандарт</v>
      </c>
      <c r="M32" s="26"/>
      <c r="N32" s="12"/>
      <c r="O32" s="12"/>
      <c r="P32" s="12"/>
      <c r="Q32" s="12"/>
      <c r="R32" s="12"/>
      <c r="S32" s="12"/>
      <c r="T32" s="12"/>
      <c r="U32" s="12"/>
    </row>
    <row r="33" customFormat="false" ht="17.35" hidden="false" customHeight="false" outlineLevel="0" collapsed="false">
      <c r="A33" s="27" t="str">
        <f aca="false">IFERROR(__xludf.dummyfunction("""COMPUTED_VALUE"""),"Шпилька 10*30")</f>
        <v>Шпилька 10*30</v>
      </c>
      <c r="B33" s="26" t="n">
        <f aca="false">IFERROR(__xludf.dummyfunction("""COMPUTED_VALUE"""),20.86)</f>
        <v>20.86</v>
      </c>
      <c r="C33" s="26"/>
      <c r="D33" s="26"/>
      <c r="E33" s="28"/>
      <c r="F33" s="26"/>
      <c r="G33" s="26"/>
      <c r="H33" s="10"/>
      <c r="I33" s="38" t="str">
        <f aca="false">IFERROR(__xludf.dummyfunction("""COMPUTED_VALUE"""),"Гардиан 30.11")</f>
        <v>Гардиан 30.11</v>
      </c>
      <c r="J33" s="39" t="n">
        <f aca="false">IFERROR(__xludf.dummyfunction("""COMPUTED_VALUE"""),1449)</f>
        <v>1449</v>
      </c>
      <c r="K33" s="10"/>
      <c r="L33" s="33" t="str">
        <f aca="false">IFERROR(__xludf.dummyfunction("""COMPUTED_VALUE"""),"МДФ-панель [Наружняя] - BC-45 - Нестандарт")</f>
        <v>МДФ-панель [Наружняя] - BC-45 - Нестандарт</v>
      </c>
      <c r="M33" s="26"/>
      <c r="N33" s="12"/>
      <c r="O33" s="12"/>
      <c r="P33" s="12"/>
      <c r="Q33" s="12"/>
      <c r="R33" s="12"/>
      <c r="S33" s="12"/>
      <c r="T33" s="12"/>
      <c r="U33" s="12"/>
    </row>
    <row r="34" customFormat="false" ht="17.35" hidden="false" customHeight="false" outlineLevel="0" collapsed="false">
      <c r="A34" s="27" t="str">
        <f aca="false">IFERROR(__xludf.dummyfunction("""COMPUTED_VALUE"""),"Гайка М10")</f>
        <v>Гайка М10</v>
      </c>
      <c r="B34" s="26" t="n">
        <f aca="false">IFERROR(__xludf.dummyfunction("""COMPUTED_VALUE"""),2.35)</f>
        <v>2.35</v>
      </c>
      <c r="C34" s="26"/>
      <c r="D34" s="26"/>
      <c r="E34" s="28"/>
      <c r="F34" s="26"/>
      <c r="G34" s="26"/>
      <c r="H34" s="10"/>
      <c r="I34" s="38" t="str">
        <f aca="false">IFERROR(__xludf.dummyfunction("""COMPUTED_VALUE"""),"Kale 442L")</f>
        <v>Kale 442L</v>
      </c>
      <c r="J34" s="39" t="n">
        <f aca="false">IFERROR(__xludf.dummyfunction("""COMPUTED_VALUE"""),2025)</f>
        <v>2025</v>
      </c>
      <c r="K34" s="10"/>
      <c r="L34" s="33" t="str">
        <f aca="false">IFERROR(__xludf.dummyfunction("""COMPUTED_VALUE"""),"МДФ-панель [Наружняя] - BC-24 - Стандарт")</f>
        <v>МДФ-панель [Наружняя] - BC-24 - Стандарт</v>
      </c>
      <c r="M34" s="26"/>
      <c r="N34" s="12"/>
      <c r="O34" s="12"/>
      <c r="P34" s="12"/>
      <c r="Q34" s="12"/>
      <c r="R34" s="12"/>
      <c r="S34" s="12"/>
      <c r="T34" s="12"/>
      <c r="U34" s="12"/>
    </row>
    <row r="35" customFormat="false" ht="17.35" hidden="false" customHeight="false" outlineLevel="0" collapsed="false">
      <c r="A35" s="27" t="str">
        <f aca="false">IFERROR(__xludf.dummyfunction("""COMPUTED_VALUE"""),"Винт 4*80")</f>
        <v>Винт 4*80</v>
      </c>
      <c r="B35" s="26" t="n">
        <f aca="false">IFERROR(__xludf.dummyfunction("""COMPUTED_VALUE"""),1.3)</f>
        <v>1.3</v>
      </c>
      <c r="C35" s="26"/>
      <c r="D35" s="26"/>
      <c r="E35" s="28"/>
      <c r="F35" s="26"/>
      <c r="G35" s="26"/>
      <c r="H35" s="10"/>
      <c r="I35" s="38" t="str">
        <f aca="false">IFERROR(__xludf.dummyfunction("""COMPUTED_VALUE"""),"Acuretto ML-17")</f>
        <v>Acuretto ML-17</v>
      </c>
      <c r="J35" s="39" t="n">
        <f aca="false">IFERROR(__xludf.dummyfunction("""COMPUTED_VALUE"""),390)</f>
        <v>390</v>
      </c>
      <c r="K35" s="10"/>
      <c r="L35" s="33" t="str">
        <f aca="false">IFERROR(__xludf.dummyfunction("""COMPUTED_VALUE"""),"МДФ-панель [Наружняя] - BC-24 - Нестандарт")</f>
        <v>МДФ-панель [Наружняя] - BC-24 - Нестандарт</v>
      </c>
      <c r="M35" s="26"/>
      <c r="N35" s="12"/>
      <c r="O35" s="12"/>
      <c r="P35" s="12"/>
      <c r="Q35" s="12"/>
      <c r="R35" s="12"/>
      <c r="S35" s="12"/>
      <c r="T35" s="12"/>
      <c r="U35" s="12"/>
    </row>
    <row r="36" customFormat="false" ht="17.35" hidden="false" customHeight="false" outlineLevel="0" collapsed="false">
      <c r="A36" s="27" t="str">
        <f aca="false">IFERROR(__xludf.dummyfunction("""COMPUTED_VALUE"""),"Винт 3*50")</f>
        <v>Винт 3*50</v>
      </c>
      <c r="B36" s="26" t="n">
        <f aca="false">IFERROR(__xludf.dummyfunction("""COMPUTED_VALUE"""),0.72)</f>
        <v>0.72</v>
      </c>
      <c r="C36" s="26"/>
      <c r="D36" s="26"/>
      <c r="E36" s="28"/>
      <c r="F36" s="26"/>
      <c r="G36" s="26"/>
      <c r="H36" s="10"/>
      <c r="I36" s="38" t="str">
        <f aca="false">IFERROR(__xludf.dummyfunction("""COMPUTED_VALUE"""),"Гардиан 30.01")</f>
        <v>Гардиан 30.01</v>
      </c>
      <c r="J36" s="39" t="n">
        <f aca="false">IFERROR(__xludf.dummyfunction("""COMPUTED_VALUE"""),967)</f>
        <v>967</v>
      </c>
      <c r="K36" s="10"/>
      <c r="L36" s="30" t="str">
        <f aca="false">IFERROR(__xludf.dummyfunction("""COMPUTED_VALUE"""),"МДФ-панель [Наружняя] - BC-6 - Стандарт")</f>
        <v>МДФ-панель [Наружняя] - BC-6 - Стандарт</v>
      </c>
      <c r="M36" s="26"/>
      <c r="N36" s="12"/>
      <c r="O36" s="12"/>
      <c r="P36" s="12"/>
      <c r="Q36" s="12"/>
      <c r="R36" s="12"/>
      <c r="S36" s="12"/>
      <c r="T36" s="12"/>
      <c r="U36" s="12"/>
    </row>
    <row r="37" customFormat="false" ht="17.35" hidden="false" customHeight="false" outlineLevel="0" collapsed="false">
      <c r="A37" s="27" t="str">
        <f aca="false">IFERROR(__xludf.dummyfunction("""COMPUTED_VALUE"""),"Саморезы разные")</f>
        <v>Саморезы разные</v>
      </c>
      <c r="B37" s="26" t="n">
        <f aca="false">IFERROR(__xludf.dummyfunction("""COMPUTED_VALUE"""),100)</f>
        <v>100</v>
      </c>
      <c r="C37" s="26"/>
      <c r="D37" s="26"/>
      <c r="E37" s="28"/>
      <c r="F37" s="26"/>
      <c r="G37" s="26"/>
      <c r="H37" s="10"/>
      <c r="I37" s="38" t="str">
        <f aca="false">IFERROR(__xludf.dummyfunction("""COMPUTED_VALUE"""),"Kale 447L")</f>
        <v>Kale 447L</v>
      </c>
      <c r="J37" s="39" t="n">
        <f aca="false">IFERROR(__xludf.dummyfunction("""COMPUTED_VALUE"""),1060)</f>
        <v>1060</v>
      </c>
      <c r="K37" s="10"/>
      <c r="L37" s="30" t="str">
        <f aca="false">IFERROR(__xludf.dummyfunction("""COMPUTED_VALUE"""),"МДФ-панель [Наружняя] - BC-6 - Нестандарт")</f>
        <v>МДФ-панель [Наружняя] - BC-6 - Нестандарт</v>
      </c>
      <c r="M37" s="26"/>
      <c r="N37" s="12"/>
      <c r="O37" s="12"/>
      <c r="P37" s="12"/>
      <c r="Q37" s="12"/>
      <c r="R37" s="12"/>
      <c r="S37" s="12"/>
      <c r="T37" s="12"/>
      <c r="U37" s="12"/>
    </row>
    <row r="38" customFormat="false" ht="17.35" hidden="false" customHeight="false" outlineLevel="0" collapsed="false">
      <c r="A38" s="27" t="str">
        <f aca="false">IFERROR(__xludf.dummyfunction("""COMPUTED_VALUE"""),"Шуруп 3х10")</f>
        <v>Шуруп 3х10</v>
      </c>
      <c r="B38" s="26" t="n">
        <f aca="false">IFERROR(__xludf.dummyfunction("""COMPUTED_VALUE"""),0.18)</f>
        <v>0.18</v>
      </c>
      <c r="C38" s="26"/>
      <c r="D38" s="26"/>
      <c r="E38" s="28"/>
      <c r="F38" s="26"/>
      <c r="G38" s="26"/>
      <c r="H38" s="10"/>
      <c r="I38" s="38" t="str">
        <f aca="false">IFERROR(__xludf.dummyfunction("""COMPUTED_VALUE"""),"Double force 32.01 ")</f>
        <v>Double force 32.01 </v>
      </c>
      <c r="J38" s="39" t="n">
        <f aca="false">IFERROR(__xludf.dummyfunction("""COMPUTED_VALUE"""),310)</f>
        <v>310</v>
      </c>
      <c r="K38" s="10"/>
      <c r="L38" s="33" t="str">
        <f aca="false">IFERROR(__xludf.dummyfunction("""COMPUTED_VALUE"""),"МДФ-панель [Наружняя] - BC-13 - Стандарт")</f>
        <v>МДФ-панель [Наружняя] - BC-13 - Стандарт</v>
      </c>
      <c r="M38" s="26"/>
      <c r="N38" s="12"/>
      <c r="O38" s="12"/>
      <c r="P38" s="12"/>
      <c r="Q38" s="12"/>
      <c r="R38" s="12"/>
      <c r="S38" s="12"/>
      <c r="T38" s="12"/>
      <c r="U38" s="12"/>
    </row>
    <row r="39" customFormat="false" ht="17.35" hidden="false" customHeight="false" outlineLevel="0" collapsed="false">
      <c r="A39" s="9" t="str">
        <f aca="false">IFERROR(__xludf.dummyfunction("""COMPUTED_VALUE"""),"Упаковка")</f>
        <v>Упаковка</v>
      </c>
      <c r="B39" s="9"/>
      <c r="C39" s="9"/>
      <c r="D39" s="9"/>
      <c r="E39" s="9"/>
      <c r="F39" s="9"/>
      <c r="G39" s="9"/>
      <c r="H39" s="10"/>
      <c r="I39" s="38" t="str">
        <f aca="false">IFERROR(__xludf.dummyfunction("""COMPUTED_VALUE"""),"Гардиан 32.01")</f>
        <v>Гардиан 32.01</v>
      </c>
      <c r="J39" s="39" t="n">
        <f aca="false">IFERROR(__xludf.dummyfunction("""COMPUTED_VALUE"""),701)</f>
        <v>701</v>
      </c>
      <c r="K39" s="10"/>
      <c r="L39" s="33" t="str">
        <f aca="false">IFERROR(__xludf.dummyfunction("""COMPUTED_VALUE"""),"МДФ-панель [Наружняя] - BC-13 - Нестандарт")</f>
        <v>МДФ-панель [Наружняя] - BC-13 - Нестандарт</v>
      </c>
      <c r="M39" s="26"/>
      <c r="N39" s="12"/>
      <c r="O39" s="12"/>
      <c r="P39" s="12"/>
      <c r="Q39" s="12"/>
      <c r="R39" s="12"/>
      <c r="S39" s="12"/>
      <c r="T39" s="12"/>
      <c r="U39" s="12"/>
    </row>
    <row r="40" customFormat="false" ht="17.35" hidden="false" customHeight="false" outlineLevel="0" collapsed="false">
      <c r="A40" s="13" t="str">
        <f aca="false">IFERROR(__xludf.dummyfunction("""COMPUTED_VALUE"""),"Номенклатурная позиция")</f>
        <v>Номенклатурная позиция</v>
      </c>
      <c r="B40" s="14" t="str">
        <f aca="false">IFERROR(__xludf.dummyfunction("""COMPUTED_VALUE"""),"р\шт")</f>
        <v>р\шт</v>
      </c>
      <c r="C40" s="14" t="str">
        <f aca="false">IFERROR(__xludf.dummyfunction("""COMPUTED_VALUE"""),"р\п.м")</f>
        <v>р\п.м</v>
      </c>
      <c r="D40" s="14" t="str">
        <f aca="false">IFERROR(__xludf.dummyfunction("""COMPUTED_VALUE"""),"р\л")</f>
        <v>р\л</v>
      </c>
      <c r="E40" s="15" t="str">
        <f aca="false">IFERROR(__xludf.dummyfunction("""COMPUTED_VALUE"""),"р\кв.м")</f>
        <v>р\кв.м</v>
      </c>
      <c r="F40" s="14" t="str">
        <f aca="false">IFERROR(__xludf.dummyfunction("""COMPUTED_VALUE"""),"р\куб.м")</f>
        <v>р\куб.м</v>
      </c>
      <c r="G40" s="16" t="str">
        <f aca="false">IFERROR(__xludf.dummyfunction("""COMPUTED_VALUE"""),"р\кг")</f>
        <v>р\кг</v>
      </c>
      <c r="H40" s="10"/>
      <c r="I40" s="38" t="str">
        <f aca="false">IFERROR(__xludf.dummyfunction("""COMPUTED_VALUE"""),"Kale 447")</f>
        <v>Kale 447</v>
      </c>
      <c r="J40" s="39" t="n">
        <f aca="false">IFERROR(__xludf.dummyfunction("""COMPUTED_VALUE"""),993)</f>
        <v>993</v>
      </c>
      <c r="K40" s="10"/>
      <c r="L40" s="25" t="str">
        <f aca="false">IFERROR(__xludf.dummyfunction("""COMPUTED_VALUE"""),"МДФ-панель [Наружняя] - BC-44 - Стандарт")</f>
        <v>МДФ-панель [Наружняя] - BC-44 - Стандарт</v>
      </c>
      <c r="M40" s="26"/>
      <c r="N40" s="12"/>
      <c r="O40" s="12"/>
      <c r="P40" s="12"/>
      <c r="Q40" s="12"/>
      <c r="R40" s="12"/>
      <c r="S40" s="12"/>
      <c r="T40" s="12"/>
      <c r="U40" s="12"/>
    </row>
    <row r="41" customFormat="false" ht="17.35" hidden="false" customHeight="false" outlineLevel="0" collapsed="false">
      <c r="A41" s="29" t="str">
        <f aca="false">IFERROR(__xludf.dummyfunction("""COMPUTED_VALUE"""),"Гофра №5 для фурнитуры")</f>
        <v>Гофра №5 для фурнитуры</v>
      </c>
      <c r="B41" s="26" t="n">
        <f aca="false">IFERROR(__xludf.dummyfunction("""COMPUTED_VALUE"""),19.31)</f>
        <v>19.31</v>
      </c>
      <c r="C41" s="26"/>
      <c r="D41" s="26"/>
      <c r="E41" s="28"/>
      <c r="F41" s="26"/>
      <c r="G41" s="26"/>
      <c r="H41" s="10"/>
      <c r="I41" s="11" t="str">
        <f aca="false">IFERROR(__xludf.dummyfunction("""COMPUTED_VALUE"""),"Цилиндры")</f>
        <v>Цилиндры</v>
      </c>
      <c r="J41" s="11"/>
      <c r="K41" s="10"/>
      <c r="L41" s="25" t="str">
        <f aca="false">IFERROR(__xludf.dummyfunction("""COMPUTED_VALUE"""),"МДФ-панель [Наружняя] - BC-44 - Нестандарт")</f>
        <v>МДФ-панель [Наружняя] - BC-44 - Нестандарт</v>
      </c>
      <c r="M41" s="26"/>
      <c r="N41" s="12"/>
      <c r="O41" s="12"/>
      <c r="P41" s="12"/>
      <c r="Q41" s="12"/>
      <c r="R41" s="12"/>
      <c r="S41" s="12"/>
      <c r="T41" s="12"/>
      <c r="U41" s="12"/>
    </row>
    <row r="42" customFormat="false" ht="17.35" hidden="false" customHeight="false" outlineLevel="0" collapsed="false">
      <c r="A42" s="29" t="str">
        <f aca="false">IFERROR(__xludf.dummyfunction("""COMPUTED_VALUE"""),"Пенопласт ПСБ-15, толщина 30, шт")</f>
        <v>Пенопласт ПСБ-15, толщина 30, шт</v>
      </c>
      <c r="B42" s="26"/>
      <c r="C42" s="26"/>
      <c r="D42" s="26"/>
      <c r="E42" s="28"/>
      <c r="F42" s="26" t="n">
        <f aca="false">IFERROR(__xludf.dummyfunction("""COMPUTED_VALUE"""),3250)</f>
        <v>3250</v>
      </c>
      <c r="G42" s="26"/>
      <c r="H42" s="10"/>
      <c r="I42" s="20" t="str">
        <f aca="false">IFERROR(__xludf.dummyfunction("""COMPUTED_VALUE"""),"Номенклатурная позиция")</f>
        <v>Номенклатурная позиция</v>
      </c>
      <c r="J42" s="20" t="str">
        <f aca="false">IFERROR(__xludf.dummyfunction("""COMPUTED_VALUE"""),"р\компл.")</f>
        <v>р\компл.</v>
      </c>
      <c r="K42" s="10"/>
      <c r="L42" s="30" t="str">
        <f aca="false">IFERROR(__xludf.dummyfunction("""COMPUTED_VALUE"""),"МДФ-панель [Наружняя] - BC-19 - Стандарт")</f>
        <v>МДФ-панель [Наружняя] - BC-19 - Стандарт</v>
      </c>
      <c r="M42" s="26"/>
      <c r="N42" s="12"/>
      <c r="O42" s="12"/>
      <c r="P42" s="12"/>
      <c r="Q42" s="12"/>
      <c r="R42" s="12"/>
      <c r="S42" s="12"/>
      <c r="T42" s="12"/>
      <c r="U42" s="12"/>
    </row>
    <row r="43" customFormat="false" ht="17.35" hidden="false" customHeight="false" outlineLevel="0" collapsed="false">
      <c r="A43" s="29" t="str">
        <f aca="false">IFERROR(__xludf.dummyfunction("""COMPUTED_VALUE"""),"Труба на петли")</f>
        <v>Труба на петли</v>
      </c>
      <c r="B43" s="26"/>
      <c r="C43" s="26" t="n">
        <f aca="false">IFERROR(__xludf.dummyfunction("""COMPUTED_VALUE"""),11)</f>
        <v>11</v>
      </c>
      <c r="D43" s="26"/>
      <c r="E43" s="28"/>
      <c r="F43" s="26"/>
      <c r="G43" s="26"/>
      <c r="H43" s="10"/>
      <c r="I43" s="29" t="str">
        <f aca="false">IFERROR(__xludf.dummyfunction("""COMPUTED_VALUE"""),"DWF Profi [55/10/25]")</f>
        <v>DWF Profi [55/10/25]</v>
      </c>
      <c r="J43" s="39" t="n">
        <f aca="false">IFERROR(__xludf.dummyfunction("""COMPUTED_VALUE"""),235)</f>
        <v>235</v>
      </c>
      <c r="K43" s="10"/>
      <c r="L43" s="30" t="str">
        <f aca="false">IFERROR(__xludf.dummyfunction("""COMPUTED_VALUE"""),"МДФ-панель [Наружняя] - BC-19 - Нестандарт")</f>
        <v>МДФ-панель [Наружняя] - BC-19 - Нестандарт</v>
      </c>
      <c r="M43" s="26"/>
      <c r="N43" s="12"/>
      <c r="O43" s="12"/>
      <c r="P43" s="12"/>
      <c r="Q43" s="12"/>
      <c r="R43" s="12"/>
      <c r="S43" s="12"/>
      <c r="T43" s="12"/>
      <c r="U43" s="12"/>
    </row>
    <row r="44" customFormat="false" ht="17.35" hidden="false" customHeight="false" outlineLevel="0" collapsed="false">
      <c r="A44" s="29" t="str">
        <f aca="false">IFERROR(__xludf.dummyfunction("""COMPUTED_VALUE"""),"Прокладка 200*2000 под ленту")</f>
        <v>Прокладка 200*2000 под ленту</v>
      </c>
      <c r="B44" s="26" t="n">
        <f aca="false">IFERROR(__xludf.dummyfunction("""COMPUTED_VALUE"""),17.7)</f>
        <v>17.7</v>
      </c>
      <c r="C44" s="26"/>
      <c r="D44" s="26"/>
      <c r="E44" s="28"/>
      <c r="F44" s="26"/>
      <c r="G44" s="26"/>
      <c r="H44" s="10"/>
      <c r="I44" s="29" t="str">
        <f aca="false">IFERROR(__xludf.dummyfunction("""COMPUTED_VALUE"""),"Fuaro D-Pro 507 [55/10/25]")</f>
        <v>Fuaro D-Pro 507 [55/10/25]</v>
      </c>
      <c r="J44" s="39" t="n">
        <f aca="false">IFERROR(__xludf.dummyfunction("""COMPUTED_VALUE"""),670)</f>
        <v>670</v>
      </c>
      <c r="K44" s="10"/>
      <c r="L44" s="30" t="str">
        <f aca="false">IFERROR(__xludf.dummyfunction("""COMPUTED_VALUE"""),"МДФ-панель [Наружняя] - BC-22 - Стандарт")</f>
        <v>МДФ-панель [Наружняя] - BC-22 - Стандарт</v>
      </c>
      <c r="M44" s="26"/>
      <c r="N44" s="12"/>
      <c r="O44" s="12"/>
      <c r="P44" s="12"/>
      <c r="Q44" s="12"/>
      <c r="R44" s="12"/>
      <c r="S44" s="12"/>
      <c r="T44" s="12"/>
      <c r="U44" s="12"/>
    </row>
    <row r="45" customFormat="false" ht="17.35" hidden="false" customHeight="false" outlineLevel="0" collapsed="false">
      <c r="A45" s="29" t="str">
        <f aca="false">IFERROR(__xludf.dummyfunction("""COMPUTED_VALUE"""),"Гофра 207А")</f>
        <v>Гофра 207А</v>
      </c>
      <c r="B45" s="26" t="n">
        <f aca="false">IFERROR(__xludf.dummyfunction("""COMPUTED_VALUE"""),50)</f>
        <v>50</v>
      </c>
      <c r="C45" s="26"/>
      <c r="D45" s="26"/>
      <c r="E45" s="28"/>
      <c r="F45" s="26"/>
      <c r="G45" s="26"/>
      <c r="H45" s="10"/>
      <c r="I45" s="29" t="str">
        <f aca="false">IFERROR(__xludf.dummyfunction("""COMPUTED_VALUE"""),"Secureme K-2 [55/10/25]")</f>
        <v>Secureme K-2 [55/10/25]</v>
      </c>
      <c r="J45" s="39" t="n">
        <f aca="false">IFERROR(__xludf.dummyfunction("""COMPUTED_VALUE"""),3660)</f>
        <v>3660</v>
      </c>
      <c r="K45" s="10"/>
      <c r="L45" s="30" t="str">
        <f aca="false">IFERROR(__xludf.dummyfunction("""COMPUTED_VALUE"""),"МДФ-панель [Наружняя] - BC-22 - Нестандарт")</f>
        <v>МДФ-панель [Наружняя] - BC-22 - Нестандарт</v>
      </c>
      <c r="M45" s="26"/>
      <c r="N45" s="12"/>
      <c r="O45" s="12"/>
      <c r="P45" s="12"/>
      <c r="Q45" s="12"/>
      <c r="R45" s="12"/>
      <c r="S45" s="12"/>
      <c r="T45" s="12"/>
      <c r="U45" s="12"/>
    </row>
    <row r="46" customFormat="false" ht="17.35" hidden="false" customHeight="false" outlineLevel="0" collapsed="false">
      <c r="A46" s="29" t="str">
        <f aca="false">IFERROR(__xludf.dummyfunction("""COMPUTED_VALUE"""),"Прокладка 300*2000 под наличник")</f>
        <v>Прокладка 300*2000 под наличник</v>
      </c>
      <c r="B46" s="26" t="n">
        <f aca="false">IFERROR(__xludf.dummyfunction("""COMPUTED_VALUE"""),22.7)</f>
        <v>22.7</v>
      </c>
      <c r="C46" s="26"/>
      <c r="D46" s="26"/>
      <c r="E46" s="28"/>
      <c r="F46" s="26"/>
      <c r="G46" s="26"/>
      <c r="H46" s="10"/>
      <c r="I46" s="29" t="str">
        <f aca="false">IFERROR(__xludf.dummyfunction("""COMPUTED_VALUE"""),"DWF Profi [60/10/25]")</f>
        <v>DWF Profi [60/10/25]</v>
      </c>
      <c r="J46" s="39" t="n">
        <f aca="false">IFERROR(__xludf.dummyfunction("""COMPUTED_VALUE"""),290)</f>
        <v>290</v>
      </c>
      <c r="K46" s="10"/>
      <c r="L46" s="30" t="str">
        <f aca="false">IFERROR(__xludf.dummyfunction("""COMPUTED_VALUE"""),"МДФ-панель [Наружняя] - BC-38 - Стандарт")</f>
        <v>МДФ-панель [Наружняя] - BC-38 - Стандарт</v>
      </c>
      <c r="M46" s="26"/>
      <c r="N46" s="12"/>
      <c r="O46" s="12"/>
      <c r="P46" s="12"/>
      <c r="Q46" s="12"/>
      <c r="R46" s="12"/>
      <c r="S46" s="12"/>
      <c r="T46" s="12"/>
      <c r="U46" s="12"/>
    </row>
    <row r="47" customFormat="false" ht="17.35" hidden="false" customHeight="false" outlineLevel="0" collapsed="false">
      <c r="A47" s="38" t="str">
        <f aca="false">IFERROR(__xludf.dummyfunction("""COMPUTED_VALUE"""),"Скобы для степлера B16, для гофры")</f>
        <v>Скобы для степлера B16, для гофры</v>
      </c>
      <c r="B47" s="26" t="n">
        <f aca="false">IFERROR(__xludf.dummyfunction("""COMPUTED_VALUE"""),0.43)</f>
        <v>0.43</v>
      </c>
      <c r="C47" s="26"/>
      <c r="D47" s="26"/>
      <c r="E47" s="28"/>
      <c r="F47" s="26"/>
      <c r="G47" s="26"/>
      <c r="H47" s="10"/>
      <c r="I47" s="29" t="str">
        <f aca="false">IFERROR(__xludf.dummyfunction("""COMPUTED_VALUE"""),"Fuaro D-Pro 507 [60/10/25]")</f>
        <v>Fuaro D-Pro 507 [60/10/25]</v>
      </c>
      <c r="J47" s="39" t="n">
        <f aca="false">IFERROR(__xludf.dummyfunction("""COMPUTED_VALUE"""),790)</f>
        <v>790</v>
      </c>
      <c r="K47" s="10"/>
      <c r="L47" s="30" t="str">
        <f aca="false">IFERROR(__xludf.dummyfunction("""COMPUTED_VALUE"""),"МДФ-панель [Наружняя] - BC-38 - Нестандарт")</f>
        <v>МДФ-панель [Наружняя] - BC-38 - Нестандарт</v>
      </c>
      <c r="M47" s="26"/>
      <c r="N47" s="12"/>
      <c r="O47" s="12"/>
      <c r="P47" s="12"/>
      <c r="Q47" s="12"/>
      <c r="R47" s="12"/>
      <c r="S47" s="12"/>
      <c r="T47" s="12"/>
      <c r="U47" s="12"/>
    </row>
    <row r="48" customFormat="false" ht="17.35" hidden="false" customHeight="false" outlineLevel="0" collapsed="false">
      <c r="A48" s="38" t="str">
        <f aca="false">IFERROR(__xludf.dummyfunction("""COMPUTED_VALUE"""),"Скрепа для стрипленты")</f>
        <v>Скрепа для стрипленты</v>
      </c>
      <c r="B48" s="26" t="n">
        <f aca="false">IFERROR(__xludf.dummyfunction("""COMPUTED_VALUE"""),0.9)</f>
        <v>0.9</v>
      </c>
      <c r="C48" s="26"/>
      <c r="D48" s="26"/>
      <c r="E48" s="28"/>
      <c r="F48" s="26"/>
      <c r="G48" s="26"/>
      <c r="H48" s="10"/>
      <c r="I48" s="29" t="str">
        <f aca="false">IFERROR(__xludf.dummyfunction("""COMPUTED_VALUE"""),"Secureme K-2 [60/10/25]")</f>
        <v>Secureme K-2 [60/10/25]</v>
      </c>
      <c r="J48" s="39" t="n">
        <f aca="false">IFERROR(__xludf.dummyfunction("""COMPUTED_VALUE"""),3690)</f>
        <v>3690</v>
      </c>
      <c r="K48" s="10"/>
      <c r="L48" s="33" t="str">
        <f aca="false">IFERROR(__xludf.dummyfunction("""COMPUTED_VALUE"""),"МДФ-панель [Наружняя] - BC-17 - Стандарт")</f>
        <v>МДФ-панель [Наружняя] - BC-17 - Стандарт</v>
      </c>
      <c r="M48" s="26"/>
      <c r="N48" s="12"/>
      <c r="O48" s="12"/>
      <c r="P48" s="12"/>
      <c r="Q48" s="12"/>
      <c r="R48" s="12"/>
      <c r="S48" s="12"/>
      <c r="T48" s="12"/>
      <c r="U48" s="12"/>
    </row>
    <row r="49" customFormat="false" ht="17.35" hidden="false" customHeight="false" outlineLevel="0" collapsed="false">
      <c r="A49" s="38" t="str">
        <f aca="false">IFERROR(__xludf.dummyfunction("""COMPUTED_VALUE"""),"Стриплента, Лента ПП 15х2000")</f>
        <v>Стриплента, Лента ПП 15х2000</v>
      </c>
      <c r="B49" s="26"/>
      <c r="C49" s="26" t="n">
        <f aca="false">IFERROR(__xludf.dummyfunction("""COMPUTED_VALUE"""),1.92)</f>
        <v>1.92</v>
      </c>
      <c r="D49" s="26"/>
      <c r="E49" s="28"/>
      <c r="F49" s="26"/>
      <c r="G49" s="26"/>
      <c r="H49" s="10"/>
      <c r="I49" s="29" t="str">
        <f aca="false">IFERROR(__xludf.dummyfunction("""COMPUTED_VALUE"""),"Fuaro D-Proterm 507 [60/10/25]")</f>
        <v>Fuaro D-Proterm 507 [60/10/25]</v>
      </c>
      <c r="J49" s="39" t="n">
        <f aca="false">IFERROR(__xludf.dummyfunction("""COMPUTED_VALUE"""),798)</f>
        <v>798</v>
      </c>
      <c r="K49" s="10"/>
      <c r="L49" s="33" t="str">
        <f aca="false">IFERROR(__xludf.dummyfunction("""COMPUTED_VALUE"""),"МДФ-панель [Наружняя] - BC-17 - Нестандарт")</f>
        <v>МДФ-панель [Наружняя] - BC-17 - Нестандарт</v>
      </c>
      <c r="M49" s="26"/>
      <c r="N49" s="12"/>
      <c r="O49" s="12"/>
      <c r="P49" s="12"/>
      <c r="Q49" s="12"/>
      <c r="R49" s="12"/>
      <c r="S49" s="12"/>
      <c r="T49" s="12"/>
      <c r="U49" s="12"/>
    </row>
    <row r="50" customFormat="false" ht="17.35" hidden="false" customHeight="false" outlineLevel="0" collapsed="false">
      <c r="A50" s="38" t="str">
        <f aca="false">IFERROR(__xludf.dummyfunction("""COMPUTED_VALUE"""),"Скотч прозрачный")</f>
        <v>Скотч прозрачный</v>
      </c>
      <c r="B50" s="26"/>
      <c r="C50" s="26" t="n">
        <f aca="false">IFERROR(__xludf.dummyfunction("""COMPUTED_VALUE"""),0.66)</f>
        <v>0.66</v>
      </c>
      <c r="D50" s="26"/>
      <c r="E50" s="28"/>
      <c r="F50" s="26"/>
      <c r="G50" s="26"/>
      <c r="H50" s="10"/>
      <c r="I50" s="29" t="str">
        <f aca="false">IFERROR(__xludf.dummyfunction("""COMPUTED_VALUE"""),"Guardian GS Termo [60/10/25]")</f>
        <v>Guardian GS Termo [60/10/25]</v>
      </c>
      <c r="J50" s="39" t="n">
        <f aca="false">IFERROR(__xludf.dummyfunction("""COMPUTED_VALUE"""),1120)</f>
        <v>1120</v>
      </c>
      <c r="K50" s="10"/>
      <c r="L50" s="19" t="str">
        <f aca="false">IFERROR(__xludf.dummyfunction("""COMPUTED_VALUE"""),"Панели внутрь [Без вставок]")</f>
        <v>Панели внутрь [Без вставок]</v>
      </c>
      <c r="M50" s="20" t="str">
        <f aca="false">IFERROR(__xludf.dummyfunction("""COMPUTED_VALUE"""),"р\шт")</f>
        <v>р\шт</v>
      </c>
      <c r="N50" s="12"/>
      <c r="O50" s="12"/>
      <c r="P50" s="12"/>
      <c r="Q50" s="12"/>
      <c r="R50" s="12"/>
      <c r="S50" s="12"/>
      <c r="T50" s="12"/>
      <c r="U50" s="12"/>
    </row>
    <row r="51" customFormat="false" ht="17.35" hidden="false" customHeight="false" outlineLevel="0" collapsed="false">
      <c r="A51" s="38" t="str">
        <f aca="false">IFERROR(__xludf.dummyfunction("""COMPUTED_VALUE"""),"мдф для упаковки 960*130мм")</f>
        <v>мдф для упаковки 960*130мм</v>
      </c>
      <c r="B51" s="26"/>
      <c r="C51" s="26"/>
      <c r="D51" s="26"/>
      <c r="E51" s="28" t="n">
        <f aca="false">IFERROR(__xludf.dummyfunction("""COMPUTED_VALUE"""),119)</f>
        <v>119</v>
      </c>
      <c r="F51" s="26"/>
      <c r="G51" s="26"/>
      <c r="H51" s="10"/>
      <c r="I51" s="11" t="str">
        <f aca="false">IFERROR(__xludf.dummyfunction("""COMPUTED_VALUE"""),"Ручки")</f>
        <v>Ручки</v>
      </c>
      <c r="J51" s="11"/>
      <c r="K51" s="10"/>
      <c r="L51" s="27" t="str">
        <f aca="false">IFERROR(__xludf.dummyfunction("""COMPUTED_VALUE"""),"МДФ-панель [Внутренняя] - Ф-3 - Стандарт")</f>
        <v>МДФ-панель [Внутренняя] - Ф-3 - Стандарт</v>
      </c>
      <c r="M51" s="26"/>
      <c r="N51" s="12"/>
      <c r="O51" s="12"/>
      <c r="P51" s="12"/>
      <c r="Q51" s="12"/>
      <c r="R51" s="12"/>
      <c r="S51" s="12"/>
      <c r="T51" s="12"/>
      <c r="U51" s="12"/>
    </row>
    <row r="52" customFormat="false" ht="17.35" hidden="false" customHeight="false" outlineLevel="0" collapsed="false">
      <c r="A52" s="29" t="str">
        <f aca="false">IFERROR(__xludf.dummyfunction("""COMPUTED_VALUE"""),"Пленка П/Э 1200*20")</f>
        <v>Пленка П/Э 1200*20</v>
      </c>
      <c r="B52" s="26" t="n">
        <f aca="false">IFERROR(__xludf.dummyfunction("""COMPUTED_VALUE"""),54.08)</f>
        <v>54.08</v>
      </c>
      <c r="C52" s="26"/>
      <c r="D52" s="26"/>
      <c r="E52" s="28"/>
      <c r="F52" s="26"/>
      <c r="G52" s="26"/>
      <c r="H52" s="10"/>
      <c r="I52" s="40" t="str">
        <f aca="false">IFERROR(__xludf.dummyfunction("""COMPUTED_VALUE"""),"Ручка (21 серия), матовое золото")</f>
        <v>Ручка (21 серия), матовое золото</v>
      </c>
      <c r="J52" s="37" t="n">
        <f aca="false">IFERROR(__xludf.dummyfunction("""COMPUTED_VALUE"""),480)</f>
        <v>480</v>
      </c>
      <c r="K52" s="10"/>
      <c r="L52" s="27" t="str">
        <f aca="false">IFERROR(__xludf.dummyfunction("""COMPUTED_VALUE"""),"МДФ-панель [Внутренняя] - Ф-3 - Нестандарт")</f>
        <v>МДФ-панель [Внутренняя] - Ф-3 - Нестандарт</v>
      </c>
      <c r="M52" s="26"/>
      <c r="N52" s="12"/>
      <c r="O52" s="12"/>
      <c r="P52" s="12"/>
      <c r="Q52" s="12"/>
      <c r="R52" s="12"/>
      <c r="S52" s="12"/>
      <c r="T52" s="12"/>
      <c r="U52" s="12"/>
    </row>
    <row r="53" customFormat="false" ht="17.35" hidden="false" customHeight="false" outlineLevel="0" collapsed="false">
      <c r="A53" s="38" t="str">
        <f aca="false">IFERROR(__xludf.dummyfunction("""COMPUTED_VALUE"""),"Шильдик Дорстон")</f>
        <v>Шильдик Дорстон</v>
      </c>
      <c r="B53" s="26" t="n">
        <f aca="false">IFERROR(__xludf.dummyfunction("""COMPUTED_VALUE"""),35.5)</f>
        <v>35.5</v>
      </c>
      <c r="C53" s="26"/>
      <c r="D53" s="26"/>
      <c r="E53" s="28"/>
      <c r="F53" s="26"/>
      <c r="G53" s="26"/>
      <c r="H53" s="10"/>
      <c r="I53" s="40" t="str">
        <f aca="false">IFERROR(__xludf.dummyfunction("""COMPUTED_VALUE"""),"Ручка PALIDORE A-527 SSC черная")</f>
        <v>Ручка PALIDORE A-527 SSC черная</v>
      </c>
      <c r="J53" s="37" t="n">
        <f aca="false">IFERROR(__xludf.dummyfunction("""COMPUTED_VALUE"""),390)</f>
        <v>390</v>
      </c>
      <c r="K53" s="10"/>
      <c r="L53" s="27" t="str">
        <f aca="false">IFERROR(__xludf.dummyfunction("""COMPUTED_VALUE"""),"МДФ-панель [Внутренняя] - Ф-11 - Стандарт")</f>
        <v>МДФ-панель [Внутренняя] - Ф-11 - Стандарт</v>
      </c>
      <c r="M53" s="26"/>
      <c r="N53" s="12"/>
      <c r="O53" s="12"/>
      <c r="P53" s="12"/>
      <c r="Q53" s="12"/>
      <c r="R53" s="12"/>
      <c r="S53" s="12"/>
      <c r="T53" s="12"/>
      <c r="U53" s="12"/>
    </row>
    <row r="54" customFormat="false" ht="17.35" hidden="false" customHeight="false" outlineLevel="0" collapsed="false">
      <c r="A54" s="9" t="str">
        <f aca="false">IFERROR(__xludf.dummyfunction("""COMPUTED_VALUE"""),"Прочее")</f>
        <v>Прочее</v>
      </c>
      <c r="B54" s="9"/>
      <c r="C54" s="9"/>
      <c r="D54" s="9"/>
      <c r="E54" s="9"/>
      <c r="F54" s="9"/>
      <c r="G54" s="9"/>
      <c r="H54" s="10"/>
      <c r="I54" s="40" t="str">
        <f aca="false">IFERROR(__xludf.dummyfunction("""COMPUTED_VALUE"""),"Ручка PALIDORE A-527 SSC хром матовый")</f>
        <v>Ручка PALIDORE A-527 SSC хром матовый</v>
      </c>
      <c r="J54" s="37" t="n">
        <f aca="false">IFERROR(__xludf.dummyfunction("""COMPUTED_VALUE"""),390)</f>
        <v>390</v>
      </c>
      <c r="K54" s="10"/>
      <c r="L54" s="27" t="str">
        <f aca="false">IFERROR(__xludf.dummyfunction("""COMPUTED_VALUE"""),"МДФ-панель [Внутренняя] - Ф-11 - Нестандарт")</f>
        <v>МДФ-панель [Внутренняя] - Ф-11 - Нестандарт</v>
      </c>
      <c r="M54" s="26"/>
      <c r="N54" s="12"/>
      <c r="O54" s="12"/>
      <c r="P54" s="12"/>
      <c r="Q54" s="12"/>
      <c r="R54" s="12"/>
      <c r="S54" s="12"/>
      <c r="T54" s="12"/>
      <c r="U54" s="12"/>
    </row>
    <row r="55" customFormat="false" ht="17.35" hidden="false" customHeight="false" outlineLevel="0" collapsed="false">
      <c r="A55" s="13" t="str">
        <f aca="false">IFERROR(__xludf.dummyfunction("""COMPUTED_VALUE"""),"Номенклатурная позиция")</f>
        <v>Номенклатурная позиция</v>
      </c>
      <c r="B55" s="14" t="str">
        <f aca="false">IFERROR(__xludf.dummyfunction("""COMPUTED_VALUE"""),"р\шт")</f>
        <v>р\шт</v>
      </c>
      <c r="C55" s="14" t="str">
        <f aca="false">IFERROR(__xludf.dummyfunction("""COMPUTED_VALUE"""),"р\п.м")</f>
        <v>р\п.м</v>
      </c>
      <c r="D55" s="14" t="str">
        <f aca="false">IFERROR(__xludf.dummyfunction("""COMPUTED_VALUE"""),"р\л")</f>
        <v>р\л</v>
      </c>
      <c r="E55" s="15" t="str">
        <f aca="false">IFERROR(__xludf.dummyfunction("""COMPUTED_VALUE"""),"р\кв.м")</f>
        <v>р\кв.м</v>
      </c>
      <c r="F55" s="14" t="str">
        <f aca="false">IFERROR(__xludf.dummyfunction("""COMPUTED_VALUE"""),"р\куб.м")</f>
        <v>р\куб.м</v>
      </c>
      <c r="G55" s="16" t="str">
        <f aca="false">IFERROR(__xludf.dummyfunction("""COMPUTED_VALUE"""),"р\кг")</f>
        <v>р\кг</v>
      </c>
      <c r="H55" s="10"/>
      <c r="I55" s="40" t="str">
        <f aca="false">IFERROR(__xludf.dummyfunction("""COMPUTED_VALUE"""),"Ручка 93 Бронза, компл.")</f>
        <v>Ручка 93 Бронза, компл.</v>
      </c>
      <c r="J55" s="37" t="n">
        <f aca="false">IFERROR(__xludf.dummyfunction("""COMPUTED_VALUE"""),277.1)</f>
        <v>277.1</v>
      </c>
      <c r="K55" s="10"/>
      <c r="L55" s="27" t="str">
        <f aca="false">IFERROR(__xludf.dummyfunction("""COMPUTED_VALUE"""),"МДФ-панель [Внутренняя] - Ф-20 - Стандарт")</f>
        <v>МДФ-панель [Внутренняя] - Ф-20 - Стандарт</v>
      </c>
      <c r="M55" s="26"/>
      <c r="N55" s="12"/>
      <c r="O55" s="12"/>
      <c r="P55" s="12"/>
      <c r="Q55" s="12"/>
      <c r="R55" s="12"/>
      <c r="S55" s="12"/>
      <c r="T55" s="12"/>
      <c r="U55" s="12"/>
    </row>
    <row r="56" customFormat="false" ht="17.35" hidden="false" customHeight="false" outlineLevel="0" collapsed="false">
      <c r="A56" s="29" t="str">
        <f aca="false">IFERROR(__xludf.dummyfunction("""COMPUTED_VALUE"""),"гайка М8")</f>
        <v>гайка М8</v>
      </c>
      <c r="B56" s="26" t="n">
        <f aca="false">IFERROR(__xludf.dummyfunction("""COMPUTED_VALUE"""),0.61)</f>
        <v>0.61</v>
      </c>
      <c r="C56" s="26"/>
      <c r="D56" s="26"/>
      <c r="E56" s="28"/>
      <c r="F56" s="26"/>
      <c r="G56" s="26"/>
      <c r="H56" s="10"/>
      <c r="I56" s="40" t="str">
        <f aca="false">IFERROR(__xludf.dummyfunction("""COMPUTED_VALUE"""),"Ручка 93 черн, компл.")</f>
        <v>Ручка 93 черн, компл.</v>
      </c>
      <c r="J56" s="37" t="n">
        <f aca="false">IFERROR(__xludf.dummyfunction("""COMPUTED_VALUE"""),240)</f>
        <v>240</v>
      </c>
      <c r="K56" s="10"/>
      <c r="L56" s="27" t="str">
        <f aca="false">IFERROR(__xludf.dummyfunction("""COMPUTED_VALUE"""),"МДФ-панель [Внутренняя] - Ф-20 - Нестандарт")</f>
        <v>МДФ-панель [Внутренняя] - Ф-20 - Нестандарт</v>
      </c>
      <c r="M56" s="26"/>
      <c r="N56" s="12"/>
      <c r="O56" s="12"/>
      <c r="P56" s="12"/>
      <c r="Q56" s="12"/>
      <c r="R56" s="12"/>
      <c r="S56" s="12"/>
      <c r="T56" s="12"/>
      <c r="U56" s="12"/>
    </row>
    <row r="57" customFormat="false" ht="17.35" hidden="false" customHeight="false" outlineLevel="0" collapsed="false">
      <c r="A57" s="29" t="str">
        <f aca="false">IFERROR(__xludf.dummyfunction("""COMPUTED_VALUE"""),"пленка для упаковки")</f>
        <v>пленка для упаковки</v>
      </c>
      <c r="B57" s="26"/>
      <c r="C57" s="26"/>
      <c r="D57" s="26"/>
      <c r="E57" s="28"/>
      <c r="F57" s="26"/>
      <c r="G57" s="26" t="n">
        <f aca="false">IFERROR(__xludf.dummyfunction("""COMPUTED_VALUE"""),169)</f>
        <v>169</v>
      </c>
      <c r="H57" s="10"/>
      <c r="I57" s="41" t="str">
        <f aca="false">IFERROR(__xludf.dummyfunction("""COMPUTED_VALUE"""),"Ручка 93 хром, компл.")</f>
        <v>Ручка 93 хром, компл.</v>
      </c>
      <c r="J57" s="37" t="n">
        <f aca="false">IFERROR(__xludf.dummyfunction("""COMPUTED_VALUE"""),218.7)</f>
        <v>218.7</v>
      </c>
      <c r="K57" s="10"/>
      <c r="L57" s="27" t="str">
        <f aca="false">IFERROR(__xludf.dummyfunction("""COMPUTED_VALUE"""),"МДФ-панель [Внутренняя] - Ф-31 - Стандарт")</f>
        <v>МДФ-панель [Внутренняя] - Ф-31 - Стандарт</v>
      </c>
      <c r="M57" s="26"/>
      <c r="N57" s="12"/>
      <c r="O57" s="12"/>
      <c r="P57" s="12"/>
      <c r="Q57" s="12"/>
      <c r="R57" s="12"/>
      <c r="S57" s="12"/>
      <c r="T57" s="12"/>
      <c r="U57" s="12"/>
    </row>
    <row r="58" customFormat="false" ht="17.35" hidden="false" customHeight="false" outlineLevel="0" collapsed="false">
      <c r="A58" s="38" t="str">
        <f aca="false">IFERROR(__xludf.dummyfunction("""COMPUTED_VALUE"""),"Накладные расходы Комфорт\Абсолют\Термо Оптима")</f>
        <v>Накладные расходы Комфорт\Абсолют\Термо Оптима</v>
      </c>
      <c r="B58" s="26"/>
      <c r="C58" s="26"/>
      <c r="D58" s="26"/>
      <c r="E58" s="28"/>
      <c r="F58" s="26" t="n">
        <f aca="false">IFERROR(__xludf.dummyfunction("""COMPUTED_VALUE"""),3000)</f>
        <v>3000</v>
      </c>
      <c r="G58" s="26"/>
      <c r="H58" s="10"/>
      <c r="I58" s="11" t="str">
        <f aca="false">IFERROR(__xludf.dummyfunction("""COMPUTED_VALUE"""),"Накладки")</f>
        <v>Накладки</v>
      </c>
      <c r="J58" s="11"/>
      <c r="K58" s="10"/>
      <c r="L58" s="27" t="str">
        <f aca="false">IFERROR(__xludf.dummyfunction("""COMPUTED_VALUE"""),"МДФ-панель [Внутренняя] - Ф-31 - Нестандарт")</f>
        <v>МДФ-панель [Внутренняя] - Ф-31 - Нестандарт</v>
      </c>
      <c r="M58" s="26"/>
      <c r="N58" s="12"/>
      <c r="O58" s="12"/>
      <c r="P58" s="12"/>
      <c r="Q58" s="12"/>
      <c r="R58" s="12"/>
      <c r="S58" s="12"/>
      <c r="T58" s="12"/>
      <c r="U58" s="12"/>
    </row>
    <row r="59" customFormat="false" ht="17.35" hidden="false" customHeight="false" outlineLevel="0" collapsed="false">
      <c r="A59" s="38" t="str">
        <f aca="false">IFERROR(__xludf.dummyfunction("""COMPUTED_VALUE"""),"Накладные расходы Термо HPL, Credo")</f>
        <v>Накладные расходы Термо HPL, Credo</v>
      </c>
      <c r="B59" s="26"/>
      <c r="C59" s="26"/>
      <c r="D59" s="26"/>
      <c r="E59" s="28"/>
      <c r="F59" s="26" t="n">
        <f aca="false">IFERROR(__xludf.dummyfunction("""COMPUTED_VALUE"""),3500)</f>
        <v>3500</v>
      </c>
      <c r="G59" s="26"/>
      <c r="H59" s="10"/>
      <c r="I59" s="40" t="str">
        <f aca="false">IFERROR(__xludf.dummyfunction("""COMPUTED_VALUE"""),"Броненакладка + (21 серия), матовое золото")</f>
        <v>Броненакладка + (21 серия), матовое золото</v>
      </c>
      <c r="J59" s="37" t="n">
        <f aca="false">IFERROR(__xludf.dummyfunction("""COMPUTED_VALUE"""),369)</f>
        <v>369</v>
      </c>
      <c r="K59" s="10"/>
      <c r="L59" s="27" t="str">
        <f aca="false">IFERROR(__xludf.dummyfunction("""COMPUTED_VALUE"""),"МДФ-панель [Внутренняя] - Ф-36 - Стандарт")</f>
        <v>МДФ-панель [Внутренняя] - Ф-36 - Стандарт</v>
      </c>
      <c r="M59" s="26"/>
      <c r="N59" s="12"/>
      <c r="O59" s="12"/>
      <c r="P59" s="12"/>
      <c r="Q59" s="12"/>
      <c r="R59" s="12"/>
      <c r="S59" s="12"/>
      <c r="T59" s="12"/>
      <c r="U59" s="12"/>
    </row>
    <row r="60" customFormat="false" ht="17.35" hidden="false" customHeight="false" outlineLevel="0" collapsed="false">
      <c r="A60" s="38" t="str">
        <f aca="false">IFERROR(__xludf.dummyfunction("""COMPUTED_VALUE"""),"Электричество")</f>
        <v>Электричество</v>
      </c>
      <c r="B60" s="26" t="n">
        <f aca="false">IFERROR(__xludf.dummyfunction("""COMPUTED_VALUE"""),200)</f>
        <v>200</v>
      </c>
      <c r="C60" s="26"/>
      <c r="D60" s="26"/>
      <c r="E60" s="28"/>
      <c r="F60" s="26"/>
      <c r="G60" s="26"/>
      <c r="H60" s="10"/>
      <c r="I60" s="40" t="str">
        <f aca="false">IFERROR(__xludf.dummyfunction("""COMPUTED_VALUE"""),"накладка под шток (21 серия), матовое золото")</f>
        <v>накладка под шток (21 серия), матовое золото</v>
      </c>
      <c r="J60" s="37" t="n">
        <f aca="false">IFERROR(__xludf.dummyfunction("""COMPUTED_VALUE"""),84)</f>
        <v>84</v>
      </c>
      <c r="K60" s="10"/>
      <c r="L60" s="27" t="str">
        <f aca="false">IFERROR(__xludf.dummyfunction("""COMPUTED_VALUE"""),"МДФ-панель [Внутренняя] - Ф-36 - Нестандарт")</f>
        <v>МДФ-панель [Внутренняя] - Ф-36 - Нестандарт</v>
      </c>
      <c r="M60" s="26"/>
      <c r="N60" s="12"/>
      <c r="O60" s="12"/>
      <c r="P60" s="12"/>
      <c r="Q60" s="12"/>
      <c r="R60" s="12"/>
      <c r="S60" s="12"/>
      <c r="T60" s="12"/>
      <c r="U60" s="12"/>
    </row>
    <row r="61" customFormat="false" ht="17.35" hidden="false" customHeight="false" outlineLevel="0" collapsed="false">
      <c r="A61" s="9" t="str">
        <f aca="false">IFERROR(__xludf.dummyfunction("""COMPUTED_VALUE"""),"Для расчётов МДФ-панелей")</f>
        <v>Для расчётов МДФ-панелей</v>
      </c>
      <c r="B61" s="9"/>
      <c r="C61" s="9"/>
      <c r="D61" s="9"/>
      <c r="E61" s="9"/>
      <c r="F61" s="9"/>
      <c r="G61" s="9"/>
      <c r="H61" s="10"/>
      <c r="I61" s="40" t="str">
        <f aca="false">IFERROR(__xludf.dummyfunction("""COMPUTED_VALUE"""),"Броненакладка врезная PALIDORE 050-080-C SSC черная")</f>
        <v>Броненакладка врезная PALIDORE 050-080-C SSC черная</v>
      </c>
      <c r="J61" s="37" t="n">
        <f aca="false">IFERROR(__xludf.dummyfunction("""COMPUTED_VALUE"""),360)</f>
        <v>360</v>
      </c>
      <c r="K61" s="10"/>
      <c r="L61" s="27" t="str">
        <f aca="false">IFERROR(__xludf.dummyfunction("""COMPUTED_VALUE"""),"МДФ-панель [Внутренняя] - Ф-37 - Стандарт")</f>
        <v>МДФ-панель [Внутренняя] - Ф-37 - Стандарт</v>
      </c>
      <c r="M61" s="26"/>
      <c r="N61" s="12"/>
      <c r="O61" s="12"/>
      <c r="P61" s="12"/>
      <c r="Q61" s="12"/>
      <c r="R61" s="12"/>
      <c r="S61" s="12"/>
      <c r="T61" s="12"/>
      <c r="U61" s="12"/>
    </row>
    <row r="62" customFormat="false" ht="17.35" hidden="false" customHeight="false" outlineLevel="0" collapsed="false">
      <c r="A62" s="20" t="str">
        <f aca="false">IFERROR(__xludf.dummyfunction("""COMPUTED_VALUE"""),"Номенклатурная позиция")</f>
        <v>Номенклатурная позиция</v>
      </c>
      <c r="B62" s="20" t="str">
        <f aca="false">IFERROR(__xludf.dummyfunction("""COMPUTED_VALUE"""),"р\шт")</f>
        <v>р\шт</v>
      </c>
      <c r="C62" s="20" t="str">
        <f aca="false">IFERROR(__xludf.dummyfunction("""COMPUTED_VALUE"""),"р\п.м")</f>
        <v>р\п.м</v>
      </c>
      <c r="D62" s="20" t="str">
        <f aca="false">IFERROR(__xludf.dummyfunction("""COMPUTED_VALUE"""),"р\л")</f>
        <v>р\л</v>
      </c>
      <c r="E62" s="42" t="str">
        <f aca="false">IFERROR(__xludf.dummyfunction("""COMPUTED_VALUE"""),"р\кв.м")</f>
        <v>р\кв.м</v>
      </c>
      <c r="F62" s="20" t="str">
        <f aca="false">IFERROR(__xludf.dummyfunction("""COMPUTED_VALUE"""),"р\куб.м")</f>
        <v>р\куб.м</v>
      </c>
      <c r="G62" s="20" t="str">
        <f aca="false">IFERROR(__xludf.dummyfunction("""COMPUTED_VALUE"""),"р\кг")</f>
        <v>р\кг</v>
      </c>
      <c r="H62" s="10"/>
      <c r="I62" s="40" t="str">
        <f aca="false">IFERROR(__xludf.dummyfunction("""COMPUTED_VALUE"""),"Накладка PALIDORE шток черная 050-03 SSC")</f>
        <v>Накладка PALIDORE шток черная 050-03 SSC</v>
      </c>
      <c r="J62" s="37" t="n">
        <f aca="false">IFERROR(__xludf.dummyfunction("""COMPUTED_VALUE"""),70)</f>
        <v>70</v>
      </c>
      <c r="K62" s="10"/>
      <c r="L62" s="27" t="str">
        <f aca="false">IFERROR(__xludf.dummyfunction("""COMPUTED_VALUE"""),"МДФ-панель [Внутренняя] - Ф-37 - Нестандарт")</f>
        <v>МДФ-панель [Внутренняя] - Ф-37 - Нестандарт</v>
      </c>
      <c r="M62" s="26"/>
      <c r="N62" s="12"/>
      <c r="O62" s="12"/>
      <c r="P62" s="12"/>
      <c r="Q62" s="12"/>
      <c r="R62" s="12"/>
      <c r="S62" s="12"/>
      <c r="T62" s="12"/>
      <c r="U62" s="12"/>
    </row>
    <row r="63" customFormat="false" ht="17.35" hidden="false" customHeight="false" outlineLevel="0" collapsed="false">
      <c r="A63" s="38" t="str">
        <f aca="false">IFERROR(__xludf.dummyfunction("""COMPUTED_VALUE"""),"МДФ t=6 мм, м2")</f>
        <v>МДФ t=6 мм, м2</v>
      </c>
      <c r="B63" s="43"/>
      <c r="C63" s="43"/>
      <c r="D63" s="43"/>
      <c r="E63" s="44" t="n">
        <f aca="false">IFERROR(__xludf.dummyfunction("""COMPUTED_VALUE"""),154.589371980676)</f>
        <v>154.589372</v>
      </c>
      <c r="F63" s="43"/>
      <c r="G63" s="43"/>
      <c r="H63" s="10"/>
      <c r="I63" s="40" t="str">
        <f aca="false">IFERROR(__xludf.dummyfunction("""COMPUTED_VALUE"""),"Броненакладка врезная PALIDORE 050-080-C SSC матовый хром")</f>
        <v>Броненакладка врезная PALIDORE 050-080-C SSC матовый хром</v>
      </c>
      <c r="J63" s="37" t="n">
        <f aca="false">IFERROR(__xludf.dummyfunction("""COMPUTED_VALUE"""),360)</f>
        <v>360</v>
      </c>
      <c r="K63" s="10"/>
      <c r="L63" s="27" t="str">
        <f aca="false">IFERROR(__xludf.dummyfunction("""COMPUTED_VALUE"""),"МДФ-панель [Внутренняя] - Ф-48 - Стандарт")</f>
        <v>МДФ-панель [Внутренняя] - Ф-48 - Стандарт</v>
      </c>
      <c r="M63" s="26"/>
      <c r="N63" s="12"/>
      <c r="O63" s="12"/>
      <c r="P63" s="12"/>
      <c r="Q63" s="12"/>
      <c r="R63" s="12"/>
      <c r="S63" s="12"/>
      <c r="T63" s="12"/>
      <c r="U63" s="12"/>
    </row>
    <row r="64" customFormat="false" ht="17.35" hidden="false" customHeight="false" outlineLevel="0" collapsed="false">
      <c r="A64" s="38" t="str">
        <f aca="false">IFERROR(__xludf.dummyfunction("""COMPUTED_VALUE"""),"МДФ t=10 мм, м2")</f>
        <v>МДФ t=10 мм, м2</v>
      </c>
      <c r="B64" s="43"/>
      <c r="C64" s="43"/>
      <c r="D64" s="43"/>
      <c r="E64" s="44" t="n">
        <f aca="false">IFERROR(__xludf.dummyfunction("""COMPUTED_VALUE"""),250.690131124913)</f>
        <v>250.6901311</v>
      </c>
      <c r="F64" s="43"/>
      <c r="G64" s="43"/>
      <c r="H64" s="10"/>
      <c r="I64" s="40" t="str">
        <f aca="false">IFERROR(__xludf.dummyfunction("""COMPUTED_VALUE"""),"Накладка PALIDORE шток матовый хром 050-03 SSC")</f>
        <v>Накладка PALIDORE шток матовый хром 050-03 SSC</v>
      </c>
      <c r="J64" s="37" t="n">
        <f aca="false">IFERROR(__xludf.dummyfunction("""COMPUTED_VALUE"""),70)</f>
        <v>70</v>
      </c>
      <c r="K64" s="10"/>
      <c r="L64" s="27" t="str">
        <f aca="false">IFERROR(__xludf.dummyfunction("""COMPUTED_VALUE"""),"МДФ-панель [Внутренняя] - Ф-48 - Нестандарт")</f>
        <v>МДФ-панель [Внутренняя] - Ф-48 - Нестандарт</v>
      </c>
      <c r="M64" s="26"/>
      <c r="N64" s="12"/>
      <c r="O64" s="12"/>
      <c r="P64" s="12"/>
      <c r="Q64" s="12"/>
      <c r="R64" s="12"/>
      <c r="S64" s="12"/>
      <c r="T64" s="12"/>
      <c r="U64" s="12"/>
    </row>
    <row r="65" customFormat="false" ht="17.35" hidden="false" customHeight="false" outlineLevel="0" collapsed="false">
      <c r="A65" s="38" t="str">
        <f aca="false">IFERROR(__xludf.dummyfunction("""COMPUTED_VALUE"""),"Клей")</f>
        <v>Клей</v>
      </c>
      <c r="B65" s="43"/>
      <c r="C65" s="43"/>
      <c r="D65" s="43"/>
      <c r="E65" s="44"/>
      <c r="F65" s="43"/>
      <c r="G65" s="43" t="n">
        <f aca="false">IFERROR(__xludf.dummyfunction("""COMPUTED_VALUE"""),1000)</f>
        <v>1000</v>
      </c>
      <c r="H65" s="10"/>
      <c r="I65" s="40" t="str">
        <f aca="false">IFERROR(__xludf.dummyfunction("""COMPUTED_VALUE"""),"Броненакладка врезная (Protector Pro 50/27) бронза")</f>
        <v>Броненакладка врезная (Protector Pro 50/27) бронза</v>
      </c>
      <c r="J65" s="37" t="n">
        <f aca="false">IFERROR(__xludf.dummyfunction("""COMPUTED_VALUE"""),395)</f>
        <v>395</v>
      </c>
      <c r="K65" s="10"/>
      <c r="L65" s="27" t="str">
        <f aca="false">IFERROR(__xludf.dummyfunction("""COMPUTED_VALUE"""),"МДФ-панель [Внутренняя] - Ф-64 - Стандарт")</f>
        <v>МДФ-панель [Внутренняя] - Ф-64 - Стандарт</v>
      </c>
      <c r="M65" s="26"/>
      <c r="N65" s="12"/>
      <c r="O65" s="12"/>
      <c r="P65" s="12"/>
      <c r="Q65" s="12"/>
      <c r="R65" s="12"/>
      <c r="S65" s="12"/>
      <c r="T65" s="12"/>
      <c r="U65" s="12"/>
    </row>
    <row r="66" customFormat="false" ht="17.35" hidden="false" customHeight="false" outlineLevel="0" collapsed="false">
      <c r="A66" s="38" t="str">
        <f aca="false">IFERROR(__xludf.dummyfunction("""COMPUTED_VALUE"""),"Наждачная бумага, м2")</f>
        <v>Наждачная бумага, м2</v>
      </c>
      <c r="B66" s="43"/>
      <c r="C66" s="43"/>
      <c r="D66" s="43"/>
      <c r="E66" s="44" t="n">
        <f aca="false">IFERROR(__xludf.dummyfunction("""COMPUTED_VALUE"""),214)</f>
        <v>214</v>
      </c>
      <c r="F66" s="43"/>
      <c r="G66" s="43"/>
      <c r="H66" s="10"/>
      <c r="I66" s="40" t="str">
        <f aca="false">IFERROR(__xludf.dummyfunction("""COMPUTED_VALUE"""),"Накладка под шток  (DP-K-11-AB) бронза")</f>
        <v>Накладка под шток  (DP-K-11-AB) бронза</v>
      </c>
      <c r="J66" s="37" t="n">
        <f aca="false">IFERROR(__xludf.dummyfunction("""COMPUTED_VALUE"""),81)</f>
        <v>81</v>
      </c>
      <c r="K66" s="10"/>
      <c r="L66" s="27" t="str">
        <f aca="false">IFERROR(__xludf.dummyfunction("""COMPUTED_VALUE"""),"МДФ-панель [Внутренняя] - Ф-64 - Нестандарт")</f>
        <v>МДФ-панель [Внутренняя] - Ф-64 - Нестандарт</v>
      </c>
      <c r="M66" s="26"/>
      <c r="N66" s="12"/>
      <c r="O66" s="12"/>
      <c r="P66" s="12"/>
      <c r="Q66" s="12"/>
      <c r="R66" s="12"/>
      <c r="S66" s="12"/>
      <c r="T66" s="12"/>
      <c r="U66" s="12"/>
    </row>
    <row r="67" customFormat="false" ht="17.35" hidden="false" customHeight="false" outlineLevel="0" collapsed="false">
      <c r="A67" s="38" t="str">
        <f aca="false">IFERROR(__xludf.dummyfunction("""COMPUTED_VALUE"""),"Губка шлифовальная")</f>
        <v>Губка шлифовальная</v>
      </c>
      <c r="B67" s="43"/>
      <c r="C67" s="43"/>
      <c r="D67" s="43"/>
      <c r="E67" s="44" t="n">
        <f aca="false">IFERROR(__xludf.dummyfunction("""COMPUTED_VALUE"""),60)</f>
        <v>60</v>
      </c>
      <c r="F67" s="43"/>
      <c r="G67" s="43"/>
      <c r="H67" s="10"/>
      <c r="I67" s="40" t="str">
        <f aca="false">IFERROR(__xludf.dummyfunction("""COMPUTED_VALUE"""),"Броненакладка овальная врезная, черн")</f>
        <v>Броненакладка овальная врезная, черн</v>
      </c>
      <c r="J67" s="37" t="n">
        <f aca="false">IFERROR(__xludf.dummyfunction("""COMPUTED_VALUE"""),220)</f>
        <v>220</v>
      </c>
      <c r="K67" s="10"/>
      <c r="L67" s="27" t="str">
        <f aca="false">IFERROR(__xludf.dummyfunction("""COMPUTED_VALUE"""),"МДФ-панель [Внутренняя] - Ф-71 - Стандарт")</f>
        <v>МДФ-панель [Внутренняя] - Ф-71 - Стандарт</v>
      </c>
      <c r="M67" s="26"/>
      <c r="N67" s="12"/>
      <c r="O67" s="12"/>
      <c r="P67" s="12"/>
      <c r="Q67" s="12"/>
      <c r="R67" s="12"/>
      <c r="S67" s="12"/>
      <c r="T67" s="12"/>
      <c r="U67" s="12"/>
    </row>
    <row r="68" customFormat="false" ht="17.35" hidden="false" customHeight="false" outlineLevel="0" collapsed="false">
      <c r="A68" s="38" t="str">
        <f aca="false">IFERROR(__xludf.dummyfunction("""COMPUTED_VALUE"""),"Колер")</f>
        <v>Колер</v>
      </c>
      <c r="B68" s="43"/>
      <c r="C68" s="43"/>
      <c r="D68" s="43" t="n">
        <f aca="false">IFERROR(__xludf.dummyfunction("""COMPUTED_VALUE"""),55)</f>
        <v>55</v>
      </c>
      <c r="E68" s="44"/>
      <c r="F68" s="43"/>
      <c r="G68" s="43"/>
      <c r="H68" s="10"/>
      <c r="I68" s="40" t="str">
        <f aca="false">IFERROR(__xludf.dummyfunction("""COMPUTED_VALUE"""),"Накладка под шток овальная, черн")</f>
        <v>Накладка под шток овальная, черн</v>
      </c>
      <c r="J68" s="37" t="n">
        <f aca="false">IFERROR(__xludf.dummyfunction("""COMPUTED_VALUE"""),50)</f>
        <v>50</v>
      </c>
      <c r="K68" s="10"/>
      <c r="L68" s="27" t="str">
        <f aca="false">IFERROR(__xludf.dummyfunction("""COMPUTED_VALUE"""),"МДФ-панель [Внутренняя] - Ф-71 - Нестандарт")</f>
        <v>МДФ-панель [Внутренняя] - Ф-71 - Нестандарт</v>
      </c>
      <c r="M68" s="26"/>
      <c r="N68" s="12"/>
      <c r="O68" s="12"/>
      <c r="P68" s="12"/>
      <c r="Q68" s="12"/>
      <c r="R68" s="12"/>
      <c r="S68" s="12"/>
      <c r="T68" s="12"/>
      <c r="U68" s="12"/>
    </row>
    <row r="69" customFormat="false" ht="17.35" hidden="false" customHeight="false" outlineLevel="0" collapsed="false">
      <c r="A69" s="38" t="str">
        <f aca="false">IFERROR(__xludf.dummyfunction("""COMPUTED_VALUE"""),"Упаковка")</f>
        <v>Упаковка</v>
      </c>
      <c r="B69" s="43" t="n">
        <f aca="false">IFERROR(__xludf.dummyfunction("""COMPUTED_VALUE"""),30)</f>
        <v>30</v>
      </c>
      <c r="C69" s="43"/>
      <c r="D69" s="43"/>
      <c r="E69" s="44"/>
      <c r="F69" s="43"/>
      <c r="G69" s="43"/>
      <c r="H69" s="10"/>
      <c r="I69" s="40" t="str">
        <f aca="false">IFERROR(__xludf.dummyfunction("""COMPUTED_VALUE"""),"Броненакладка врезная хром")</f>
        <v>Броненакладка врезная хром</v>
      </c>
      <c r="J69" s="37" t="n">
        <f aca="false">IFERROR(__xludf.dummyfunction("""COMPUTED_VALUE"""),260)</f>
        <v>260</v>
      </c>
      <c r="K69" s="10"/>
      <c r="L69" s="27" t="str">
        <f aca="false">IFERROR(__xludf.dummyfunction("""COMPUTED_VALUE"""),"МДФ-панель [Внутренняя] - Ф-75 - Стандарт")</f>
        <v>МДФ-панель [Внутренняя] - Ф-75 - Стандарт</v>
      </c>
      <c r="M69" s="26"/>
      <c r="N69" s="12"/>
      <c r="O69" s="12"/>
      <c r="P69" s="12"/>
      <c r="Q69" s="12"/>
      <c r="R69" s="12"/>
      <c r="S69" s="12"/>
      <c r="T69" s="12"/>
      <c r="U69" s="12"/>
    </row>
    <row r="70" customFormat="false" ht="17.35" hidden="false" customHeight="false" outlineLevel="0" collapsed="false">
      <c r="A70" s="38" t="str">
        <f aca="false">IFERROR(__xludf.dummyfunction("""COMPUTED_VALUE"""),"накладные расходы")</f>
        <v>накладные расходы</v>
      </c>
      <c r="B70" s="43" t="n">
        <f aca="false">IFERROR(__xludf.dummyfunction("""COMPUTED_VALUE"""),734)</f>
        <v>734</v>
      </c>
      <c r="C70" s="43"/>
      <c r="D70" s="43"/>
      <c r="E70" s="44"/>
      <c r="F70" s="43"/>
      <c r="G70" s="43"/>
      <c r="H70" s="10"/>
      <c r="I70" s="40" t="str">
        <f aca="false">IFERROR(__xludf.dummyfunction("""COMPUTED_VALUE"""),"Накладка цилиндровая/овальная/дешёвая хром")</f>
        <v>Накладка цилиндровая/овальная/дешёвая хром</v>
      </c>
      <c r="J70" s="37" t="n">
        <f aca="false">IFERROR(__xludf.dummyfunction("""COMPUTED_VALUE"""),19)</f>
        <v>19</v>
      </c>
      <c r="K70" s="10"/>
      <c r="L70" s="27" t="str">
        <f aca="false">IFERROR(__xludf.dummyfunction("""COMPUTED_VALUE"""),"МДФ-панель [Внутренняя] - Ф-75 - Нестандарт")</f>
        <v>МДФ-панель [Внутренняя] - Ф-75 - Нестандарт</v>
      </c>
      <c r="M70" s="26"/>
      <c r="N70" s="12"/>
      <c r="O70" s="12"/>
      <c r="P70" s="12"/>
      <c r="Q70" s="12"/>
      <c r="R70" s="12"/>
      <c r="S70" s="12"/>
      <c r="T70" s="12"/>
      <c r="U70" s="12"/>
    </row>
    <row r="71" customFormat="false" ht="17.35" hidden="false" customHeight="false" outlineLevel="0" collapsed="false">
      <c r="A71" s="38" t="str">
        <f aca="false">IFERROR(__xludf.dummyfunction("""COMPUTED_VALUE"""),"Зарплата [Наружка, без вставок]")</f>
        <v>Зарплата [Наружка, без вставок]</v>
      </c>
      <c r="B71" s="43" t="n">
        <f aca="false">IFERROR(__xludf.dummyfunction("""COMPUTED_VALUE"""),65)</f>
        <v>65</v>
      </c>
      <c r="C71" s="43"/>
      <c r="D71" s="43"/>
      <c r="E71" s="44"/>
      <c r="F71" s="43"/>
      <c r="G71" s="43"/>
      <c r="H71" s="10"/>
      <c r="I71" s="40" t="str">
        <f aca="false">IFERROR(__xludf.dummyfunction("""COMPUTED_VALUE"""),"Накладка сувальдная (21 серия), матовое золото, комплект")</f>
        <v>Накладка сувальдная (21 серия), матовое золото, комплект</v>
      </c>
      <c r="J71" s="37" t="n">
        <f aca="false">IFERROR(__xludf.dummyfunction("""COMPUTED_VALUE"""),280.54)</f>
        <v>280.54</v>
      </c>
      <c r="K71" s="10"/>
      <c r="L71" s="27" t="str">
        <f aca="false">IFERROR(__xludf.dummyfunction("""COMPUTED_VALUE"""),"МДФ-панель [Внутренняя] - Ф-88 - Стандарт")</f>
        <v>МДФ-панель [Внутренняя] - Ф-88 - Стандарт</v>
      </c>
      <c r="M71" s="26"/>
      <c r="N71" s="12"/>
      <c r="O71" s="12"/>
      <c r="P71" s="12"/>
      <c r="Q71" s="12"/>
      <c r="R71" s="12"/>
      <c r="S71" s="12"/>
      <c r="T71" s="12"/>
      <c r="U71" s="12"/>
    </row>
    <row r="72" customFormat="false" ht="17.35" hidden="false" customHeight="false" outlineLevel="0" collapsed="false">
      <c r="A72" s="38" t="str">
        <f aca="false">IFERROR(__xludf.dummyfunction("""COMPUTED_VALUE"""),"Заложенная сложность МДФ-панель [Простая]")</f>
        <v>Заложенная сложность МДФ-панель [Простая]</v>
      </c>
      <c r="B72" s="43" t="n">
        <f aca="false">IFERROR(__xludf.dummyfunction("""COMPUTED_VALUE"""),600)</f>
        <v>600</v>
      </c>
      <c r="C72" s="43"/>
      <c r="D72" s="43"/>
      <c r="E72" s="44"/>
      <c r="F72" s="43"/>
      <c r="G72" s="43"/>
      <c r="H72" s="10"/>
      <c r="I72" s="40" t="str">
        <f aca="false">IFERROR(__xludf.dummyfunction("""COMPUTED_VALUE"""),"Накладка PALIDORE сувальдная черная 050-02 SSC")</f>
        <v>Накладка PALIDORE сувальдная черная 050-02 SSC</v>
      </c>
      <c r="J72" s="37" t="n">
        <f aca="false">IFERROR(__xludf.dummyfunction("""COMPUTED_VALUE"""),160)</f>
        <v>160</v>
      </c>
      <c r="K72" s="10"/>
      <c r="L72" s="27" t="str">
        <f aca="false">IFERROR(__xludf.dummyfunction("""COMPUTED_VALUE"""),"МДФ-панель [Внутренняя] - Ф-88 - Нестандарт")</f>
        <v>МДФ-панель [Внутренняя] - Ф-88 - Нестандарт</v>
      </c>
      <c r="M72" s="26"/>
      <c r="N72" s="12"/>
      <c r="O72" s="12"/>
      <c r="P72" s="12"/>
      <c r="Q72" s="12"/>
      <c r="R72" s="12"/>
      <c r="S72" s="12"/>
      <c r="T72" s="12"/>
      <c r="U72" s="12"/>
    </row>
    <row r="73" customFormat="false" ht="17.35" hidden="false" customHeight="false" outlineLevel="0" collapsed="false">
      <c r="A73" s="38" t="str">
        <f aca="false">IFERROR(__xludf.dummyfunction("""COMPUTED_VALUE"""),"Заложенная сложность МДФ-панель [Средняя]")</f>
        <v>Заложенная сложность МДФ-панель [Средняя]</v>
      </c>
      <c r="B73" s="43" t="n">
        <f aca="false">IFERROR(__xludf.dummyfunction("""COMPUTED_VALUE"""),800)</f>
        <v>800</v>
      </c>
      <c r="C73" s="43"/>
      <c r="D73" s="43"/>
      <c r="E73" s="44"/>
      <c r="F73" s="43"/>
      <c r="G73" s="43"/>
      <c r="H73" s="10"/>
      <c r="I73" s="40" t="str">
        <f aca="false">IFERROR(__xludf.dummyfunction("""COMPUTED_VALUE"""),"Накладка PALIDORE сувальдная матовый хром 050-02 SSC")</f>
        <v>Накладка PALIDORE сувальдная матовый хром 050-02 SSC</v>
      </c>
      <c r="J73" s="37" t="n">
        <f aca="false">IFERROR(__xludf.dummyfunction("""COMPUTED_VALUE"""),160)</f>
        <v>160</v>
      </c>
      <c r="K73" s="10"/>
      <c r="L73" s="27" t="str">
        <f aca="false">IFERROR(__xludf.dummyfunction("""COMPUTED_VALUE"""),"МДФ-панель [Внутренняя] - Ф-95 - Стандарт")</f>
        <v>МДФ-панель [Внутренняя] - Ф-95 - Стандарт</v>
      </c>
      <c r="M73" s="26"/>
      <c r="N73" s="12"/>
      <c r="O73" s="12"/>
      <c r="P73" s="12"/>
      <c r="Q73" s="12"/>
      <c r="R73" s="12"/>
      <c r="S73" s="12"/>
      <c r="T73" s="12"/>
      <c r="U73" s="12"/>
    </row>
    <row r="74" customFormat="false" ht="17.35" hidden="false" customHeight="false" outlineLevel="0" collapsed="false">
      <c r="A74" s="38" t="str">
        <f aca="false">IFERROR(__xludf.dummyfunction("""COMPUTED_VALUE"""),"Заложенная сложность МДФ-панель [Повышенная]")</f>
        <v>Заложенная сложность МДФ-панель [Повышенная]</v>
      </c>
      <c r="B74" s="43" t="n">
        <f aca="false">IFERROR(__xludf.dummyfunction("""COMPUTED_VALUE"""),1000)</f>
        <v>1000</v>
      </c>
      <c r="C74" s="43"/>
      <c r="D74" s="43"/>
      <c r="E74" s="44"/>
      <c r="F74" s="43"/>
      <c r="G74" s="43"/>
      <c r="H74" s="10"/>
      <c r="I74" s="40" t="str">
        <f aca="false">IFERROR(__xludf.dummyfunction("""COMPUTED_VALUE"""),"Накладка сувальдная ""под КРИТ"", бронза (DP-13-S-Auto)")</f>
        <v>Накладка сувальдная "под КРИТ", бронза (DP-13-S-Auto)</v>
      </c>
      <c r="J74" s="37" t="n">
        <f aca="false">IFERROR(__xludf.dummyfunction("""COMPUTED_VALUE"""),90)</f>
        <v>90</v>
      </c>
      <c r="K74" s="10"/>
      <c r="L74" s="27" t="str">
        <f aca="false">IFERROR(__xludf.dummyfunction("""COMPUTED_VALUE"""),"МДФ-панель [Внутренняя] - Ф-95 - Нестандарт")</f>
        <v>МДФ-панель [Внутренняя] - Ф-95 - Нестандарт</v>
      </c>
      <c r="M74" s="26"/>
      <c r="N74" s="12"/>
      <c r="O74" s="12"/>
      <c r="P74" s="12"/>
      <c r="Q74" s="12"/>
      <c r="R74" s="12"/>
      <c r="S74" s="12"/>
      <c r="T74" s="12"/>
      <c r="U74" s="12"/>
    </row>
    <row r="75" customFormat="false" ht="17.35" hidden="false" customHeight="false" outlineLevel="0" collapsed="false">
      <c r="A75" s="38" t="str">
        <f aca="false">IFERROR(__xludf.dummyfunction("""COMPUTED_VALUE"""),"Заложенная сложность Наличники [Простая]")</f>
        <v>Заложенная сложность Наличники [Простая]</v>
      </c>
      <c r="B75" s="43" t="n">
        <f aca="false">IFERROR(__xludf.dummyfunction("""COMPUTED_VALUE"""),300)</f>
        <v>300</v>
      </c>
      <c r="C75" s="43"/>
      <c r="D75" s="43"/>
      <c r="E75" s="44"/>
      <c r="F75" s="43"/>
      <c r="G75" s="43"/>
      <c r="H75" s="10"/>
      <c r="I75" s="40" t="str">
        <f aca="false">IFERROR(__xludf.dummyfunction("""COMPUTED_VALUE"""),"Накладка сув. овальная (DP-12-S) бронза")</f>
        <v>Накладка сув. овальная (DP-12-S) бронза</v>
      </c>
      <c r="J75" s="37" t="n">
        <f aca="false">IFERROR(__xludf.dummyfunction("""COMPUTED_VALUE"""),120)</f>
        <v>120</v>
      </c>
      <c r="K75" s="10"/>
      <c r="L75" s="27" t="str">
        <f aca="false">IFERROR(__xludf.dummyfunction("""COMPUTED_VALUE"""),"МДФ-панель [Внутренняя] - Ф-99 - Стандарт")</f>
        <v>МДФ-панель [Внутренняя] - Ф-99 - Стандарт</v>
      </c>
      <c r="M75" s="26"/>
      <c r="N75" s="12"/>
      <c r="O75" s="12"/>
      <c r="P75" s="12"/>
      <c r="Q75" s="12"/>
      <c r="R75" s="12"/>
      <c r="S75" s="12"/>
      <c r="T75" s="12"/>
      <c r="U75" s="12"/>
    </row>
    <row r="76" customFormat="false" ht="17.35" hidden="false" customHeight="false" outlineLevel="0" collapsed="false">
      <c r="A76" s="38" t="str">
        <f aca="false">IFERROR(__xludf.dummyfunction("""COMPUTED_VALUE"""),"Заложенная сложность Наличники [Средняя]")</f>
        <v>Заложенная сложность Наличники [Средняя]</v>
      </c>
      <c r="B76" s="43" t="n">
        <f aca="false">IFERROR(__xludf.dummyfunction("""COMPUTED_VALUE"""),400)</f>
        <v>400</v>
      </c>
      <c r="C76" s="43"/>
      <c r="D76" s="43"/>
      <c r="E76" s="44"/>
      <c r="F76" s="43"/>
      <c r="G76" s="43"/>
      <c r="H76" s="10"/>
      <c r="I76" s="40" t="str">
        <f aca="false">IFERROR(__xludf.dummyfunction("""COMPUTED_VALUE"""),"Накладка сувальдная ""под КРИТ"", черная")</f>
        <v>Накладка сувальдная "под КРИТ", черная</v>
      </c>
      <c r="J76" s="37" t="n">
        <f aca="false">IFERROR(__xludf.dummyfunction("""COMPUTED_VALUE"""),151)</f>
        <v>151</v>
      </c>
      <c r="K76" s="10"/>
      <c r="L76" s="27" t="str">
        <f aca="false">IFERROR(__xludf.dummyfunction("""COMPUTED_VALUE"""),"МДФ-панель [Внутренняя] - Ф-99 - Нестандарт")</f>
        <v>МДФ-панель [Внутренняя] - Ф-99 - Нестандарт</v>
      </c>
      <c r="M76" s="26"/>
      <c r="N76" s="12"/>
      <c r="O76" s="12"/>
      <c r="P76" s="12"/>
      <c r="Q76" s="12"/>
      <c r="R76" s="12"/>
      <c r="S76" s="12"/>
      <c r="T76" s="12"/>
      <c r="U76" s="12"/>
    </row>
    <row r="77" customFormat="false" ht="17.35" hidden="false" customHeight="false" outlineLevel="0" collapsed="false">
      <c r="A77" s="38" t="str">
        <f aca="false">IFERROR(__xludf.dummyfunction("""COMPUTED_VALUE"""),"Заложенная сложность Наличники [Повышенная]")</f>
        <v>Заложенная сложность Наличники [Повышенная]</v>
      </c>
      <c r="B77" s="43" t="n">
        <f aca="false">IFERROR(__xludf.dummyfunction("""COMPUTED_VALUE"""),500)</f>
        <v>500</v>
      </c>
      <c r="C77" s="43"/>
      <c r="D77" s="43"/>
      <c r="E77" s="44"/>
      <c r="F77" s="43"/>
      <c r="G77" s="43"/>
      <c r="H77" s="10"/>
      <c r="I77" s="40" t="str">
        <f aca="false">IFERROR(__xludf.dummyfunction("""COMPUTED_VALUE"""),"Накладка сувальдная овальная черн")</f>
        <v>Накладка сувальдная овальная черн</v>
      </c>
      <c r="J77" s="37" t="n">
        <f aca="false">IFERROR(__xludf.dummyfunction("""COMPUTED_VALUE"""),50)</f>
        <v>50</v>
      </c>
      <c r="K77" s="10"/>
      <c r="L77" s="27" t="str">
        <f aca="false">IFERROR(__xludf.dummyfunction("""COMPUTED_VALUE"""),"МДФ-панель [Внутренняя] - Ф-21 - Стандарт")</f>
        <v>МДФ-панель [Внутренняя] - Ф-21 - Стандарт</v>
      </c>
      <c r="M77" s="26"/>
      <c r="N77" s="12"/>
      <c r="O77" s="12"/>
      <c r="P77" s="12"/>
      <c r="Q77" s="12"/>
      <c r="R77" s="12"/>
      <c r="S77" s="12"/>
      <c r="T77" s="12"/>
      <c r="U77" s="12"/>
    </row>
    <row r="78" customFormat="false" ht="17.35" hidden="false" customHeight="false" outlineLevel="0" collapsed="false">
      <c r="A78" s="38" t="str">
        <f aca="false">IFERROR(__xludf.dummyfunction("""COMPUTED_VALUE"""),"МДФ t=12 мм, м2")</f>
        <v>МДФ t=12 мм, м2</v>
      </c>
      <c r="B78" s="43"/>
      <c r="C78" s="43"/>
      <c r="D78" s="43"/>
      <c r="E78" s="44" t="n">
        <f aca="false">IFERROR(__xludf.dummyfunction("""COMPUTED_VALUE"""),290.890269151138)</f>
        <v>290.8902692</v>
      </c>
      <c r="F78" s="43"/>
      <c r="G78" s="43"/>
      <c r="H78" s="10"/>
      <c r="I78" s="40" t="str">
        <f aca="false">IFERROR(__xludf.dummyfunction("""COMPUTED_VALUE"""),"Накладка сувальдная ""под КРИТ""")</f>
        <v>Накладка сувальдная "под КРИТ"</v>
      </c>
      <c r="J78" s="37" t="n">
        <f aca="false">IFERROR(__xludf.dummyfunction("""COMPUTED_VALUE"""),55)</f>
        <v>55</v>
      </c>
      <c r="K78" s="10"/>
      <c r="L78" s="27" t="str">
        <f aca="false">IFERROR(__xludf.dummyfunction("""COMPUTED_VALUE"""),"МДФ-панель [Внутренняя] - Ф-21 - Нестандарт")</f>
        <v>МДФ-панель [Внутренняя] - Ф-21 - Нестандарт</v>
      </c>
      <c r="M78" s="26"/>
      <c r="N78" s="12"/>
      <c r="O78" s="12"/>
      <c r="P78" s="12"/>
      <c r="Q78" s="12"/>
      <c r="R78" s="12"/>
      <c r="S78" s="12"/>
      <c r="T78" s="12"/>
      <c r="U78" s="12"/>
    </row>
    <row r="79" customFormat="false" ht="17.35" hidden="false" customHeight="false" outlineLevel="0" collapsed="false">
      <c r="A79" s="38" t="str">
        <f aca="false">IFERROR(__xludf.dummyfunction("""COMPUTED_VALUE"""),"Клей ""88-luxe"" Рогнеда (ведро 20л.)")</f>
        <v>Клей "88-luxe" Рогнеда (ведро 20л.)</v>
      </c>
      <c r="B79" s="43"/>
      <c r="C79" s="43"/>
      <c r="D79" s="43" t="n">
        <f aca="false">IFERROR(__xludf.dummyfunction("""COMPUTED_VALUE"""),430)</f>
        <v>430</v>
      </c>
      <c r="E79" s="44"/>
      <c r="F79" s="43"/>
      <c r="G79" s="43"/>
      <c r="H79" s="10"/>
      <c r="I79" s="41" t="str">
        <f aca="false">IFERROR(__xludf.dummyfunction("""COMPUTED_VALUE"""),"Накладка сувальдная/овальная/дешевая, шт")</f>
        <v>Накладка сувальдная/овальная/дешевая, шт</v>
      </c>
      <c r="J79" s="37" t="n">
        <f aca="false">IFERROR(__xludf.dummyfunction("""COMPUTED_VALUE"""),30)</f>
        <v>30</v>
      </c>
      <c r="K79" s="10"/>
      <c r="L79" s="27" t="str">
        <f aca="false">IFERROR(__xludf.dummyfunction("""COMPUTED_VALUE"""),"МДФ-панель [Внутренняя] - Ф-22 - Стандарт")</f>
        <v>МДФ-панель [Внутренняя] - Ф-22 - Стандарт</v>
      </c>
      <c r="M79" s="26"/>
      <c r="N79" s="12"/>
      <c r="O79" s="12"/>
      <c r="P79" s="12"/>
      <c r="Q79" s="12"/>
      <c r="R79" s="12"/>
      <c r="S79" s="12"/>
      <c r="T79" s="12"/>
      <c r="U79" s="12"/>
    </row>
    <row r="80" customFormat="false" ht="17.35" hidden="false" customHeight="false" outlineLevel="0" collapsed="false">
      <c r="A80" s="38" t="str">
        <f aca="false">IFERROR(__xludf.dummyfunction("""COMPUTED_VALUE"""),"Стекло лакобель")</f>
        <v>Стекло лакобель</v>
      </c>
      <c r="B80" s="43"/>
      <c r="C80" s="43"/>
      <c r="D80" s="43"/>
      <c r="E80" s="44" t="n">
        <f aca="false">IFERROR(__xludf.dummyfunction("""COMPUTED_VALUE"""),1400)</f>
        <v>1400</v>
      </c>
      <c r="F80" s="43"/>
      <c r="G80" s="43"/>
      <c r="H80" s="10"/>
      <c r="I80" s="11" t="str">
        <f aca="false">IFERROR(__xludf.dummyfunction("""COMPUTED_VALUE"""),"Глазки")</f>
        <v>Глазки</v>
      </c>
      <c r="J80" s="11"/>
      <c r="K80" s="10"/>
      <c r="L80" s="27" t="str">
        <f aca="false">IFERROR(__xludf.dummyfunction("""COMPUTED_VALUE"""),"МДФ-панель [Внутренняя] - Ф-22 - Нестандарт")</f>
        <v>МДФ-панель [Внутренняя] - Ф-22 - Нестандарт</v>
      </c>
      <c r="M80" s="26"/>
      <c r="N80" s="12"/>
      <c r="O80" s="12"/>
      <c r="P80" s="12"/>
      <c r="Q80" s="12"/>
      <c r="R80" s="12"/>
      <c r="S80" s="12"/>
      <c r="T80" s="12"/>
      <c r="U80" s="12"/>
    </row>
    <row r="81" customFormat="false" ht="17.35" hidden="false" customHeight="false" outlineLevel="0" collapsed="false">
      <c r="A81" s="38" t="str">
        <f aca="false">IFERROR(__xludf.dummyfunction("""COMPUTED_VALUE"""),"Зеркало")</f>
        <v>Зеркало</v>
      </c>
      <c r="B81" s="43"/>
      <c r="C81" s="43"/>
      <c r="D81" s="43"/>
      <c r="E81" s="44" t="n">
        <f aca="false">IFERROR(__xludf.dummyfunction("""COMPUTED_VALUE"""),1100)</f>
        <v>1100</v>
      </c>
      <c r="F81" s="43"/>
      <c r="G81" s="43"/>
      <c r="H81" s="10"/>
      <c r="I81" s="45" t="str">
        <f aca="false">IFERROR(__xludf.dummyfunction("""COMPUTED_VALUE"""),"Глазок квадратный (21 серия), матовое золото")</f>
        <v>Глазок квадратный (21 серия), матовое золото</v>
      </c>
      <c r="J81" s="37" t="n">
        <f aca="false">IFERROR(__xludf.dummyfunction("""COMPUTED_VALUE"""),209.67)</f>
        <v>209.67</v>
      </c>
      <c r="K81" s="10"/>
      <c r="L81" s="27" t="str">
        <f aca="false">IFERROR(__xludf.dummyfunction("""COMPUTED_VALUE"""),"МДФ-панель [Внутренняя] - Ф-23 - Стандарт")</f>
        <v>МДФ-панель [Внутренняя] - Ф-23 - Стандарт</v>
      </c>
      <c r="M81" s="26"/>
      <c r="N81" s="12"/>
      <c r="O81" s="12"/>
      <c r="P81" s="12"/>
      <c r="Q81" s="12"/>
      <c r="R81" s="12"/>
      <c r="S81" s="12"/>
      <c r="T81" s="12"/>
      <c r="U81" s="12"/>
    </row>
    <row r="82" customFormat="false" ht="17.35" hidden="false" customHeight="false" outlineLevel="0" collapsed="false">
      <c r="A82" s="38" t="str">
        <f aca="false">IFERROR(__xludf.dummyfunction("""COMPUTED_VALUE"""),"Нержавейка лист 0.6мм")</f>
        <v>Нержавейка лист 0.6мм</v>
      </c>
      <c r="B82" s="43"/>
      <c r="C82" s="43"/>
      <c r="D82" s="43"/>
      <c r="E82" s="44"/>
      <c r="F82" s="43"/>
      <c r="G82" s="43" t="n">
        <f aca="false">IFERROR(__xludf.dummyfunction("""COMPUTED_VALUE"""),187)</f>
        <v>187</v>
      </c>
      <c r="H82" s="10"/>
      <c r="I82" s="45" t="str">
        <f aca="false">IFERROR(__xludf.dummyfunction("""COMPUTED_VALUE"""),"Глазок квадратный 70-130 черный ")</f>
        <v>Глазок квадратный 70-130 черный </v>
      </c>
      <c r="J82" s="37" t="n">
        <f aca="false">IFERROR(__xludf.dummyfunction("""COMPUTED_VALUE"""),114)</f>
        <v>114</v>
      </c>
      <c r="K82" s="10"/>
      <c r="L82" s="27" t="str">
        <f aca="false">IFERROR(__xludf.dummyfunction("""COMPUTED_VALUE"""),"МДФ-панель [Внутренняя] - Ф-23 - Нестандарт")</f>
        <v>МДФ-панель [Внутренняя] - Ф-23 - Нестандарт</v>
      </c>
      <c r="M82" s="26"/>
      <c r="N82" s="12"/>
      <c r="O82" s="12"/>
      <c r="P82" s="12"/>
      <c r="Q82" s="12"/>
      <c r="R82" s="12"/>
      <c r="S82" s="12"/>
      <c r="T82" s="12"/>
      <c r="U82" s="12"/>
    </row>
    <row r="83" customFormat="false" ht="17.35" hidden="false" customHeight="false" outlineLevel="0" collapsed="false">
      <c r="A83" s="38" t="str">
        <f aca="false">IFERROR(__xludf.dummyfunction("""COMPUTED_VALUE"""),"Гайка М4")</f>
        <v>Гайка М4</v>
      </c>
      <c r="B83" s="43" t="n">
        <f aca="false">IFERROR(__xludf.dummyfunction("""COMPUTED_VALUE"""),0.59)</f>
        <v>0.59</v>
      </c>
      <c r="C83" s="43"/>
      <c r="D83" s="43"/>
      <c r="E83" s="44"/>
      <c r="F83" s="43"/>
      <c r="G83" s="43"/>
      <c r="H83" s="10"/>
      <c r="I83" s="45" t="str">
        <f aca="false">IFERROR(__xludf.dummyfunction("""COMPUTED_VALUE"""),"Глазок MY003-70/130, матовый хром")</f>
        <v>Глазок MY003-70/130, матовый хром</v>
      </c>
      <c r="J83" s="37" t="n">
        <f aca="false">IFERROR(__xludf.dummyfunction("""COMPUTED_VALUE"""),115)</f>
        <v>115</v>
      </c>
      <c r="K83" s="10"/>
      <c r="L83" s="27" t="str">
        <f aca="false">IFERROR(__xludf.dummyfunction("""COMPUTED_VALUE"""),"МДФ-панель [Внутренняя] - Ф-26 - Стандарт")</f>
        <v>МДФ-панель [Внутренняя] - Ф-26 - Стандарт</v>
      </c>
      <c r="M83" s="26"/>
      <c r="N83" s="12"/>
      <c r="O83" s="12"/>
      <c r="P83" s="12"/>
      <c r="Q83" s="12"/>
      <c r="R83" s="12"/>
      <c r="S83" s="12"/>
      <c r="T83" s="12"/>
      <c r="U83" s="12"/>
    </row>
    <row r="84" customFormat="false" ht="17.35" hidden="false" customHeight="false" outlineLevel="0" collapsed="false">
      <c r="A84" s="38" t="str">
        <f aca="false">IFERROR(__xludf.dummyfunction("""COMPUTED_VALUE"""),"Шайба М4")</f>
        <v>Шайба М4</v>
      </c>
      <c r="B84" s="43" t="n">
        <f aca="false">IFERROR(__xludf.dummyfunction("""COMPUTED_VALUE"""),1.61)</f>
        <v>1.61</v>
      </c>
      <c r="C84" s="43"/>
      <c r="D84" s="43"/>
      <c r="E84" s="44"/>
      <c r="F84" s="43"/>
      <c r="G84" s="43"/>
      <c r="H84" s="10"/>
      <c r="I84" s="46" t="str">
        <f aca="false">IFERROR(__xludf.dummyfunction("""COMPUTED_VALUE"""),"Глазок круглый 50х90/Бронза, шт")</f>
        <v>Глазок круглый 50х90/Бронза, шт</v>
      </c>
      <c r="J84" s="37" t="n">
        <f aca="false">IFERROR(__xludf.dummyfunction("""COMPUTED_VALUE"""),205)</f>
        <v>205</v>
      </c>
      <c r="K84" s="10"/>
      <c r="L84" s="27" t="str">
        <f aca="false">IFERROR(__xludf.dummyfunction("""COMPUTED_VALUE"""),"МДФ-панель [Внутренняя] - Ф-26 - Нестандарт")</f>
        <v>МДФ-панель [Внутренняя] - Ф-26 - Нестандарт</v>
      </c>
      <c r="M84" s="26"/>
      <c r="N84" s="12"/>
      <c r="O84" s="12"/>
      <c r="P84" s="12"/>
      <c r="Q84" s="12"/>
      <c r="R84" s="12"/>
      <c r="S84" s="12"/>
      <c r="T84" s="12"/>
      <c r="U84" s="12"/>
    </row>
    <row r="85" customFormat="false" ht="17.35" hidden="false" customHeight="false" outlineLevel="0" collapsed="false">
      <c r="A85" s="38" t="str">
        <f aca="false">IFERROR(__xludf.dummyfunction("""COMPUTED_VALUE"""),"Шпильки Forta")</f>
        <v>Шпильки Forta</v>
      </c>
      <c r="B85" s="43" t="n">
        <f aca="false">IFERROR(__xludf.dummyfunction("""COMPUTED_VALUE"""),1.93)</f>
        <v>1.93</v>
      </c>
      <c r="C85" s="43"/>
      <c r="D85" s="43"/>
      <c r="E85" s="44"/>
      <c r="F85" s="43"/>
      <c r="G85" s="43"/>
      <c r="H85" s="10"/>
      <c r="I85" s="45" t="str">
        <f aca="false">IFERROR(__xludf.dummyfunction("""COMPUTED_VALUE"""),"Удлинитель Глазка (только в бронзе используется) ")</f>
        <v>Удлинитель Глазка (только в бронзе используется) </v>
      </c>
      <c r="J85" s="37" t="n">
        <f aca="false">IFERROR(__xludf.dummyfunction("""COMPUTED_VALUE"""),43)</f>
        <v>43</v>
      </c>
      <c r="K85" s="10"/>
      <c r="L85" s="27" t="str">
        <f aca="false">IFERROR(__xludf.dummyfunction("""COMPUTED_VALUE"""),"МДФ-панель [Внутренняя] - Ф-42 - Стандарт")</f>
        <v>МДФ-панель [Внутренняя] - Ф-42 - Стандарт</v>
      </c>
      <c r="M85" s="26"/>
      <c r="N85" s="12"/>
      <c r="O85" s="12"/>
      <c r="P85" s="12"/>
      <c r="Q85" s="12"/>
      <c r="R85" s="12"/>
      <c r="S85" s="12"/>
      <c r="T85" s="12"/>
      <c r="U85" s="12"/>
    </row>
    <row r="86" customFormat="false" ht="17.35" hidden="false" customHeight="false" outlineLevel="0" collapsed="false">
      <c r="A86" s="38" t="str">
        <f aca="false">IFERROR(__xludf.dummyfunction("""COMPUTED_VALUE"""),"Шпильки + Гайки Verso")</f>
        <v>Шпильки + Гайки Verso</v>
      </c>
      <c r="B86" s="43" t="n">
        <f aca="false">IFERROR(__xludf.dummyfunction("""COMPUTED_VALUE"""),2.52)</f>
        <v>2.52</v>
      </c>
      <c r="C86" s="43"/>
      <c r="D86" s="43"/>
      <c r="E86" s="44"/>
      <c r="F86" s="43"/>
      <c r="G86" s="43"/>
      <c r="H86" s="10"/>
      <c r="I86" s="46" t="str">
        <f aca="false">IFERROR(__xludf.dummyfunction("""COMPUTED_VALUE"""),"Глазок Viever 70-130 black")</f>
        <v>Глазок Viever 70-130 black</v>
      </c>
      <c r="J86" s="37" t="n">
        <f aca="false">IFERROR(__xludf.dummyfunction("""COMPUTED_VALUE"""),100)</f>
        <v>100</v>
      </c>
      <c r="K86" s="10"/>
      <c r="L86" s="27" t="str">
        <f aca="false">IFERROR(__xludf.dummyfunction("""COMPUTED_VALUE"""),"МДФ-панель [Внутренняя] - Ф-42 - Нестандарт")</f>
        <v>МДФ-панель [Внутренняя] - Ф-42 - Нестандарт</v>
      </c>
      <c r="M86" s="26"/>
      <c r="N86" s="12"/>
      <c r="O86" s="12"/>
      <c r="P86" s="12"/>
      <c r="Q86" s="12"/>
      <c r="R86" s="12"/>
      <c r="S86" s="12"/>
      <c r="T86" s="12"/>
      <c r="U86" s="12"/>
    </row>
    <row r="87" customFormat="false" ht="17.35" hidden="false" customHeight="false" outlineLevel="0" collapsed="false">
      <c r="A87" s="38" t="str">
        <f aca="false">IFERROR(__xludf.dummyfunction("""COMPUTED_VALUE"""),"Шпильки + Гайки Stark")</f>
        <v>Шпильки + Гайки Stark</v>
      </c>
      <c r="B87" s="43" t="n">
        <f aca="false">IFERROR(__xludf.dummyfunction("""COMPUTED_VALUE"""),2.52)</f>
        <v>2.52</v>
      </c>
      <c r="C87" s="43"/>
      <c r="D87" s="43"/>
      <c r="E87" s="44"/>
      <c r="F87" s="43"/>
      <c r="G87" s="43"/>
      <c r="H87" s="10"/>
      <c r="I87" s="47" t="str">
        <f aca="false">IFERROR(__xludf.dummyfunction("""COMPUTED_VALUE"""),"Глазок круглый 70х130/Хром")</f>
        <v>Глазок круглый 70х130/Хром</v>
      </c>
      <c r="J87" s="37" t="n">
        <f aca="false">IFERROR(__xludf.dummyfunction("""COMPUTED_VALUE"""),73)</f>
        <v>73</v>
      </c>
      <c r="K87" s="10"/>
      <c r="L87" s="27" t="str">
        <f aca="false">IFERROR(__xludf.dummyfunction("""COMPUTED_VALUE"""),"МДФ-панель [Внутренняя] - Ф-76 - Стандарт")</f>
        <v>МДФ-панель [Внутренняя] - Ф-76 - Стандарт</v>
      </c>
      <c r="M87" s="26"/>
      <c r="N87" s="12"/>
      <c r="O87" s="12"/>
      <c r="P87" s="12"/>
      <c r="Q87" s="12"/>
      <c r="R87" s="12"/>
      <c r="S87" s="12"/>
      <c r="T87" s="12"/>
      <c r="U87" s="12"/>
    </row>
    <row r="88" customFormat="false" ht="17.35" hidden="false" customHeight="false" outlineLevel="0" collapsed="false">
      <c r="A88" s="38" t="str">
        <f aca="false">IFERROR(__xludf.dummyfunction("""COMPUTED_VALUE"""),"Обработка кромки стекла до 30мм (Еврокромка)")</f>
        <v>Обработка кромки стекла до 30мм (Еврокромка)</v>
      </c>
      <c r="B88" s="43"/>
      <c r="C88" s="43" t="n">
        <f aca="false">IFERROR(__xludf.dummyfunction("""COMPUTED_VALUE"""),60)</f>
        <v>60</v>
      </c>
      <c r="D88" s="43"/>
      <c r="E88" s="44"/>
      <c r="F88" s="43"/>
      <c r="G88" s="43"/>
      <c r="H88" s="10"/>
      <c r="I88" s="11" t="str">
        <f aca="false">IFERROR(__xludf.dummyfunction("""COMPUTED_VALUE"""),"Вертушки")</f>
        <v>Вертушки</v>
      </c>
      <c r="J88" s="11"/>
      <c r="K88" s="10"/>
      <c r="L88" s="27" t="str">
        <f aca="false">IFERROR(__xludf.dummyfunction("""COMPUTED_VALUE"""),"МДФ-панель [Внутренняя] - Ф-76 - Нестандарт")</f>
        <v>МДФ-панель [Внутренняя] - Ф-76 - Нестандарт</v>
      </c>
      <c r="M88" s="26"/>
      <c r="N88" s="12"/>
      <c r="O88" s="12"/>
      <c r="P88" s="12"/>
      <c r="Q88" s="12"/>
      <c r="R88" s="12"/>
      <c r="S88" s="12"/>
      <c r="T88" s="12"/>
      <c r="U88" s="12"/>
    </row>
    <row r="89" customFormat="false" ht="17.35" hidden="false" customHeight="false" outlineLevel="0" collapsed="false">
      <c r="A89" s="38" t="str">
        <f aca="false">IFERROR(__xludf.dummyfunction("""COMPUTED_VALUE"""),"Обработка кромки стекла от 30мм (Еврокромка)")</f>
        <v>Обработка кромки стекла от 30мм (Еврокромка)</v>
      </c>
      <c r="B89" s="43"/>
      <c r="C89" s="43" t="n">
        <f aca="false">IFERROR(__xludf.dummyfunction("""COMPUTED_VALUE"""),40)</f>
        <v>40</v>
      </c>
      <c r="D89" s="43"/>
      <c r="E89" s="44"/>
      <c r="F89" s="43"/>
      <c r="G89" s="43"/>
      <c r="H89" s="10"/>
      <c r="I89" s="48" t="str">
        <f aca="false">IFERROR(__xludf.dummyfunction("""COMPUTED_VALUE"""),"Вертушок на ноч. задв. (21 серия), матовое золото")</f>
        <v>Вертушок на ноч. задв. (21 серия), матовое золото</v>
      </c>
      <c r="J89" s="37" t="n">
        <f aca="false">IFERROR(__xludf.dummyfunction("""COMPUTED_VALUE"""),180.11)</f>
        <v>180.11</v>
      </c>
      <c r="K89" s="10"/>
      <c r="L89" s="19" t="str">
        <f aca="false">IFERROR(__xludf.dummyfunction("""COMPUTED_VALUE"""),"Панели внутрь [С вставками]")</f>
        <v>Панели внутрь [С вставками]</v>
      </c>
      <c r="M89" s="20" t="str">
        <f aca="false">IFERROR(__xludf.dummyfunction("""COMPUTED_VALUE"""),"р\шт")</f>
        <v>р\шт</v>
      </c>
      <c r="N89" s="12"/>
      <c r="O89" s="12"/>
      <c r="P89" s="12"/>
      <c r="Q89" s="12"/>
      <c r="R89" s="12"/>
      <c r="S89" s="12"/>
      <c r="T89" s="12"/>
      <c r="U89" s="12"/>
    </row>
    <row r="90" customFormat="false" ht="17.35" hidden="false" customHeight="false" outlineLevel="0" collapsed="false">
      <c r="A90" s="38" t="str">
        <f aca="false">IFERROR(__xludf.dummyfunction("""COMPUTED_VALUE"""),"Фацет (12 мм)")</f>
        <v>Фацет (12 мм)</v>
      </c>
      <c r="B90" s="43"/>
      <c r="C90" s="43" t="n">
        <f aca="false">IFERROR(__xludf.dummyfunction("""COMPUTED_VALUE"""),140)</f>
        <v>140</v>
      </c>
      <c r="D90" s="43"/>
      <c r="E90" s="44"/>
      <c r="F90" s="43"/>
      <c r="G90" s="43"/>
      <c r="H90" s="10"/>
      <c r="I90" s="49" t="str">
        <f aca="false">IFERROR(__xludf.dummyfunction("""COMPUTED_VALUE"""),"Вертушок PALIDORE на квадратном основании 050-TL SSC черный, шт")</f>
        <v>Вертушок PALIDORE на квадратном основании 050-TL SSC черный, шт</v>
      </c>
      <c r="J90" s="37" t="n">
        <f aca="false">IFERROR(__xludf.dummyfunction("""COMPUTED_VALUE"""),110)</f>
        <v>110</v>
      </c>
      <c r="K90" s="10"/>
      <c r="L90" s="27" t="str">
        <f aca="false">IFERROR(__xludf.dummyfunction("""COMPUTED_VALUE"""),"МДФ-панель [Внутренняя] - Ф-43 - Стандарт")</f>
        <v>МДФ-панель [Внутренняя] - Ф-43 - Стандарт</v>
      </c>
      <c r="M90" s="26"/>
      <c r="N90" s="12"/>
      <c r="O90" s="12"/>
      <c r="P90" s="12"/>
      <c r="Q90" s="12"/>
      <c r="R90" s="12"/>
      <c r="S90" s="12"/>
      <c r="T90" s="12"/>
      <c r="U90" s="12"/>
    </row>
    <row r="91" customFormat="false" ht="17.35" hidden="false" customHeight="false" outlineLevel="0" collapsed="false">
      <c r="A91" s="38" t="str">
        <f aca="false">IFERROR(__xludf.dummyfunction("""COMPUTED_VALUE"""),"Герметик")</f>
        <v>Герметик</v>
      </c>
      <c r="B91" s="43" t="n">
        <f aca="false">IFERROR(__xludf.dummyfunction("""COMPUTED_VALUE"""),260)</f>
        <v>260</v>
      </c>
      <c r="C91" s="43"/>
      <c r="D91" s="43"/>
      <c r="E91" s="44"/>
      <c r="F91" s="43"/>
      <c r="G91" s="43"/>
      <c r="H91" s="10"/>
      <c r="I91" s="49" t="str">
        <f aca="false">IFERROR(__xludf.dummyfunction("""COMPUTED_VALUE"""),"Вертушок PALIDORE на квадратном основании 050-TL SSC мат. Хром")</f>
        <v>Вертушок PALIDORE на квадратном основании 050-TL SSC мат. Хром</v>
      </c>
      <c r="J91" s="37" t="n">
        <f aca="false">IFERROR(__xludf.dummyfunction("""COMPUTED_VALUE"""),110)</f>
        <v>110</v>
      </c>
      <c r="K91" s="10"/>
      <c r="L91" s="27" t="str">
        <f aca="false">IFERROR(__xludf.dummyfunction("""COMPUTED_VALUE"""),"МДФ-панель [Внутренняя] - Ф-43 - Нестандарт")</f>
        <v>МДФ-панель [Внутренняя] - Ф-43 - Нестандарт</v>
      </c>
      <c r="M91" s="26"/>
      <c r="N91" s="12"/>
      <c r="O91" s="12"/>
      <c r="P91" s="12"/>
      <c r="Q91" s="12"/>
      <c r="R91" s="12"/>
      <c r="S91" s="12"/>
      <c r="T91" s="12"/>
      <c r="U91" s="12"/>
    </row>
    <row r="92" customFormat="false" ht="17.35" hidden="false" customHeight="false" outlineLevel="0" collapsed="false">
      <c r="A92" s="50" t="str">
        <f aca="false">IFERROR(__xludf.dummyfunction("""COMPUTED_VALUE"""),"Модуль дополнений термо")</f>
        <v>Модуль дополнений термо</v>
      </c>
      <c r="B92" s="50"/>
      <c r="C92" s="50"/>
      <c r="D92" s="50"/>
      <c r="E92" s="50"/>
      <c r="F92" s="50"/>
      <c r="G92" s="50"/>
      <c r="H92" s="10"/>
      <c r="I92" s="46" t="str">
        <f aca="false">IFERROR(__xludf.dummyfunction("""COMPUTED_VALUE"""),"Вертушок бронза 8х75 (TT-0705-8/75), шт")</f>
        <v>Вертушок бронза 8х75 (TT-0705-8/75), шт</v>
      </c>
      <c r="J92" s="37" t="n">
        <f aca="false">IFERROR(__xludf.dummyfunction("""COMPUTED_VALUE"""),145)</f>
        <v>145</v>
      </c>
      <c r="K92" s="10"/>
      <c r="L92" s="27" t="str">
        <f aca="false">IFERROR(__xludf.dummyfunction("""COMPUTED_VALUE"""),"МДФ-панель [Внутренняя] - Ф-30 - Стандарт")</f>
        <v>МДФ-панель [Внутренняя] - Ф-30 - Стандарт</v>
      </c>
      <c r="M92" s="26"/>
      <c r="N92" s="12"/>
      <c r="O92" s="12"/>
      <c r="P92" s="12"/>
      <c r="Q92" s="12"/>
      <c r="R92" s="12"/>
      <c r="S92" s="12"/>
      <c r="T92" s="12"/>
      <c r="U92" s="12"/>
    </row>
    <row r="93" customFormat="false" ht="17.35" hidden="false" customHeight="false" outlineLevel="0" collapsed="false">
      <c r="A93" s="38" t="str">
        <f aca="false">IFERROR(__xludf.dummyfunction("""COMPUTED_VALUE"""),"Стеклопакет Darkwood, Drevos [3к 72мм]")</f>
        <v>Стеклопакет Darkwood, Drevos [3к 72мм]</v>
      </c>
      <c r="B93" s="43"/>
      <c r="C93" s="43"/>
      <c r="D93" s="43"/>
      <c r="E93" s="44" t="n">
        <f aca="false">IFERROR(__xludf.dummyfunction("""COMPUTED_VALUE"""),5000)</f>
        <v>5000</v>
      </c>
      <c r="F93" s="43"/>
      <c r="G93" s="43"/>
      <c r="H93" s="10"/>
      <c r="I93" s="46" t="str">
        <f aca="false">IFERROR(__xludf.dummyfunction("""COMPUTED_VALUE"""),"Вертушок 8х75 черн, шт")</f>
        <v>Вертушок 8х75 черн, шт</v>
      </c>
      <c r="J93" s="37" t="n">
        <f aca="false">IFERROR(__xludf.dummyfunction("""COMPUTED_VALUE"""),100)</f>
        <v>100</v>
      </c>
      <c r="K93" s="10"/>
      <c r="L93" s="27" t="str">
        <f aca="false">IFERROR(__xludf.dummyfunction("""COMPUTED_VALUE"""),"МДФ-панель [Внутренняя] - Ф-30 - Нестандарт")</f>
        <v>МДФ-панель [Внутренняя] - Ф-30 - Нестандарт</v>
      </c>
      <c r="M93" s="26"/>
      <c r="N93" s="12"/>
      <c r="O93" s="12"/>
      <c r="P93" s="12"/>
      <c r="Q93" s="12"/>
      <c r="R93" s="12"/>
      <c r="S93" s="12"/>
      <c r="T93" s="12"/>
      <c r="U93" s="12"/>
    </row>
    <row r="94" customFormat="false" ht="17.35" hidden="false" customHeight="false" outlineLevel="0" collapsed="false">
      <c r="A94" s="38" t="str">
        <f aca="false">IFERROR(__xludf.dummyfunction("""COMPUTED_VALUE"""),"Senator, Senator Max [4к 83мм]")</f>
        <v>Senator, Senator Max [4к 83мм]</v>
      </c>
      <c r="B94" s="43"/>
      <c r="C94" s="43"/>
      <c r="D94" s="43"/>
      <c r="E94" s="44" t="n">
        <f aca="false">IFERROR(__xludf.dummyfunction("""COMPUTED_VALUE"""),7000)</f>
        <v>7000</v>
      </c>
      <c r="F94" s="43"/>
      <c r="G94" s="43"/>
      <c r="H94" s="10"/>
      <c r="I94" s="47" t="str">
        <f aca="false">IFERROR(__xludf.dummyfunction("""COMPUTED_VALUE"""),"Вертушок, хром")</f>
        <v>Вертушок, хром</v>
      </c>
      <c r="J94" s="37" t="n">
        <f aca="false">IFERROR(__xludf.dummyfunction("""COMPUTED_VALUE"""),64)</f>
        <v>64</v>
      </c>
      <c r="K94" s="10"/>
      <c r="L94" s="27" t="str">
        <f aca="false">IFERROR(__xludf.dummyfunction("""COMPUTED_VALUE"""),"МДФ-панель [Внутренняя] - Ф-32 - Стандарт")</f>
        <v>МДФ-панель [Внутренняя] - Ф-32 - Стандарт</v>
      </c>
      <c r="M94" s="26"/>
      <c r="N94" s="12"/>
      <c r="O94" s="12"/>
      <c r="P94" s="12"/>
      <c r="Q94" s="12"/>
      <c r="R94" s="12"/>
      <c r="S94" s="12"/>
      <c r="T94" s="12"/>
      <c r="U94" s="12"/>
    </row>
    <row r="95" customFormat="false" ht="17.35" hidden="false" customHeight="false" outlineLevel="0" collapsed="false">
      <c r="A95" s="38" t="str">
        <f aca="false">IFERROR(__xludf.dummyfunction("""COMPUTED_VALUE"""),"Credo [4к 75мм]")</f>
        <v>Credo [4к 75мм]</v>
      </c>
      <c r="B95" s="43"/>
      <c r="C95" s="43"/>
      <c r="D95" s="43"/>
      <c r="E95" s="44" t="n">
        <f aca="false">IFERROR(__xludf.dummyfunction("""COMPUTED_VALUE"""),7000)</f>
        <v>7000</v>
      </c>
      <c r="F95" s="43"/>
      <c r="G95" s="43"/>
      <c r="H95" s="10"/>
      <c r="I95" s="11" t="str">
        <f aca="false">IFERROR(__xludf.dummyfunction("""COMPUTED_VALUE"""),"Плёнки")</f>
        <v>Плёнки</v>
      </c>
      <c r="J95" s="11"/>
      <c r="K95" s="10"/>
      <c r="L95" s="27" t="str">
        <f aca="false">IFERROR(__xludf.dummyfunction("""COMPUTED_VALUE"""),"МДФ-панель [Внутренняя] - Ф-32 - Нестандарт")</f>
        <v>МДФ-панель [Внутренняя] - Ф-32 - Нестандарт</v>
      </c>
      <c r="M95" s="26"/>
      <c r="N95" s="12"/>
      <c r="O95" s="12"/>
      <c r="P95" s="12"/>
      <c r="Q95" s="12"/>
      <c r="R95" s="12"/>
      <c r="S95" s="12"/>
      <c r="T95" s="12"/>
      <c r="U95" s="12"/>
    </row>
    <row r="96" customFormat="false" ht="17.35" hidden="false" customHeight="false" outlineLevel="0" collapsed="false">
      <c r="A96" s="38" t="str">
        <f aca="false">IFERROR(__xludf.dummyfunction("""COMPUTED_VALUE"""),"Первый слой тонировки")</f>
        <v>Первый слой тонировки</v>
      </c>
      <c r="B96" s="43"/>
      <c r="C96" s="43"/>
      <c r="D96" s="43"/>
      <c r="E96" s="44" t="n">
        <f aca="false">IFERROR(__xludf.dummyfunction("""COMPUTED_VALUE"""),1500)</f>
        <v>1500</v>
      </c>
      <c r="F96" s="43"/>
      <c r="G96" s="43"/>
      <c r="H96" s="10"/>
      <c r="I96" s="51" t="str">
        <f aca="false">IFERROR(__xludf.dummyfunction("""COMPUTED_VALUE"""),"Номенклатурная позиция")</f>
        <v>Номенклатурная позиция</v>
      </c>
      <c r="J96" s="36" t="str">
        <f aca="false">IFERROR(__xludf.dummyfunction("""COMPUTED_VALUE"""),"р\кв.м")</f>
        <v>р\кв.м</v>
      </c>
      <c r="K96" s="10"/>
      <c r="L96" s="27" t="str">
        <f aca="false">IFERROR(__xludf.dummyfunction("""COMPUTED_VALUE"""),"МДФ-панель [Внутренняя] - Ф-79 - Стандарт")</f>
        <v>МДФ-панель [Внутренняя] - Ф-79 - Стандарт</v>
      </c>
      <c r="M96" s="26"/>
      <c r="N96" s="12"/>
      <c r="O96" s="12"/>
      <c r="P96" s="12"/>
      <c r="Q96" s="12"/>
      <c r="R96" s="12"/>
      <c r="S96" s="12"/>
      <c r="T96" s="12"/>
      <c r="U96" s="12"/>
    </row>
    <row r="97" customFormat="false" ht="17.35" hidden="false" customHeight="false" outlineLevel="0" collapsed="false">
      <c r="A97" s="38" t="str">
        <f aca="false">IFERROR(__xludf.dummyfunction("""COMPUTED_VALUE"""),"Второй слой тонировки")</f>
        <v>Второй слой тонировки</v>
      </c>
      <c r="B97" s="43"/>
      <c r="C97" s="43"/>
      <c r="D97" s="43"/>
      <c r="E97" s="44" t="n">
        <f aca="false">IFERROR(__xludf.dummyfunction("""COMPUTED_VALUE"""),1000)</f>
        <v>1000</v>
      </c>
      <c r="F97" s="43"/>
      <c r="G97" s="43"/>
      <c r="H97" s="10"/>
      <c r="I97" s="52" t="str">
        <f aca="false">IFERROR(__xludf.dummyfunction("""COMPUTED_VALUE"""),"Английский дуб фог")</f>
        <v>Английский дуб фог</v>
      </c>
      <c r="J97" s="37" t="n">
        <f aca="false">IFERROR(__xludf.dummyfunction("""COMPUTED_VALUE"""),140)</f>
        <v>140</v>
      </c>
      <c r="K97" s="10"/>
      <c r="L97" s="27" t="str">
        <f aca="false">IFERROR(__xludf.dummyfunction("""COMPUTED_VALUE"""),"МДФ-панель [Внутренняя] - Ф-79 - Нестандарт")</f>
        <v>МДФ-панель [Внутренняя] - Ф-79 - Нестандарт</v>
      </c>
      <c r="M97" s="26"/>
      <c r="N97" s="12"/>
      <c r="O97" s="12"/>
      <c r="P97" s="12"/>
      <c r="Q97" s="12"/>
      <c r="R97" s="12"/>
      <c r="S97" s="12"/>
      <c r="T97" s="12"/>
      <c r="U97" s="12"/>
    </row>
    <row r="98" customFormat="false" ht="17.35" hidden="false" customHeight="false" outlineLevel="0" collapsed="false">
      <c r="A98" s="38" t="str">
        <f aca="false">IFERROR(__xludf.dummyfunction("""COMPUTED_VALUE"""),"Термокабель")</f>
        <v>Термокабель</v>
      </c>
      <c r="B98" s="43"/>
      <c r="C98" s="43" t="n">
        <f aca="false">IFERROR(__xludf.dummyfunction("""COMPUTED_VALUE"""),177)</f>
        <v>177</v>
      </c>
      <c r="D98" s="43"/>
      <c r="E98" s="44"/>
      <c r="F98" s="43"/>
      <c r="G98" s="43"/>
      <c r="H98" s="10"/>
      <c r="I98" s="52" t="str">
        <f aca="false">IFERROR(__xludf.dummyfunction("""COMPUTED_VALUE"""),"Астана Эш Уайт")</f>
        <v>Астана Эш Уайт</v>
      </c>
      <c r="J98" s="37" t="n">
        <f aca="false">IFERROR(__xludf.dummyfunction("""COMPUTED_VALUE"""),132)</f>
        <v>132</v>
      </c>
      <c r="K98" s="10"/>
      <c r="L98" s="19" t="str">
        <f aca="false">IFERROR(__xludf.dummyfunction("""COMPUTED_VALUE"""),"Панели внутрь [С зеркалом]")</f>
        <v>Панели внутрь [С зеркалом]</v>
      </c>
      <c r="M98" s="20" t="str">
        <f aca="false">IFERROR(__xludf.dummyfunction("""COMPUTED_VALUE"""),"р\шт")</f>
        <v>р\шт</v>
      </c>
      <c r="N98" s="12"/>
      <c r="O98" s="12"/>
      <c r="P98" s="12"/>
      <c r="Q98" s="12"/>
      <c r="R98" s="12"/>
      <c r="S98" s="12"/>
      <c r="T98" s="12"/>
      <c r="U98" s="12"/>
    </row>
    <row r="99" customFormat="false" ht="17.35" hidden="false" customHeight="false" outlineLevel="0" collapsed="false">
      <c r="A99" s="38" t="str">
        <f aca="false">IFERROR(__xludf.dummyfunction("""COMPUTED_VALUE"""),"HPL НФТ-2 Стандарт [Дуб Чарлстон]")</f>
        <v>HPL НФТ-2 Стандарт [Дуб Чарлстон]</v>
      </c>
      <c r="B99" s="53" t="n">
        <f aca="false">IFERROR(__xludf.dummyfunction("""COMPUTED_VALUE"""),12500)</f>
        <v>12500</v>
      </c>
      <c r="C99" s="43"/>
      <c r="D99" s="43"/>
      <c r="E99" s="44"/>
      <c r="F99" s="43"/>
      <c r="G99" s="43"/>
      <c r="H99" s="10"/>
      <c r="I99" s="52" t="str">
        <f aca="false">IFERROR(__xludf.dummyfunction("""COMPUTED_VALUE"""),"Белый матовый")</f>
        <v>Белый матовый</v>
      </c>
      <c r="J99" s="37" t="n">
        <f aca="false">IFERROR(__xludf.dummyfunction("""COMPUTED_VALUE"""),105)</f>
        <v>105</v>
      </c>
      <c r="K99" s="10"/>
      <c r="L99" s="27" t="str">
        <f aca="false">IFERROR(__xludf.dummyfunction("""COMPUTED_VALUE"""),"МДФ-панель [Внутренняя] - Ф-1 - Стандарт")</f>
        <v>МДФ-панель [Внутренняя] - Ф-1 - Стандарт</v>
      </c>
      <c r="M99" s="26"/>
      <c r="N99" s="12"/>
      <c r="O99" s="12"/>
      <c r="P99" s="12"/>
      <c r="Q99" s="12"/>
      <c r="R99" s="12"/>
      <c r="S99" s="12"/>
      <c r="T99" s="12"/>
      <c r="U99" s="12"/>
    </row>
    <row r="100" customFormat="false" ht="17.35" hidden="false" customHeight="false" outlineLevel="0" collapsed="false">
      <c r="A100" s="38" t="str">
        <f aca="false">IFERROR(__xludf.dummyfunction("""COMPUTED_VALUE"""),"HPL НФТ-2 Нестандарт [Дуб Чарлстон]")</f>
        <v>HPL НФТ-2 Нестандарт [Дуб Чарлстон]</v>
      </c>
      <c r="B100" s="43" t="n">
        <f aca="false">IFERROR(__xludf.dummyfunction("""COMPUTED_VALUE"""),16200)</f>
        <v>16200</v>
      </c>
      <c r="C100" s="43"/>
      <c r="D100" s="43"/>
      <c r="E100" s="44"/>
      <c r="F100" s="43"/>
      <c r="G100" s="43"/>
      <c r="H100" s="10"/>
      <c r="I100" s="52" t="str">
        <f aca="false">IFERROR(__xludf.dummyfunction("""COMPUTED_VALUE"""),"Бетон светлый")</f>
        <v>Бетон светлый</v>
      </c>
      <c r="J100" s="37" t="n">
        <f aca="false">IFERROR(__xludf.dummyfunction("""COMPUTED_VALUE"""),148)</f>
        <v>148</v>
      </c>
      <c r="K100" s="10"/>
      <c r="L100" s="27" t="str">
        <f aca="false">IFERROR(__xludf.dummyfunction("""COMPUTED_VALUE"""),"МДФ-панель [Внутренняя] - Ф-1 - Нестандарт")</f>
        <v>МДФ-панель [Внутренняя] - Ф-1 - Нестандарт</v>
      </c>
      <c r="M100" s="26"/>
      <c r="N100" s="12"/>
      <c r="O100" s="12"/>
      <c r="P100" s="12"/>
      <c r="Q100" s="12"/>
      <c r="R100" s="12"/>
      <c r="S100" s="12"/>
      <c r="T100" s="12"/>
      <c r="U100" s="12"/>
    </row>
    <row r="101" customFormat="false" ht="17.35" hidden="false" customHeight="false" outlineLevel="0" collapsed="false">
      <c r="A101" s="38" t="str">
        <f aca="false">IFERROR(__xludf.dummyfunction("""COMPUTED_VALUE"""),"HPL НФТ-3 Стандарт [Дуб Чарлстон]")</f>
        <v>HPL НФТ-3 Стандарт [Дуб Чарлстон]</v>
      </c>
      <c r="B101" s="43" t="n">
        <f aca="false">IFERROR(__xludf.dummyfunction("""COMPUTED_VALUE"""),13500)</f>
        <v>13500</v>
      </c>
      <c r="C101" s="43"/>
      <c r="D101" s="43"/>
      <c r="E101" s="44"/>
      <c r="F101" s="43"/>
      <c r="G101" s="43"/>
      <c r="H101" s="10"/>
      <c r="I101" s="52" t="str">
        <f aca="false">IFERROR(__xludf.dummyfunction("""COMPUTED_VALUE"""),"Бетон снежный")</f>
        <v>Бетон снежный</v>
      </c>
      <c r="J101" s="37" t="n">
        <f aca="false">IFERROR(__xludf.dummyfunction("""COMPUTED_VALUE"""),148)</f>
        <v>148</v>
      </c>
      <c r="K101" s="10"/>
      <c r="L101" s="27" t="str">
        <f aca="false">IFERROR(__xludf.dummyfunction("""COMPUTED_VALUE"""),"МДФ-панель [Внутренняя] - Ф-6 - Стандарт")</f>
        <v>МДФ-панель [Внутренняя] - Ф-6 - Стандарт</v>
      </c>
      <c r="M101" s="26"/>
      <c r="N101" s="12"/>
      <c r="O101" s="12"/>
      <c r="P101" s="12"/>
      <c r="Q101" s="12"/>
      <c r="R101" s="12"/>
      <c r="S101" s="12"/>
      <c r="T101" s="12"/>
      <c r="U101" s="12"/>
    </row>
    <row r="102" customFormat="false" ht="17.35" hidden="false" customHeight="false" outlineLevel="0" collapsed="false">
      <c r="A102" s="38" t="str">
        <f aca="false">IFERROR(__xludf.dummyfunction("""COMPUTED_VALUE"""),"HPL НФТ-3 Нестандарт [Дуб Чарлстон]")</f>
        <v>HPL НФТ-3 Нестандарт [Дуб Чарлстон]</v>
      </c>
      <c r="B102" s="43" t="n">
        <f aca="false">IFERROR(__xludf.dummyfunction("""COMPUTED_VALUE"""),17200)</f>
        <v>17200</v>
      </c>
      <c r="C102" s="43"/>
      <c r="D102" s="43"/>
      <c r="E102" s="44"/>
      <c r="F102" s="43"/>
      <c r="G102" s="43"/>
      <c r="H102" s="10"/>
      <c r="I102" s="52" t="str">
        <f aca="false">IFERROR(__xludf.dummyfunction("""COMPUTED_VALUE"""),"Бетон тёмный")</f>
        <v>Бетон тёмный</v>
      </c>
      <c r="J102" s="37" t="n">
        <f aca="false">IFERROR(__xludf.dummyfunction("""COMPUTED_VALUE"""),138)</f>
        <v>138</v>
      </c>
      <c r="K102" s="10"/>
      <c r="L102" s="27" t="str">
        <f aca="false">IFERROR(__xludf.dummyfunction("""COMPUTED_VALUE"""),"МДФ-панель [Внутренняя] - Ф-6 - Нестандарт")</f>
        <v>МДФ-панель [Внутренняя] - Ф-6 - Нестандарт</v>
      </c>
      <c r="M102" s="26"/>
      <c r="N102" s="12"/>
      <c r="O102" s="12"/>
      <c r="P102" s="12"/>
      <c r="Q102" s="12"/>
      <c r="R102" s="12"/>
      <c r="S102" s="12"/>
      <c r="T102" s="12"/>
      <c r="U102" s="12"/>
    </row>
    <row r="103" customFormat="false" ht="17.35" hidden="false" customHeight="false" outlineLevel="0" collapsed="false">
      <c r="A103" s="38" t="str">
        <f aca="false">IFERROR(__xludf.dummyfunction("""COMPUTED_VALUE"""),"HPL НФТ-2 Стандарт [Вудлайн тёмный]")</f>
        <v>HPL НФТ-2 Стандарт [Вудлайн тёмный]</v>
      </c>
      <c r="B103" s="53" t="n">
        <f aca="false">IFERROR(__xludf.dummyfunction("""COMPUTED_VALUE"""),13400)</f>
        <v>13400</v>
      </c>
      <c r="C103" s="43"/>
      <c r="D103" s="43"/>
      <c r="E103" s="44"/>
      <c r="F103" s="43"/>
      <c r="G103" s="43"/>
      <c r="H103" s="10"/>
      <c r="I103" s="52" t="str">
        <f aca="false">IFERROR(__xludf.dummyfunction("""COMPUTED_VALUE"""),"Верона графит")</f>
        <v>Верона графит</v>
      </c>
      <c r="J103" s="37" t="n">
        <f aca="false">IFERROR(__xludf.dummyfunction("""COMPUTED_VALUE"""),159)</f>
        <v>159</v>
      </c>
      <c r="K103" s="10"/>
      <c r="L103" s="27" t="str">
        <f aca="false">IFERROR(__xludf.dummyfunction("""COMPUTED_VALUE"""),"МДФ-панель [Внутренняя] - Ф-7 - Стандарт")</f>
        <v>МДФ-панель [Внутренняя] - Ф-7 - Стандарт</v>
      </c>
      <c r="M103" s="26"/>
      <c r="N103" s="12"/>
      <c r="O103" s="12"/>
      <c r="P103" s="12"/>
      <c r="Q103" s="12"/>
      <c r="R103" s="12"/>
      <c r="S103" s="12"/>
      <c r="T103" s="12"/>
      <c r="U103" s="12"/>
    </row>
    <row r="104" customFormat="false" ht="17.35" hidden="false" customHeight="false" outlineLevel="0" collapsed="false">
      <c r="A104" s="38" t="str">
        <f aca="false">IFERROR(__xludf.dummyfunction("""COMPUTED_VALUE"""),"HPL НФТ-2 Нестандарт [Вудлайн тёмный]")</f>
        <v>HPL НФТ-2 Нестандарт [Вудлайн тёмный]</v>
      </c>
      <c r="B104" s="43" t="n">
        <f aca="false">IFERROR(__xludf.dummyfunction("""COMPUTED_VALUE"""),17100)</f>
        <v>17100</v>
      </c>
      <c r="C104" s="43"/>
      <c r="D104" s="43"/>
      <c r="E104" s="44"/>
      <c r="F104" s="43"/>
      <c r="G104" s="43"/>
      <c r="H104" s="10"/>
      <c r="I104" s="54" t="str">
        <f aca="false">IFERROR(__xludf.dummyfunction("""COMPUTED_VALUE"""),"Грей")</f>
        <v>Грей</v>
      </c>
      <c r="J104" s="37" t="n">
        <f aca="false">IFERROR(__xludf.dummyfunction("""COMPUTED_VALUE"""),153)</f>
        <v>153</v>
      </c>
      <c r="K104" s="10"/>
      <c r="L104" s="27" t="str">
        <f aca="false">IFERROR(__xludf.dummyfunction("""COMPUTED_VALUE"""),"МДФ-панель [Внутренняя] - Ф-7 - Нестандарт")</f>
        <v>МДФ-панель [Внутренняя] - Ф-7 - Нестандарт</v>
      </c>
      <c r="M104" s="26"/>
      <c r="N104" s="12"/>
      <c r="O104" s="12"/>
      <c r="P104" s="12"/>
      <c r="Q104" s="12"/>
      <c r="R104" s="12"/>
      <c r="S104" s="12"/>
      <c r="T104" s="12"/>
      <c r="U104" s="12"/>
    </row>
    <row r="105" customFormat="false" ht="17.35" hidden="false" customHeight="false" outlineLevel="0" collapsed="false">
      <c r="A105" s="38" t="str">
        <f aca="false">IFERROR(__xludf.dummyfunction("""COMPUTED_VALUE"""),"HPL НФТ-3 Стандарт [Вудлайн тёмный]")</f>
        <v>HPL НФТ-3 Стандарт [Вудлайн тёмный]</v>
      </c>
      <c r="B105" s="43" t="n">
        <f aca="false">IFERROR(__xludf.dummyfunction("""COMPUTED_VALUE"""),14400)</f>
        <v>14400</v>
      </c>
      <c r="C105" s="43"/>
      <c r="D105" s="43"/>
      <c r="E105" s="44"/>
      <c r="F105" s="43"/>
      <c r="G105" s="43"/>
      <c r="H105" s="10"/>
      <c r="I105" s="52" t="str">
        <f aca="false">IFERROR(__xludf.dummyfunction("""COMPUTED_VALUE"""),"Дуб бодега золотой")</f>
        <v>Дуб бодега золотой</v>
      </c>
      <c r="J105" s="37" t="n">
        <f aca="false">IFERROR(__xludf.dummyfunction("""COMPUTED_VALUE"""),142)</f>
        <v>142</v>
      </c>
      <c r="K105" s="10"/>
      <c r="L105" s="27" t="str">
        <f aca="false">IFERROR(__xludf.dummyfunction("""COMPUTED_VALUE"""),"МДФ-панель [Внутренняя] - Ф-8 - Стандарт")</f>
        <v>МДФ-панель [Внутренняя] - Ф-8 - Стандарт</v>
      </c>
      <c r="M105" s="26"/>
      <c r="N105" s="12"/>
      <c r="O105" s="12"/>
      <c r="P105" s="12"/>
      <c r="Q105" s="12"/>
      <c r="R105" s="12"/>
      <c r="S105" s="12"/>
      <c r="T105" s="12"/>
      <c r="U105" s="12"/>
    </row>
    <row r="106" customFormat="false" ht="17.35" hidden="false" customHeight="false" outlineLevel="0" collapsed="false">
      <c r="A106" s="38" t="str">
        <f aca="false">IFERROR(__xludf.dummyfunction("""COMPUTED_VALUE"""),"HPL НФТ-3 Нестандарт [Вудлайн тёмный]")</f>
        <v>HPL НФТ-3 Нестандарт [Вудлайн тёмный]</v>
      </c>
      <c r="B106" s="43" t="n">
        <f aca="false">IFERROR(__xludf.dummyfunction("""COMPUTED_VALUE"""),18100)</f>
        <v>18100</v>
      </c>
      <c r="C106" s="43"/>
      <c r="D106" s="43"/>
      <c r="E106" s="44"/>
      <c r="F106" s="43"/>
      <c r="G106" s="43"/>
      <c r="H106" s="10"/>
      <c r="I106" s="52" t="str">
        <f aca="false">IFERROR(__xludf.dummyfunction("""COMPUTED_VALUE"""),"Дуб бодега коричневый")</f>
        <v>Дуб бодега коричневый</v>
      </c>
      <c r="J106" s="37" t="n">
        <f aca="false">IFERROR(__xludf.dummyfunction("""COMPUTED_VALUE"""),220)</f>
        <v>220</v>
      </c>
      <c r="K106" s="10"/>
      <c r="L106" s="27" t="str">
        <f aca="false">IFERROR(__xludf.dummyfunction("""COMPUTED_VALUE"""),"МДФ-панель [Внутренняя] - Ф-8 - Нестандарт")</f>
        <v>МДФ-панель [Внутренняя] - Ф-8 - Нестандарт</v>
      </c>
      <c r="M106" s="26"/>
      <c r="N106" s="12"/>
      <c r="O106" s="12"/>
      <c r="P106" s="12"/>
      <c r="Q106" s="12"/>
      <c r="R106" s="12"/>
      <c r="S106" s="12"/>
      <c r="T106" s="12"/>
      <c r="U106" s="12"/>
    </row>
    <row r="107" customFormat="false" ht="17.35" hidden="false" customHeight="false" outlineLevel="0" collapsed="false">
      <c r="A107" s="38" t="str">
        <f aca="false">IFERROR(__xludf.dummyfunction("""COMPUTED_VALUE"""),"HPL НФТ-2 Стандарт [Пиано]")</f>
        <v>HPL НФТ-2 Стандарт [Пиано]</v>
      </c>
      <c r="B107" s="53" t="n">
        <f aca="false">IFERROR(__xludf.dummyfunction("""COMPUTED_VALUE"""),11800)</f>
        <v>11800</v>
      </c>
      <c r="C107" s="43"/>
      <c r="D107" s="43"/>
      <c r="E107" s="44"/>
      <c r="F107" s="43"/>
      <c r="G107" s="43"/>
      <c r="H107" s="10"/>
      <c r="I107" s="52" t="str">
        <f aca="false">IFERROR(__xludf.dummyfunction("""COMPUTED_VALUE"""),"Дуб бодега натуральный")</f>
        <v>Дуб бодега натуральный</v>
      </c>
      <c r="J107" s="37" t="n">
        <f aca="false">IFERROR(__xludf.dummyfunction("""COMPUTED_VALUE"""),170)</f>
        <v>170</v>
      </c>
      <c r="K107" s="10"/>
      <c r="L107" s="19" t="str">
        <f aca="false">IFERROR(__xludf.dummyfunction("""COMPUTED_VALUE"""),"Панели внутрь [Для дверей со стеклопакетом]")</f>
        <v>Панели внутрь [Для дверей со стеклопакетом]</v>
      </c>
      <c r="M107" s="20" t="str">
        <f aca="false">IFERROR(__xludf.dummyfunction("""COMPUTED_VALUE"""),"р\шт")</f>
        <v>р\шт</v>
      </c>
      <c r="N107" s="12"/>
      <c r="O107" s="12"/>
      <c r="P107" s="12"/>
      <c r="Q107" s="12"/>
      <c r="R107" s="12"/>
      <c r="S107" s="12"/>
      <c r="T107" s="12"/>
      <c r="U107" s="12"/>
    </row>
    <row r="108" customFormat="false" ht="17.35" hidden="false" customHeight="false" outlineLevel="0" collapsed="false">
      <c r="A108" s="38" t="str">
        <f aca="false">IFERROR(__xludf.dummyfunction("""COMPUTED_VALUE"""),"HPL НФТ-2 Нестандарт [Пиано]")</f>
        <v>HPL НФТ-2 Нестандарт [Пиано]</v>
      </c>
      <c r="B108" s="43" t="n">
        <f aca="false">IFERROR(__xludf.dummyfunction("""COMPUTED_VALUE"""),15500)</f>
        <v>15500</v>
      </c>
      <c r="C108" s="43"/>
      <c r="D108" s="43"/>
      <c r="E108" s="44"/>
      <c r="F108" s="43"/>
      <c r="G108" s="43"/>
      <c r="H108" s="10"/>
      <c r="I108" s="52" t="str">
        <f aca="false">IFERROR(__xludf.dummyfunction("""COMPUTED_VALUE"""),"Дуб мадейра песок")</f>
        <v>Дуб мадейра песок</v>
      </c>
      <c r="J108" s="37" t="n">
        <f aca="false">IFERROR(__xludf.dummyfunction("""COMPUTED_VALUE"""),134)</f>
        <v>134</v>
      </c>
      <c r="K108" s="10"/>
      <c r="L108" s="27" t="str">
        <f aca="false">IFERROR(__xludf.dummyfunction("""COMPUTED_VALUE"""),"МДФ-панель [Внутренняя] - Ф-63 Стандарт")</f>
        <v>МДФ-панель [Внутренняя] - Ф-63 Стандарт</v>
      </c>
      <c r="M108" s="26"/>
      <c r="N108" s="12"/>
      <c r="O108" s="12"/>
      <c r="P108" s="12"/>
      <c r="Q108" s="12"/>
      <c r="R108" s="12"/>
      <c r="S108" s="12"/>
      <c r="T108" s="12"/>
      <c r="U108" s="12"/>
    </row>
    <row r="109" customFormat="false" ht="17.35" hidden="false" customHeight="false" outlineLevel="0" collapsed="false">
      <c r="A109" s="38" t="str">
        <f aca="false">IFERROR(__xludf.dummyfunction("""COMPUTED_VALUE"""),"HPL НФТ-3 Стандарт [Пиано]")</f>
        <v>HPL НФТ-3 Стандарт [Пиано]</v>
      </c>
      <c r="B109" s="43" t="n">
        <f aca="false">IFERROR(__xludf.dummyfunction("""COMPUTED_VALUE"""),12800)</f>
        <v>12800</v>
      </c>
      <c r="C109" s="43"/>
      <c r="D109" s="43"/>
      <c r="E109" s="44"/>
      <c r="F109" s="43"/>
      <c r="G109" s="43"/>
      <c r="H109" s="10"/>
      <c r="I109" s="52" t="str">
        <f aca="false">IFERROR(__xludf.dummyfunction("""COMPUTED_VALUE"""),"Дуб мадейра янтарь")</f>
        <v>Дуб мадейра янтарь</v>
      </c>
      <c r="J109" s="37" t="n">
        <f aca="false">IFERROR(__xludf.dummyfunction("""COMPUTED_VALUE"""),134)</f>
        <v>134</v>
      </c>
      <c r="K109" s="10"/>
      <c r="L109" s="27" t="str">
        <f aca="false">IFERROR(__xludf.dummyfunction("""COMPUTED_VALUE"""),"МДФ-панель [Внутренняя] - Ф-63 Нестандарт")</f>
        <v>МДФ-панель [Внутренняя] - Ф-63 Нестандарт</v>
      </c>
      <c r="M109" s="26"/>
      <c r="N109" s="12"/>
      <c r="O109" s="12"/>
      <c r="P109" s="12"/>
      <c r="Q109" s="12"/>
      <c r="R109" s="12"/>
      <c r="S109" s="12"/>
      <c r="T109" s="12"/>
      <c r="U109" s="12"/>
    </row>
    <row r="110" customFormat="false" ht="17.35" hidden="false" customHeight="false" outlineLevel="0" collapsed="false">
      <c r="A110" s="38" t="str">
        <f aca="false">IFERROR(__xludf.dummyfunction("""COMPUTED_VALUE"""),"HPL НФТ-3 Нестандарт [Пиано]")</f>
        <v>HPL НФТ-3 Нестандарт [Пиано]</v>
      </c>
      <c r="B110" s="43" t="n">
        <f aca="false">IFERROR(__xludf.dummyfunction("""COMPUTED_VALUE"""),16500)</f>
        <v>16500</v>
      </c>
      <c r="C110" s="43"/>
      <c r="D110" s="43"/>
      <c r="E110" s="44"/>
      <c r="F110" s="43"/>
      <c r="G110" s="43"/>
      <c r="H110" s="10"/>
      <c r="I110" s="52" t="str">
        <f aca="false">IFERROR(__xludf.dummyfunction("""COMPUTED_VALUE"""),"Дуб морёный")</f>
        <v>Дуб морёный</v>
      </c>
      <c r="J110" s="37" t="n">
        <f aca="false">IFERROR(__xludf.dummyfunction("""COMPUTED_VALUE"""),245)</f>
        <v>245</v>
      </c>
      <c r="K110" s="10"/>
      <c r="L110" s="27" t="str">
        <f aca="false">IFERROR(__xludf.dummyfunction("""COMPUTED_VALUE"""),"МДФ-панель [Внутренняя] - Ф-81 Стандарт")</f>
        <v>МДФ-панель [Внутренняя] - Ф-81 Стандарт</v>
      </c>
      <c r="M110" s="26"/>
      <c r="N110" s="12"/>
      <c r="O110" s="12"/>
      <c r="P110" s="12"/>
      <c r="Q110" s="12"/>
      <c r="R110" s="12"/>
      <c r="S110" s="12"/>
      <c r="T110" s="12"/>
      <c r="U110" s="12"/>
    </row>
    <row r="111" customFormat="false" ht="17.35" hidden="false" customHeight="false" outlineLevel="0" collapsed="false">
      <c r="A111" s="38" t="str">
        <f aca="false">IFERROR(__xludf.dummyfunction("""COMPUTED_VALUE"""),"HPL НФТ-2 Стандарт [Вяз шоколадный]")</f>
        <v>HPL НФТ-2 Стандарт [Вяз шоколадный]</v>
      </c>
      <c r="B111" s="53" t="n">
        <f aca="false">IFERROR(__xludf.dummyfunction("""COMPUTED_VALUE"""),14300)</f>
        <v>14300</v>
      </c>
      <c r="C111" s="43"/>
      <c r="D111" s="43"/>
      <c r="E111" s="44"/>
      <c r="F111" s="43"/>
      <c r="G111" s="43"/>
      <c r="H111" s="10"/>
      <c r="I111" s="52" t="str">
        <f aca="false">IFERROR(__xludf.dummyfunction("""COMPUTED_VALUE"""),"Дуб седан белый")</f>
        <v>Дуб седан белый</v>
      </c>
      <c r="J111" s="37" t="n">
        <f aca="false">IFERROR(__xludf.dummyfunction("""COMPUTED_VALUE"""),134)</f>
        <v>134</v>
      </c>
      <c r="K111" s="10"/>
      <c r="L111" s="27" t="str">
        <f aca="false">IFERROR(__xludf.dummyfunction("""COMPUTED_VALUE"""),"МДФ-панель [Внутренняя] - Ф-81 Нестандарт")</f>
        <v>МДФ-панель [Внутренняя] - Ф-81 Нестандарт</v>
      </c>
      <c r="M111" s="26"/>
      <c r="N111" s="12"/>
      <c r="O111" s="12"/>
      <c r="P111" s="12"/>
      <c r="Q111" s="12"/>
      <c r="R111" s="12"/>
      <c r="S111" s="12"/>
      <c r="T111" s="12"/>
      <c r="U111" s="12"/>
    </row>
    <row r="112" customFormat="false" ht="17.35" hidden="false" customHeight="false" outlineLevel="0" collapsed="false">
      <c r="A112" s="38" t="str">
        <f aca="false">IFERROR(__xludf.dummyfunction("""COMPUTED_VALUE"""),"HPL НФТ-2 Нестандарт [Вяз шоколадныйо]")</f>
        <v>HPL НФТ-2 Нестандарт [Вяз шоколадныйо]</v>
      </c>
      <c r="B112" s="43" t="n">
        <f aca="false">IFERROR(__xludf.dummyfunction("""COMPUTED_VALUE"""),17900)</f>
        <v>17900</v>
      </c>
      <c r="C112" s="43"/>
      <c r="D112" s="43"/>
      <c r="E112" s="44"/>
      <c r="F112" s="43"/>
      <c r="G112" s="43"/>
      <c r="H112" s="10"/>
      <c r="I112" s="52" t="str">
        <f aca="false">IFERROR(__xludf.dummyfunction("""COMPUTED_VALUE"""),"Дуб седан сиеста")</f>
        <v>Дуб седан сиеста</v>
      </c>
      <c r="J112" s="37" t="n">
        <f aca="false">IFERROR(__xludf.dummyfunction("""COMPUTED_VALUE"""),153)</f>
        <v>153</v>
      </c>
      <c r="K112" s="10"/>
      <c r="L112" s="27" t="str">
        <f aca="false">IFERROR(__xludf.dummyfunction("""COMPUTED_VALUE"""),"МДФ-панель [Внутренняя] - Ф-83 Стандарт")</f>
        <v>МДФ-панель [Внутренняя] - Ф-83 Стандарт</v>
      </c>
      <c r="M112" s="26"/>
      <c r="N112" s="12"/>
      <c r="O112" s="12"/>
      <c r="P112" s="12"/>
      <c r="Q112" s="12"/>
      <c r="R112" s="12"/>
      <c r="S112" s="12"/>
      <c r="T112" s="12"/>
      <c r="U112" s="12"/>
    </row>
    <row r="113" customFormat="false" ht="17.35" hidden="false" customHeight="false" outlineLevel="0" collapsed="false">
      <c r="A113" s="38" t="str">
        <f aca="false">IFERROR(__xludf.dummyfunction("""COMPUTED_VALUE"""),"HPL НФТ-3 Стандарт [Вяз шоколадный]")</f>
        <v>HPL НФТ-3 Стандарт [Вяз шоколадный]</v>
      </c>
      <c r="B113" s="43" t="n">
        <f aca="false">IFERROR(__xludf.dummyfunction("""COMPUTED_VALUE"""),15300)</f>
        <v>15300</v>
      </c>
      <c r="C113" s="43"/>
      <c r="D113" s="43"/>
      <c r="E113" s="44"/>
      <c r="F113" s="43"/>
      <c r="G113" s="43"/>
      <c r="H113" s="10"/>
      <c r="I113" s="52" t="str">
        <f aca="false">IFERROR(__xludf.dummyfunction("""COMPUTED_VALUE"""),"Дуб честерфилд лайт-грей")</f>
        <v>Дуб честерфилд лайт-грей</v>
      </c>
      <c r="J113" s="37" t="n">
        <f aca="false">IFERROR(__xludf.dummyfunction("""COMPUTED_VALUE"""),153)</f>
        <v>153</v>
      </c>
      <c r="K113" s="10"/>
      <c r="L113" s="27" t="str">
        <f aca="false">IFERROR(__xludf.dummyfunction("""COMPUTED_VALUE"""),"МДФ-панель [Внутренняя] - Ф-83 Нестандарт")</f>
        <v>МДФ-панель [Внутренняя] - Ф-83 Нестандарт</v>
      </c>
      <c r="M113" s="26"/>
      <c r="N113" s="12"/>
      <c r="O113" s="12"/>
      <c r="P113" s="12"/>
      <c r="Q113" s="12"/>
      <c r="R113" s="12"/>
      <c r="S113" s="12"/>
      <c r="T113" s="12"/>
      <c r="U113" s="12"/>
    </row>
    <row r="114" customFormat="false" ht="17.35" hidden="false" customHeight="false" outlineLevel="0" collapsed="false">
      <c r="A114" s="38" t="str">
        <f aca="false">IFERROR(__xludf.dummyfunction("""COMPUTED_VALUE"""),"HPL НФТ-3 Нестандарт [Вяз шоколадный]")</f>
        <v>HPL НФТ-3 Нестандарт [Вяз шоколадный]</v>
      </c>
      <c r="B114" s="43" t="n">
        <f aca="false">IFERROR(__xludf.dummyfunction("""COMPUTED_VALUE"""),18900)</f>
        <v>18900</v>
      </c>
      <c r="C114" s="43"/>
      <c r="D114" s="43"/>
      <c r="E114" s="44"/>
      <c r="F114" s="43"/>
      <c r="G114" s="43"/>
      <c r="H114" s="10"/>
      <c r="I114" s="54" t="str">
        <f aca="false">IFERROR(__xludf.dummyfunction("""COMPUTED_VALUE"""),"Зелёный камень")</f>
        <v>Зелёный камень</v>
      </c>
      <c r="J114" s="37" t="n">
        <f aca="false">IFERROR(__xludf.dummyfunction("""COMPUTED_VALUE"""),134)</f>
        <v>134</v>
      </c>
      <c r="K114" s="10"/>
      <c r="L114" s="27" t="str">
        <f aca="false">IFERROR(__xludf.dummyfunction("""COMPUTED_VALUE"""),"МДФ-панель [Внутренняя] - Ф-84 Стандарт")</f>
        <v>МДФ-панель [Внутренняя] - Ф-84 Стандарт</v>
      </c>
      <c r="M114" s="26"/>
      <c r="N114" s="12"/>
      <c r="O114" s="12"/>
      <c r="P114" s="12"/>
      <c r="Q114" s="12"/>
      <c r="R114" s="12"/>
      <c r="S114" s="12"/>
      <c r="T114" s="12"/>
      <c r="U114" s="12"/>
    </row>
    <row r="115" customFormat="false" ht="17.35" hidden="false" customHeight="false" outlineLevel="0" collapsed="false">
      <c r="A115" s="38" t="str">
        <f aca="false">IFERROR(__xludf.dummyfunction("""COMPUTED_VALUE"""),"HPL НФТ-4 Стандарт [Дуб Чарлстон + чёрный]")</f>
        <v>HPL НФТ-4 Стандарт [Дуб Чарлстон + чёрный]</v>
      </c>
      <c r="B115" s="43" t="n">
        <f aca="false">IFERROR(__xludf.dummyfunction("""COMPUTED_VALUE"""),15100)</f>
        <v>15100</v>
      </c>
      <c r="C115" s="43"/>
      <c r="D115" s="43"/>
      <c r="E115" s="44"/>
      <c r="F115" s="43"/>
      <c r="G115" s="43"/>
      <c r="H115" s="10"/>
      <c r="I115" s="52" t="str">
        <f aca="false">IFERROR(__xludf.dummyfunction("""COMPUTED_VALUE"""),"Канадский дуб арктик горизонтальный")</f>
        <v>Канадский дуб арктик горизонтальный</v>
      </c>
      <c r="J115" s="37" t="n">
        <f aca="false">IFERROR(__xludf.dummyfunction("""COMPUTED_VALUE"""),148)</f>
        <v>148</v>
      </c>
      <c r="K115" s="10"/>
      <c r="L115" s="27" t="str">
        <f aca="false">IFERROR(__xludf.dummyfunction("""COMPUTED_VALUE"""),"МДФ-панель [Внутренняя] - Ф-84 Нестандарт")</f>
        <v>МДФ-панель [Внутренняя] - Ф-84 Нестандарт</v>
      </c>
      <c r="M115" s="26"/>
      <c r="N115" s="12"/>
      <c r="O115" s="12"/>
      <c r="P115" s="12"/>
      <c r="Q115" s="12"/>
      <c r="R115" s="12"/>
      <c r="S115" s="12"/>
      <c r="T115" s="12"/>
      <c r="U115" s="12"/>
    </row>
    <row r="116" customFormat="false" ht="17.35" hidden="false" customHeight="false" outlineLevel="0" collapsed="false">
      <c r="A116" s="38" t="str">
        <f aca="false">IFERROR(__xludf.dummyfunction("""COMPUTED_VALUE"""),"HPL НФТ-4 Нестандарт [Дуб Чарлстон + чёрный]")</f>
        <v>HPL НФТ-4 Нестандарт [Дуб Чарлстон + чёрный]</v>
      </c>
      <c r="B116" s="43" t="n">
        <f aca="false">IFERROR(__xludf.dummyfunction("""COMPUTED_VALUE"""),18800)</f>
        <v>18800</v>
      </c>
      <c r="C116" s="43"/>
      <c r="D116" s="43"/>
      <c r="E116" s="44"/>
      <c r="F116" s="43"/>
      <c r="G116" s="43"/>
      <c r="H116" s="10"/>
      <c r="I116" s="52" t="str">
        <f aca="false">IFERROR(__xludf.dummyfunction("""COMPUTED_VALUE"""),"Канадский дуб пацифик горизонтальный")</f>
        <v>Канадский дуб пацифик горизонтальный</v>
      </c>
      <c r="J116" s="37" t="n">
        <f aca="false">IFERROR(__xludf.dummyfunction("""COMPUTED_VALUE"""),147)</f>
        <v>147</v>
      </c>
      <c r="K116" s="10"/>
      <c r="L116" s="27" t="str">
        <f aca="false">IFERROR(__xludf.dummyfunction("""COMPUTED_VALUE"""),"МДФ-панель [Внутренняя] - Ф-84 Стандарт")</f>
        <v>МДФ-панель [Внутренняя] - Ф-84 Стандарт</v>
      </c>
      <c r="M116" s="26"/>
      <c r="N116" s="12"/>
      <c r="O116" s="12"/>
      <c r="P116" s="12"/>
      <c r="Q116" s="12"/>
      <c r="R116" s="12"/>
      <c r="S116" s="12"/>
      <c r="T116" s="12"/>
      <c r="U116" s="12"/>
    </row>
    <row r="117" customFormat="false" ht="17.35" hidden="false" customHeight="false" outlineLevel="0" collapsed="false">
      <c r="A117" s="38" t="str">
        <f aca="false">IFERROR(__xludf.dummyfunction("""COMPUTED_VALUE"""),"HPL НФТ-5 Стандарт [Дуб Чарлстон + чёрный]")</f>
        <v>HPL НФТ-5 Стандарт [Дуб Чарлстон + чёрный]</v>
      </c>
      <c r="B117" s="43" t="n">
        <f aca="false">IFERROR(__xludf.dummyfunction("""COMPUTED_VALUE"""),14100)</f>
        <v>14100</v>
      </c>
      <c r="C117" s="43"/>
      <c r="D117" s="43"/>
      <c r="E117" s="44"/>
      <c r="F117" s="43"/>
      <c r="G117" s="43"/>
      <c r="H117" s="10"/>
      <c r="I117" s="54" t="str">
        <f aca="false">IFERROR(__xludf.dummyfunction("""COMPUTED_VALUE"""),"Красная Бургундия")</f>
        <v>Красная Бургундия</v>
      </c>
      <c r="J117" s="37" t="n">
        <f aca="false">IFERROR(__xludf.dummyfunction("""COMPUTED_VALUE"""),153)</f>
        <v>153</v>
      </c>
      <c r="K117" s="10"/>
      <c r="L117" s="27" t="str">
        <f aca="false">IFERROR(__xludf.dummyfunction("""COMPUTED_VALUE"""),"МДФ-панель [Внутренняя] - Ф-84 Нестандарт")</f>
        <v>МДФ-панель [Внутренняя] - Ф-84 Нестандарт</v>
      </c>
      <c r="M117" s="26"/>
      <c r="N117" s="12"/>
      <c r="O117" s="12"/>
      <c r="P117" s="12"/>
      <c r="Q117" s="12"/>
      <c r="R117" s="12"/>
      <c r="S117" s="12"/>
      <c r="T117" s="12"/>
      <c r="U117" s="12"/>
    </row>
    <row r="118" customFormat="false" ht="17.35" hidden="false" customHeight="false" outlineLevel="0" collapsed="false">
      <c r="A118" s="38" t="str">
        <f aca="false">IFERROR(__xludf.dummyfunction("""COMPUTED_VALUE"""),"HPL НФТ-5 Нестандарт [Дуб Чарлстон + чёрный]")</f>
        <v>HPL НФТ-5 Нестандарт [Дуб Чарлстон + чёрный]</v>
      </c>
      <c r="B118" s="43" t="n">
        <f aca="false">IFERROR(__xludf.dummyfunction("""COMPUTED_VALUE"""),17800)</f>
        <v>17800</v>
      </c>
      <c r="C118" s="43"/>
      <c r="D118" s="43"/>
      <c r="E118" s="44"/>
      <c r="F118" s="43"/>
      <c r="G118" s="43"/>
      <c r="H118" s="10"/>
      <c r="I118" s="52" t="str">
        <f aca="false">IFERROR(__xludf.dummyfunction("""COMPUTED_VALUE"""),"Лиственница белая")</f>
        <v>Лиственница белая</v>
      </c>
      <c r="J118" s="37" t="n">
        <f aca="false">IFERROR(__xludf.dummyfunction("""COMPUTED_VALUE"""),122)</f>
        <v>122</v>
      </c>
      <c r="K118" s="10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 customFormat="false" ht="17.35" hidden="false" customHeight="false" outlineLevel="0" collapsed="false">
      <c r="A119" s="38" t="str">
        <f aca="false">IFERROR(__xludf.dummyfunction("""COMPUTED_VALUE"""),"HPL НФТ-4 Стандарт [Вудлайн тёмный + чёрный]")</f>
        <v>HPL НФТ-4 Стандарт [Вудлайн тёмный + чёрный]</v>
      </c>
      <c r="B119" s="43" t="n">
        <f aca="false">IFERROR(__xludf.dummyfunction("""COMPUTED_VALUE"""),15600)</f>
        <v>15600</v>
      </c>
      <c r="C119" s="43"/>
      <c r="D119" s="43"/>
      <c r="E119" s="44"/>
      <c r="F119" s="43"/>
      <c r="G119" s="43"/>
      <c r="H119" s="10"/>
      <c r="I119" s="52" t="str">
        <f aca="false">IFERROR(__xludf.dummyfunction("""COMPUTED_VALUE"""),"Лиственница капучино")</f>
        <v>Лиственница капучино</v>
      </c>
      <c r="J119" s="37" t="n">
        <f aca="false">IFERROR(__xludf.dummyfunction("""COMPUTED_VALUE"""),145)</f>
        <v>145</v>
      </c>
      <c r="K119" s="10"/>
      <c r="L119" s="12"/>
      <c r="M119" s="12"/>
      <c r="N119" s="12"/>
      <c r="O119" s="12"/>
      <c r="P119" s="12"/>
      <c r="Q119" s="12"/>
      <c r="R119" s="12"/>
      <c r="S119" s="12"/>
      <c r="T119" s="12"/>
      <c r="U119" s="12"/>
    </row>
    <row r="120" customFormat="false" ht="17.35" hidden="false" customHeight="false" outlineLevel="0" collapsed="false">
      <c r="A120" s="38" t="str">
        <f aca="false">IFERROR(__xludf.dummyfunction("""COMPUTED_VALUE"""),"HPL НФТ-4 Нестандарт [Вудлайн тёмный  + чёрный]")</f>
        <v>HPL НФТ-4 Нестандарт [Вудлайн тёмный  + чёрный]</v>
      </c>
      <c r="B120" s="43" t="n">
        <f aca="false">IFERROR(__xludf.dummyfunction("""COMPUTED_VALUE"""),19300)</f>
        <v>19300</v>
      </c>
      <c r="C120" s="43"/>
      <c r="D120" s="43"/>
      <c r="E120" s="44"/>
      <c r="F120" s="43"/>
      <c r="G120" s="43"/>
      <c r="H120" s="10"/>
      <c r="I120" s="52" t="str">
        <f aca="false">IFERROR(__xludf.dummyfunction("""COMPUTED_VALUE"""),"Лофт белый")</f>
        <v>Лофт белый</v>
      </c>
      <c r="J120" s="37" t="n">
        <f aca="false">IFERROR(__xludf.dummyfunction("""COMPUTED_VALUE"""),168)</f>
        <v>168</v>
      </c>
      <c r="K120" s="10"/>
      <c r="L120" s="55" t="str">
        <f aca="false">IFERROR(__xludf.dummyfunction("""COMPUTED_VALUE"""),"снизу оставить место для мдф наличников, уточнить по наличникам")</f>
        <v>снизу оставить место для мдф наличников, уточнить по наличникам</v>
      </c>
      <c r="M120" s="12"/>
      <c r="N120" s="12"/>
      <c r="O120" s="12"/>
      <c r="P120" s="12"/>
      <c r="Q120" s="12"/>
      <c r="R120" s="12"/>
      <c r="S120" s="12"/>
      <c r="T120" s="12"/>
      <c r="U120" s="12"/>
    </row>
    <row r="121" customFormat="false" ht="17.35" hidden="false" customHeight="false" outlineLevel="0" collapsed="false">
      <c r="A121" s="38" t="str">
        <f aca="false">IFERROR(__xludf.dummyfunction("""COMPUTED_VALUE"""),"HPL НФТ-5 Стандарт [Вудлайн тёмный  + чёрный]")</f>
        <v>HPL НФТ-5 Стандарт [Вудлайн тёмный  + чёрный]</v>
      </c>
      <c r="B121" s="43" t="n">
        <f aca="false">IFERROR(__xludf.dummyfunction("""COMPUTED_VALUE"""),14600)</f>
        <v>14600</v>
      </c>
      <c r="C121" s="43"/>
      <c r="D121" s="43"/>
      <c r="E121" s="44"/>
      <c r="F121" s="43"/>
      <c r="G121" s="43"/>
      <c r="H121" s="10"/>
      <c r="I121" s="54" t="str">
        <f aca="false">IFERROR(__xludf.dummyfunction("""COMPUTED_VALUE"""),"Морская волна")</f>
        <v>Морская волна</v>
      </c>
      <c r="J121" s="37" t="n">
        <f aca="false">IFERROR(__xludf.dummyfunction("""COMPUTED_VALUE"""),153)</f>
        <v>153</v>
      </c>
      <c r="K121" s="10"/>
      <c r="L121" s="55" t="str">
        <f aca="false">IFERROR(__xludf.dummyfunction("""COMPUTED_VALUE"""),"проставить сложность панелей внутри")</f>
        <v>проставить сложность панелей внутри</v>
      </c>
      <c r="M121" s="12"/>
      <c r="N121" s="12"/>
      <c r="O121" s="12"/>
      <c r="P121" s="12"/>
      <c r="Q121" s="12"/>
      <c r="R121" s="12"/>
      <c r="S121" s="12"/>
      <c r="T121" s="12"/>
      <c r="U121" s="12"/>
    </row>
    <row r="122" customFormat="false" ht="17.35" hidden="false" customHeight="false" outlineLevel="0" collapsed="false">
      <c r="A122" s="38" t="str">
        <f aca="false">IFERROR(__xludf.dummyfunction("""COMPUTED_VALUE"""),"HPL НФТ-5 Нестандарт [Вудлайн тёмный  + чёрный]")</f>
        <v>HPL НФТ-5 Нестандарт [Вудлайн тёмный  + чёрный]</v>
      </c>
      <c r="B122" s="43" t="n">
        <f aca="false">IFERROR(__xludf.dummyfunction("""COMPUTED_VALUE"""),18300)</f>
        <v>18300</v>
      </c>
      <c r="C122" s="43"/>
      <c r="D122" s="43"/>
      <c r="E122" s="44"/>
      <c r="F122" s="43"/>
      <c r="G122" s="43"/>
      <c r="H122" s="10"/>
      <c r="I122" s="54" t="str">
        <f aca="false">IFERROR(__xludf.dummyfunction("""COMPUTED_VALUE"""),"Олива")</f>
        <v>Олива</v>
      </c>
      <c r="J122" s="37" t="n">
        <f aca="false">IFERROR(__xludf.dummyfunction("""COMPUTED_VALUE"""),153)</f>
        <v>153</v>
      </c>
      <c r="K122" s="10"/>
      <c r="L122" s="12"/>
      <c r="M122" s="12"/>
      <c r="N122" s="12"/>
      <c r="O122" s="12"/>
      <c r="P122" s="12"/>
      <c r="Q122" s="12"/>
      <c r="R122" s="12"/>
      <c r="S122" s="12"/>
      <c r="T122" s="12"/>
      <c r="U122" s="12"/>
    </row>
    <row r="123" customFormat="false" ht="17.35" hidden="false" customHeight="false" outlineLevel="0" collapsed="false">
      <c r="A123" s="38" t="str">
        <f aca="false">IFERROR(__xludf.dummyfunction("""COMPUTED_VALUE"""),"HPL НФТ-4 Стандарт [Пиано + чёрный]")</f>
        <v>HPL НФТ-4 Стандарт [Пиано + чёрный]</v>
      </c>
      <c r="B123" s="43" t="n">
        <f aca="false">IFERROR(__xludf.dummyfunction("""COMPUTED_VALUE"""),14800)</f>
        <v>14800</v>
      </c>
      <c r="C123" s="43"/>
      <c r="D123" s="43"/>
      <c r="E123" s="44"/>
      <c r="F123" s="43"/>
      <c r="G123" s="43"/>
      <c r="H123" s="10"/>
      <c r="I123" s="52" t="str">
        <f aca="false">IFERROR(__xludf.dummyfunction("""COMPUTED_VALUE"""),"Орех каньон коньяк")</f>
        <v>Орех каньон коньяк</v>
      </c>
      <c r="J123" s="37" t="n">
        <f aca="false">IFERROR(__xludf.dummyfunction("""COMPUTED_VALUE"""),153)</f>
        <v>153</v>
      </c>
      <c r="K123" s="10"/>
      <c r="L123" s="12"/>
      <c r="M123" s="12"/>
      <c r="N123" s="12"/>
      <c r="O123" s="12"/>
      <c r="P123" s="12"/>
      <c r="Q123" s="12"/>
      <c r="R123" s="12"/>
      <c r="S123" s="12"/>
      <c r="T123" s="12"/>
      <c r="U123" s="12"/>
    </row>
    <row r="124" customFormat="false" ht="17.35" hidden="false" customHeight="false" outlineLevel="0" collapsed="false">
      <c r="A124" s="38" t="str">
        <f aca="false">IFERROR(__xludf.dummyfunction("""COMPUTED_VALUE"""),"HPL НФТ-4 Нестандарт [Пиано  + чёрный]")</f>
        <v>HPL НФТ-4 Нестандарт [Пиано  + чёрный]</v>
      </c>
      <c r="B124" s="43" t="n">
        <f aca="false">IFERROR(__xludf.dummyfunction("""COMPUTED_VALUE"""),18400)</f>
        <v>18400</v>
      </c>
      <c r="C124" s="43"/>
      <c r="D124" s="43"/>
      <c r="E124" s="44"/>
      <c r="F124" s="43"/>
      <c r="G124" s="43"/>
      <c r="H124" s="10"/>
      <c r="I124" s="52" t="str">
        <f aca="false">IFERROR(__xludf.dummyfunction("""COMPUTED_VALUE"""),"Ривьера айс")</f>
        <v>Ривьера айс</v>
      </c>
      <c r="J124" s="37" t="n">
        <f aca="false">IFERROR(__xludf.dummyfunction("""COMPUTED_VALUE"""),130)</f>
        <v>130</v>
      </c>
      <c r="K124" s="10"/>
      <c r="L124" s="12"/>
      <c r="M124" s="12"/>
      <c r="N124" s="12"/>
      <c r="O124" s="12"/>
      <c r="P124" s="12"/>
      <c r="Q124" s="12"/>
      <c r="R124" s="12"/>
      <c r="S124" s="12"/>
      <c r="T124" s="12"/>
      <c r="U124" s="12"/>
    </row>
    <row r="125" customFormat="false" ht="17.35" hidden="false" customHeight="false" outlineLevel="0" collapsed="false">
      <c r="A125" s="38" t="str">
        <f aca="false">IFERROR(__xludf.dummyfunction("""COMPUTED_VALUE"""),"HPL НФТ-5 Стандарт [Пиано  + чёрный]")</f>
        <v>HPL НФТ-5 Стандарт [Пиано  + чёрный]</v>
      </c>
      <c r="B125" s="43" t="n">
        <f aca="false">IFERROR(__xludf.dummyfunction("""COMPUTED_VALUE"""),13800)</f>
        <v>13800</v>
      </c>
      <c r="C125" s="43"/>
      <c r="D125" s="43"/>
      <c r="E125" s="44"/>
      <c r="F125" s="43"/>
      <c r="G125" s="43"/>
      <c r="H125" s="10"/>
      <c r="I125" s="54" t="str">
        <f aca="false">IFERROR(__xludf.dummyfunction("""COMPUTED_VALUE"""),"Санд айс")</f>
        <v>Санд айс</v>
      </c>
      <c r="J125" s="37" t="n">
        <f aca="false">IFERROR(__xludf.dummyfunction("""COMPUTED_VALUE"""),263)</f>
        <v>263</v>
      </c>
      <c r="K125" s="10"/>
      <c r="L125" s="12"/>
      <c r="M125" s="12"/>
      <c r="N125" s="12"/>
      <c r="O125" s="12"/>
      <c r="P125" s="12"/>
      <c r="Q125" s="12"/>
      <c r="R125" s="12"/>
      <c r="S125" s="12"/>
      <c r="T125" s="12"/>
      <c r="U125" s="12"/>
    </row>
    <row r="126" customFormat="false" ht="17.35" hidden="false" customHeight="false" outlineLevel="0" collapsed="false">
      <c r="A126" s="38" t="str">
        <f aca="false">IFERROR(__xludf.dummyfunction("""COMPUTED_VALUE"""),"HPL НФТ-5 Нестандарт [Пиано  + чёрный]")</f>
        <v>HPL НФТ-5 Нестандарт [Пиано  + чёрный]</v>
      </c>
      <c r="B126" s="43" t="n">
        <f aca="false">IFERROR(__xludf.dummyfunction("""COMPUTED_VALUE"""),17400)</f>
        <v>17400</v>
      </c>
      <c r="C126" s="43"/>
      <c r="D126" s="43"/>
      <c r="E126" s="44"/>
      <c r="F126" s="43"/>
      <c r="G126" s="43"/>
      <c r="H126" s="10"/>
      <c r="I126" s="54" t="str">
        <f aca="false">IFERROR(__xludf.dummyfunction("""COMPUTED_VALUE"""),"Санд антрацит")</f>
        <v>Санд антрацит</v>
      </c>
      <c r="J126" s="37" t="n">
        <f aca="false">IFERROR(__xludf.dummyfunction("""COMPUTED_VALUE"""),138)</f>
        <v>138</v>
      </c>
      <c r="K126" s="10"/>
      <c r="L126" s="12"/>
      <c r="M126" s="12"/>
      <c r="N126" s="12"/>
      <c r="O126" s="12"/>
      <c r="P126" s="12"/>
      <c r="Q126" s="12"/>
      <c r="R126" s="12"/>
      <c r="S126" s="12"/>
      <c r="T126" s="12"/>
      <c r="U126" s="12"/>
    </row>
    <row r="127" customFormat="false" ht="17.35" hidden="false" customHeight="false" outlineLevel="0" collapsed="false">
      <c r="A127" s="38" t="str">
        <f aca="false">IFERROR(__xludf.dummyfunction("""COMPUTED_VALUE"""),"HPL НФТ-4 Стандарт [Вяз шоколадный + чёрный]")</f>
        <v>HPL НФТ-4 Стандарт [Вяз шоколадный + чёрный]</v>
      </c>
      <c r="B127" s="43" t="n">
        <f aca="false">IFERROR(__xludf.dummyfunction("""COMPUTED_VALUE"""),16000)</f>
        <v>16000</v>
      </c>
      <c r="C127" s="43"/>
      <c r="D127" s="43"/>
      <c r="E127" s="44"/>
      <c r="F127" s="43"/>
      <c r="G127" s="43"/>
      <c r="H127" s="10"/>
      <c r="I127" s="54" t="str">
        <f aca="false">IFERROR(__xludf.dummyfunction("""COMPUTED_VALUE"""),"Санд грей")</f>
        <v>Санд грей</v>
      </c>
      <c r="J127" s="37" t="n">
        <f aca="false">IFERROR(__xludf.dummyfunction("""COMPUTED_VALUE"""),159)</f>
        <v>159</v>
      </c>
      <c r="K127" s="10"/>
      <c r="L127" s="12"/>
      <c r="M127" s="12"/>
      <c r="N127" s="12"/>
      <c r="O127" s="12"/>
      <c r="P127" s="12"/>
      <c r="Q127" s="12"/>
      <c r="R127" s="12"/>
      <c r="S127" s="12"/>
      <c r="T127" s="12"/>
      <c r="U127" s="12"/>
    </row>
    <row r="128" customFormat="false" ht="17.35" hidden="false" customHeight="false" outlineLevel="0" collapsed="false">
      <c r="A128" s="38" t="str">
        <f aca="false">IFERROR(__xludf.dummyfunction("""COMPUTED_VALUE"""),"HPL НФТ-4 Нестандарт [Вяз шоколадный  + чёрный]")</f>
        <v>HPL НФТ-4 Нестандарт [Вяз шоколадный  + чёрный]</v>
      </c>
      <c r="B128" s="43" t="n">
        <f aca="false">IFERROR(__xludf.dummyfunction("""COMPUTED_VALUE"""),19700)</f>
        <v>19700</v>
      </c>
      <c r="C128" s="43"/>
      <c r="D128" s="43"/>
      <c r="E128" s="44"/>
      <c r="F128" s="43"/>
      <c r="G128" s="43"/>
      <c r="H128" s="10"/>
      <c r="I128" s="54" t="str">
        <f aca="false">IFERROR(__xludf.dummyfunction("""COMPUTED_VALUE"""),"Санд дарк грей")</f>
        <v>Санд дарк грей</v>
      </c>
      <c r="J128" s="37" t="n">
        <f aca="false">IFERROR(__xludf.dummyfunction("""COMPUTED_VALUE"""),159)</f>
        <v>159</v>
      </c>
      <c r="K128" s="10"/>
      <c r="L128" s="12"/>
      <c r="M128" s="12"/>
      <c r="N128" s="12"/>
      <c r="O128" s="12"/>
      <c r="P128" s="12"/>
      <c r="Q128" s="12"/>
      <c r="R128" s="12"/>
      <c r="S128" s="12"/>
      <c r="T128" s="12"/>
      <c r="U128" s="12"/>
    </row>
    <row r="129" customFormat="false" ht="17.35" hidden="false" customHeight="false" outlineLevel="0" collapsed="false">
      <c r="A129" s="38" t="str">
        <f aca="false">IFERROR(__xludf.dummyfunction("""COMPUTED_VALUE"""),"HPL НФТ-5 Стандарт [Вяз шоколадный  + чёрный]")</f>
        <v>HPL НФТ-5 Стандарт [Вяз шоколадный  + чёрный]</v>
      </c>
      <c r="B129" s="43" t="n">
        <f aca="false">IFERROR(__xludf.dummyfunction("""COMPUTED_VALUE"""),15000)</f>
        <v>15000</v>
      </c>
      <c r="C129" s="43"/>
      <c r="D129" s="43"/>
      <c r="E129" s="44"/>
      <c r="F129" s="43"/>
      <c r="G129" s="43"/>
      <c r="H129" s="10"/>
      <c r="I129" s="54" t="str">
        <f aca="false">IFERROR(__xludf.dummyfunction("""COMPUTED_VALUE"""),"Санд лайт грей")</f>
        <v>Санд лайт грей</v>
      </c>
      <c r="J129" s="37" t="n">
        <f aca="false">IFERROR(__xludf.dummyfunction("""COMPUTED_VALUE"""),159)</f>
        <v>159</v>
      </c>
      <c r="K129" s="10"/>
      <c r="L129" s="12"/>
      <c r="M129" s="12"/>
      <c r="N129" s="12"/>
      <c r="O129" s="12"/>
      <c r="P129" s="12"/>
      <c r="Q129" s="12"/>
      <c r="R129" s="12"/>
      <c r="S129" s="12"/>
      <c r="T129" s="12"/>
      <c r="U129" s="12"/>
    </row>
    <row r="130" customFormat="false" ht="17.35" hidden="false" customHeight="false" outlineLevel="0" collapsed="false">
      <c r="A130" s="38" t="str">
        <f aca="false">IFERROR(__xludf.dummyfunction("""COMPUTED_VALUE"""),"HPL НФТ-5 Нестандарт [Вяз шоколадный  + чёрный]")</f>
        <v>HPL НФТ-5 Нестандарт [Вяз шоколадный  + чёрный]</v>
      </c>
      <c r="B130" s="43" t="n">
        <f aca="false">IFERROR(__xludf.dummyfunction("""COMPUTED_VALUE"""),18700)</f>
        <v>18700</v>
      </c>
      <c r="C130" s="43"/>
      <c r="D130" s="43"/>
      <c r="E130" s="44"/>
      <c r="F130" s="43"/>
      <c r="G130" s="43"/>
      <c r="H130" s="10"/>
      <c r="I130" s="54" t="str">
        <f aca="false">IFERROR(__xludf.dummyfunction("""COMPUTED_VALUE"""),"Санд миди грей")</f>
        <v>Санд миди грей</v>
      </c>
      <c r="J130" s="37" t="n">
        <f aca="false">IFERROR(__xludf.dummyfunction("""COMPUTED_VALUE"""),159)</f>
        <v>159</v>
      </c>
      <c r="K130" s="10"/>
      <c r="L130" s="12"/>
      <c r="M130" s="12"/>
      <c r="N130" s="12"/>
      <c r="O130" s="12"/>
      <c r="P130" s="12"/>
      <c r="Q130" s="12"/>
      <c r="R130" s="12"/>
      <c r="S130" s="12"/>
      <c r="T130" s="12"/>
      <c r="U130" s="12"/>
    </row>
    <row r="131" customFormat="false" ht="17.35" hidden="false" customHeight="false" outlineLevel="0" collapsed="false">
      <c r="A131" s="38" t="str">
        <f aca="false">IFERROR(__xludf.dummyfunction("""COMPUTED_VALUE"""),"Шуруп 3,5*12")</f>
        <v>Шуруп 3,5*12</v>
      </c>
      <c r="B131" s="43" t="n">
        <f aca="false">IFERROR(__xludf.dummyfunction("""COMPUTED_VALUE"""),0.25)</f>
        <v>0.25</v>
      </c>
      <c r="C131" s="43"/>
      <c r="D131" s="43"/>
      <c r="E131" s="44"/>
      <c r="F131" s="43"/>
      <c r="G131" s="43"/>
      <c r="H131" s="10"/>
      <c r="I131" s="54" t="str">
        <f aca="false">IFERROR(__xludf.dummyfunction("""COMPUTED_VALUE"""),"Санд cмоук")</f>
        <v>Санд cмоук</v>
      </c>
      <c r="J131" s="37" t="n">
        <f aca="false">IFERROR(__xludf.dummyfunction("""COMPUTED_VALUE"""),159)</f>
        <v>159</v>
      </c>
      <c r="K131" s="10"/>
      <c r="L131" s="12"/>
      <c r="M131" s="12"/>
      <c r="N131" s="12"/>
      <c r="O131" s="12"/>
      <c r="P131" s="12"/>
      <c r="Q131" s="12"/>
      <c r="R131" s="12"/>
      <c r="S131" s="12"/>
      <c r="T131" s="12"/>
      <c r="U131" s="12"/>
    </row>
    <row r="132" customFormat="false" ht="17.35" hidden="false" customHeight="false" outlineLevel="0" collapsed="false">
      <c r="A132" s="38" t="str">
        <f aca="false">IFERROR(__xludf.dummyfunction("""COMPUTED_VALUE"""),"Уплотнитель 170")</f>
        <v>Уплотнитель 170</v>
      </c>
      <c r="B132" s="43"/>
      <c r="C132" s="43" t="n">
        <f aca="false">IFERROR(__xludf.dummyfunction("""COMPUTED_VALUE"""),10)</f>
        <v>10</v>
      </c>
      <c r="D132" s="43"/>
      <c r="E132" s="44"/>
      <c r="F132" s="43"/>
      <c r="G132" s="43"/>
      <c r="H132" s="10"/>
      <c r="I132" s="54" t="str">
        <f aca="false">IFERROR(__xludf.dummyfunction("""COMPUTED_VALUE"""),"Секвойя графит")</f>
        <v>Секвойя графит</v>
      </c>
      <c r="J132" s="37" t="n">
        <f aca="false">IFERROR(__xludf.dummyfunction("""COMPUTED_VALUE"""),134)</f>
        <v>134</v>
      </c>
      <c r="K132" s="10"/>
      <c r="L132" s="12"/>
      <c r="M132" s="12"/>
      <c r="N132" s="12"/>
      <c r="O132" s="12"/>
      <c r="P132" s="12"/>
      <c r="Q132" s="12"/>
      <c r="R132" s="12"/>
      <c r="S132" s="12"/>
      <c r="T132" s="12"/>
      <c r="U132" s="12"/>
    </row>
    <row r="133" customFormat="false" ht="17.35" hidden="false" customHeight="false" outlineLevel="0" collapsed="false">
      <c r="A133" s="38" t="str">
        <f aca="false">IFERROR(__xludf.dummyfunction("""COMPUTED_VALUE"""),"Заглушки D22 для рамок стеклопакета")</f>
        <v>Заглушки D22 для рамок стеклопакета</v>
      </c>
      <c r="B133" s="43" t="n">
        <f aca="false">IFERROR(__xludf.dummyfunction("""COMPUTED_VALUE"""),4)</f>
        <v>4</v>
      </c>
      <c r="C133" s="43"/>
      <c r="D133" s="43"/>
      <c r="E133" s="44"/>
      <c r="F133" s="43"/>
      <c r="G133" s="43"/>
      <c r="H133" s="10"/>
      <c r="I133" s="54" t="str">
        <f aca="false">IFERROR(__xludf.dummyfunction("""COMPUTED_VALUE"""),"Секвойя какао")</f>
        <v>Секвойя какао</v>
      </c>
      <c r="J133" s="37" t="n">
        <f aca="false">IFERROR(__xludf.dummyfunction("""COMPUTED_VALUE"""),134)</f>
        <v>134</v>
      </c>
      <c r="K133" s="10"/>
      <c r="L133" s="12"/>
      <c r="M133" s="12"/>
      <c r="N133" s="12"/>
      <c r="O133" s="12"/>
      <c r="P133" s="12"/>
      <c r="Q133" s="12"/>
      <c r="R133" s="12"/>
      <c r="S133" s="12"/>
      <c r="T133" s="12"/>
      <c r="U133" s="12"/>
    </row>
    <row r="134" customFormat="false" ht="17.35" hidden="false" customHeight="false" outlineLevel="0" collapsed="false">
      <c r="A134" s="56" t="str">
        <f aca="false">IFERROR(__xludf.dummyfunction("""COMPUTED_VALUE"""),"Внутренняя наценка Dorston")</f>
        <v>Внутренняя наценка Dorston</v>
      </c>
      <c r="B134" s="43" t="n">
        <f aca="false">IFERROR(__xludf.dummyfunction("""COMPUTED_VALUE"""),30)</f>
        <v>30</v>
      </c>
      <c r="C134" s="43" t="n">
        <f aca="false">IFERROR(__xludf.dummyfunction("""COMPUTED_VALUE"""),250)</f>
        <v>250</v>
      </c>
      <c r="D134" s="43" t="n">
        <f aca="false">IFERROR(__xludf.dummyfunction("""COMPUTED_VALUE"""),180)</f>
        <v>180</v>
      </c>
      <c r="E134" s="44"/>
      <c r="F134" s="43"/>
      <c r="G134" s="43"/>
      <c r="H134" s="10"/>
      <c r="I134" s="54" t="str">
        <f aca="false">IFERROR(__xludf.dummyfunction("""COMPUTED_VALUE"""),"Секвойя латте")</f>
        <v>Секвойя латте</v>
      </c>
      <c r="J134" s="37" t="n">
        <f aca="false">IFERROR(__xludf.dummyfunction("""COMPUTED_VALUE"""),153)</f>
        <v>153</v>
      </c>
      <c r="K134" s="10"/>
      <c r="L134" s="12"/>
      <c r="M134" s="12"/>
      <c r="N134" s="12"/>
      <c r="O134" s="12"/>
      <c r="P134" s="12"/>
      <c r="Q134" s="12"/>
      <c r="R134" s="12"/>
      <c r="S134" s="12"/>
      <c r="T134" s="12"/>
      <c r="U134" s="12"/>
    </row>
    <row r="135" customFormat="false" ht="17.35" hidden="false" customHeight="false" outlineLevel="0" collapsed="false">
      <c r="A135" s="38" t="str">
        <f aca="false">IFERROR(__xludf.dummyfunction("""COMPUTED_VALUE"""),"Kombi")</f>
        <v>Kombi</v>
      </c>
      <c r="B135" s="43" t="n">
        <f aca="false">IFERROR(__xludf.dummyfunction("""COMPUTED_VALUE"""),0)</f>
        <v>0</v>
      </c>
      <c r="C135" s="43"/>
      <c r="D135" s="43"/>
      <c r="E135" s="44"/>
      <c r="F135" s="43"/>
      <c r="G135" s="43"/>
      <c r="H135" s="10"/>
      <c r="I135" s="54" t="str">
        <f aca="false">IFERROR(__xludf.dummyfunction("""COMPUTED_VALUE"""),"Секвойя милк")</f>
        <v>Секвойя милк</v>
      </c>
      <c r="J135" s="37" t="n">
        <f aca="false">IFERROR(__xludf.dummyfunction("""COMPUTED_VALUE"""),153)</f>
        <v>153</v>
      </c>
      <c r="K135" s="10"/>
      <c r="L135" s="12"/>
      <c r="M135" s="12"/>
      <c r="N135" s="12"/>
      <c r="O135" s="12"/>
      <c r="P135" s="12"/>
      <c r="Q135" s="12"/>
      <c r="R135" s="12"/>
      <c r="S135" s="12"/>
      <c r="T135" s="12"/>
      <c r="U135" s="12"/>
    </row>
    <row r="136" customFormat="false" ht="17.35" hidden="false" customHeight="false" outlineLevel="0" collapsed="false">
      <c r="A136" s="38" t="str">
        <f aca="false">IFERROR(__xludf.dummyfunction("""COMPUTED_VALUE"""),"Verso")</f>
        <v>Verso</v>
      </c>
      <c r="B136" s="43" t="n">
        <f aca="false">IFERROR(__xludf.dummyfunction("""COMPUTED_VALUE"""),0)</f>
        <v>0</v>
      </c>
      <c r="C136" s="43"/>
      <c r="D136" s="43"/>
      <c r="E136" s="44"/>
      <c r="F136" s="43"/>
      <c r="G136" s="43"/>
      <c r="H136" s="10"/>
      <c r="I136" s="54" t="str">
        <f aca="false">IFERROR(__xludf.dummyfunction("""COMPUTED_VALUE"""),"Синий")</f>
        <v>Синий</v>
      </c>
      <c r="J136" s="37" t="n">
        <f aca="false">IFERROR(__xludf.dummyfunction("""COMPUTED_VALUE"""),153)</f>
        <v>153</v>
      </c>
      <c r="K136" s="10"/>
      <c r="L136" s="12"/>
      <c r="M136" s="12"/>
      <c r="N136" s="12"/>
      <c r="O136" s="12"/>
      <c r="P136" s="12"/>
      <c r="Q136" s="12"/>
      <c r="R136" s="12"/>
      <c r="S136" s="12"/>
      <c r="T136" s="12"/>
      <c r="U136" s="12"/>
    </row>
    <row r="137" customFormat="false" ht="17.35" hidden="false" customHeight="false" outlineLevel="0" collapsed="false">
      <c r="A137" s="38" t="str">
        <f aca="false">IFERROR(__xludf.dummyfunction("""COMPUTED_VALUE"""),"Forta")</f>
        <v>Forta</v>
      </c>
      <c r="B137" s="43" t="n">
        <f aca="false">IFERROR(__xludf.dummyfunction("""COMPUTED_VALUE"""),0)</f>
        <v>0</v>
      </c>
      <c r="C137" s="43"/>
      <c r="D137" s="43"/>
      <c r="E137" s="44"/>
      <c r="F137" s="43"/>
      <c r="G137" s="43"/>
      <c r="H137" s="10"/>
      <c r="I137" s="52" t="str">
        <f aca="false">IFERROR(__xludf.dummyfunction("""COMPUTED_VALUE"""),"Статус коньяк")</f>
        <v>Статус коньяк</v>
      </c>
      <c r="J137" s="37" t="n">
        <f aca="false">IFERROR(__xludf.dummyfunction("""COMPUTED_VALUE"""),200)</f>
        <v>200</v>
      </c>
      <c r="K137" s="10"/>
      <c r="L137" s="12"/>
      <c r="M137" s="12"/>
      <c r="N137" s="12"/>
      <c r="O137" s="12"/>
      <c r="P137" s="12"/>
      <c r="Q137" s="12"/>
      <c r="R137" s="12"/>
      <c r="S137" s="12"/>
      <c r="T137" s="12"/>
      <c r="U137" s="12"/>
    </row>
    <row r="138" customFormat="false" ht="17.35" hidden="false" customHeight="false" outlineLevel="0" collapsed="false">
      <c r="A138" s="38" t="str">
        <f aca="false">IFERROR(__xludf.dummyfunction("""COMPUTED_VALUE"""),"Stark")</f>
        <v>Stark</v>
      </c>
      <c r="B138" s="43" t="n">
        <f aca="false">IFERROR(__xludf.dummyfunction("""COMPUTED_VALUE"""),0)</f>
        <v>0</v>
      </c>
      <c r="C138" s="43"/>
      <c r="D138" s="43"/>
      <c r="E138" s="44"/>
      <c r="F138" s="43"/>
      <c r="G138" s="43"/>
      <c r="H138" s="10"/>
      <c r="I138" s="54" t="str">
        <f aca="false">IFERROR(__xludf.dummyfunction("""COMPUTED_VALUE"""),"Чёрный матовый")</f>
        <v>Чёрный матовый</v>
      </c>
      <c r="J138" s="37" t="n">
        <f aca="false">IFERROR(__xludf.dummyfunction("""COMPUTED_VALUE"""),138)</f>
        <v>138</v>
      </c>
      <c r="K138" s="10"/>
      <c r="L138" s="12"/>
      <c r="M138" s="12"/>
      <c r="N138" s="12"/>
      <c r="O138" s="12"/>
      <c r="P138" s="12"/>
      <c r="Q138" s="12"/>
      <c r="R138" s="12"/>
      <c r="S138" s="12"/>
      <c r="T138" s="12"/>
      <c r="U138" s="12"/>
    </row>
    <row r="139" customFormat="false" ht="17.35" hidden="false" customHeight="false" outlineLevel="0" collapsed="false">
      <c r="A139" s="38" t="str">
        <f aca="false">IFERROR(__xludf.dummyfunction("""COMPUTED_VALUE"""),"ПП ОК")</f>
        <v>ПП ОК</v>
      </c>
      <c r="B139" s="43" t="n">
        <f aca="false">IFERROR(__xludf.dummyfunction("""COMPUTED_VALUE"""),0)</f>
        <v>0</v>
      </c>
      <c r="C139" s="43"/>
      <c r="D139" s="43"/>
      <c r="E139" s="44"/>
      <c r="F139" s="43"/>
      <c r="G139" s="43"/>
      <c r="H139" s="10"/>
      <c r="I139" s="52" t="str">
        <f aca="false">IFERROR(__xludf.dummyfunction("""COMPUTED_VALUE"""),"Шпон дуб коньяк")</f>
        <v>Шпон дуб коньяк</v>
      </c>
      <c r="J139" s="37" t="n">
        <f aca="false">IFERROR(__xludf.dummyfunction("""COMPUTED_VALUE"""),134)</f>
        <v>134</v>
      </c>
      <c r="K139" s="10"/>
      <c r="L139" s="12"/>
      <c r="M139" s="12"/>
      <c r="N139" s="12"/>
      <c r="O139" s="12"/>
      <c r="P139" s="12"/>
      <c r="Q139" s="12"/>
      <c r="R139" s="12"/>
      <c r="S139" s="12"/>
      <c r="T139" s="12"/>
      <c r="U139" s="12"/>
    </row>
    <row r="140" customFormat="false" ht="17.35" hidden="false" customHeight="false" outlineLevel="0" collapsed="false">
      <c r="A140" s="38" t="str">
        <f aca="false">IFERROR(__xludf.dummyfunction("""COMPUTED_VALUE"""),"ПП ЗК")</f>
        <v>ПП ЗК</v>
      </c>
      <c r="B140" s="43" t="n">
        <f aca="false">IFERROR(__xludf.dummyfunction("""COMPUTED_VALUE"""),0)</f>
        <v>0</v>
      </c>
      <c r="C140" s="43"/>
      <c r="D140" s="43"/>
      <c r="E140" s="44"/>
      <c r="F140" s="43"/>
      <c r="G140" s="43"/>
      <c r="H140" s="10"/>
      <c r="I140" s="52" t="str">
        <f aca="false">IFERROR(__xludf.dummyfunction("""COMPUTED_VALUE"""),"Шпон дуб натуральный")</f>
        <v>Шпон дуб натуральный</v>
      </c>
      <c r="J140" s="37" t="n">
        <f aca="false">IFERROR(__xludf.dummyfunction("""COMPUTED_VALUE"""),181)</f>
        <v>181</v>
      </c>
      <c r="K140" s="10"/>
      <c r="L140" s="12"/>
      <c r="M140" s="12"/>
      <c r="N140" s="12"/>
      <c r="O140" s="12"/>
      <c r="P140" s="12"/>
      <c r="Q140" s="12"/>
      <c r="R140" s="12"/>
      <c r="S140" s="12"/>
      <c r="T140" s="12"/>
      <c r="U140" s="12"/>
    </row>
    <row r="141" customFormat="false" ht="17.35" hidden="false" customHeight="false" outlineLevel="0" collapsed="false">
      <c r="A141" s="38" t="str">
        <f aca="false">IFERROR(__xludf.dummyfunction("""COMPUTED_VALUE"""),"Optima")</f>
        <v>Optima</v>
      </c>
      <c r="B141" s="43" t="n">
        <f aca="false">IFERROR(__xludf.dummyfunction("""COMPUTED_VALUE"""),0)</f>
        <v>0</v>
      </c>
      <c r="C141" s="43"/>
      <c r="D141" s="43"/>
      <c r="E141" s="44"/>
      <c r="F141" s="43"/>
      <c r="G141" s="43"/>
      <c r="H141" s="10"/>
      <c r="I141" s="57" t="str">
        <f aca="false">IFERROR(__xludf.dummyfunction("""COMPUTED_VALUE"""),"ФЗП")</f>
        <v>ФЗП</v>
      </c>
      <c r="J141" s="58"/>
      <c r="K141" s="10"/>
      <c r="L141" s="12"/>
      <c r="M141" s="12"/>
      <c r="N141" s="12"/>
      <c r="O141" s="12"/>
      <c r="P141" s="12"/>
      <c r="Q141" s="12"/>
      <c r="R141" s="12"/>
      <c r="S141" s="12"/>
      <c r="T141" s="12"/>
      <c r="U141" s="12"/>
    </row>
    <row r="142" customFormat="false" ht="17.35" hidden="false" customHeight="false" outlineLevel="0" collapsed="false">
      <c r="A142" s="38" t="str">
        <f aca="false">IFERROR(__xludf.dummyfunction("""COMPUTED_VALUE"""),"Credo")</f>
        <v>Credo</v>
      </c>
      <c r="B142" s="43" t="n">
        <f aca="false">IFERROR(__xludf.dummyfunction("""COMPUTED_VALUE"""),7000)</f>
        <v>7000</v>
      </c>
      <c r="C142" s="43"/>
      <c r="D142" s="43"/>
      <c r="E142" s="44"/>
      <c r="F142" s="43"/>
      <c r="G142" s="43"/>
      <c r="H142" s="10"/>
      <c r="I142" s="59" t="str">
        <f aca="false">IFERROR(__xludf.dummyfunction("""COMPUTED_VALUE"""),"Комфорт МП (Стандарт)")</f>
        <v>Комфорт МП (Стандарт)</v>
      </c>
      <c r="J142" s="37" t="n">
        <f aca="false">IFERROR(__xludf.dummyfunction("""COMPUTED_VALUE"""),1995)</f>
        <v>1995</v>
      </c>
      <c r="K142" s="10"/>
      <c r="L142" s="12"/>
      <c r="M142" s="12"/>
      <c r="N142" s="12"/>
      <c r="O142" s="12"/>
      <c r="P142" s="12"/>
      <c r="Q142" s="12"/>
      <c r="R142" s="12"/>
      <c r="S142" s="12"/>
      <c r="T142" s="12"/>
      <c r="U142" s="12"/>
    </row>
    <row r="143" customFormat="false" ht="17.35" hidden="false" customHeight="false" outlineLevel="0" collapsed="false">
      <c r="A143" s="38" t="str">
        <f aca="false">IFERROR(__xludf.dummyfunction("""COMPUTED_VALUE"""),"Credo SP")</f>
        <v>Credo SP</v>
      </c>
      <c r="B143" s="43" t="n">
        <f aca="false">IFERROR(__xludf.dummyfunction("""COMPUTED_VALUE"""),7000)</f>
        <v>7000</v>
      </c>
      <c r="C143" s="43"/>
      <c r="D143" s="43"/>
      <c r="E143" s="44"/>
      <c r="F143" s="43"/>
      <c r="G143" s="43"/>
      <c r="H143" s="10"/>
      <c r="I143" s="59" t="str">
        <f aca="false">IFERROR(__xludf.dummyfunction("""COMPUTED_VALUE"""),"Комфорт ПП (Стандарт)")</f>
        <v>Комфорт ПП (Стандарт)</v>
      </c>
      <c r="J143" s="37" t="n">
        <f aca="false">IFERROR(__xludf.dummyfunction("""COMPUTED_VALUE"""),2203)</f>
        <v>2203</v>
      </c>
      <c r="K143" s="10"/>
      <c r="L143" s="12"/>
      <c r="M143" s="12"/>
      <c r="N143" s="12"/>
      <c r="O143" s="12"/>
      <c r="P143" s="12"/>
      <c r="Q143" s="12"/>
      <c r="R143" s="12"/>
      <c r="S143" s="12"/>
      <c r="T143" s="12"/>
      <c r="U143" s="12"/>
    </row>
    <row r="144" customFormat="false" ht="17.35" hidden="false" customHeight="false" outlineLevel="0" collapsed="false">
      <c r="A144" s="38" t="str">
        <f aca="false">IFERROR(__xludf.dummyfunction("""COMPUTED_VALUE"""),"Senator SP")</f>
        <v>Senator SP</v>
      </c>
      <c r="B144" s="43" t="n">
        <f aca="false">IFERROR(__xludf.dummyfunction("""COMPUTED_VALUE"""),7000)</f>
        <v>7000</v>
      </c>
      <c r="C144" s="43"/>
      <c r="D144" s="43"/>
      <c r="E144" s="44"/>
      <c r="F144" s="43"/>
      <c r="G144" s="43"/>
      <c r="H144" s="10"/>
      <c r="I144" s="59" t="str">
        <f aca="false">IFERROR(__xludf.dummyfunction("""COMPUTED_VALUE"""),"Absolut МП (Стандарт)")</f>
        <v>Absolut МП (Стандарт)</v>
      </c>
      <c r="J144" s="37" t="n">
        <f aca="false">IFERROR(__xludf.dummyfunction("""COMPUTED_VALUE"""),2076)</f>
        <v>2076</v>
      </c>
      <c r="K144" s="10"/>
      <c r="L144" s="12"/>
      <c r="M144" s="12"/>
      <c r="N144" s="12"/>
      <c r="O144" s="12"/>
      <c r="P144" s="12"/>
      <c r="Q144" s="12"/>
      <c r="R144" s="12"/>
      <c r="S144" s="12"/>
      <c r="T144" s="12"/>
      <c r="U144" s="12"/>
    </row>
    <row r="145" customFormat="false" ht="17.35" hidden="false" customHeight="false" outlineLevel="0" collapsed="false">
      <c r="A145" s="38" t="str">
        <f aca="false">IFERROR(__xludf.dummyfunction("""COMPUTED_VALUE"""),"Senator Max SP")</f>
        <v>Senator Max SP</v>
      </c>
      <c r="B145" s="43" t="n">
        <f aca="false">IFERROR(__xludf.dummyfunction("""COMPUTED_VALUE"""),7000)</f>
        <v>7000</v>
      </c>
      <c r="C145" s="43"/>
      <c r="D145" s="43"/>
      <c r="E145" s="44"/>
      <c r="F145" s="43"/>
      <c r="G145" s="43"/>
      <c r="H145" s="10"/>
      <c r="I145" s="59" t="str">
        <f aca="false">IFERROR(__xludf.dummyfunction("""COMPUTED_VALUE"""),"Absolut ПП (Стандарт)")</f>
        <v>Absolut ПП (Стандарт)</v>
      </c>
      <c r="J145" s="37" t="n">
        <f aca="false">IFERROR(__xludf.dummyfunction("""COMPUTED_VALUE"""),2435)</f>
        <v>2435</v>
      </c>
      <c r="K145" s="10"/>
      <c r="L145" s="12"/>
      <c r="M145" s="12"/>
      <c r="N145" s="12"/>
      <c r="O145" s="12"/>
      <c r="P145" s="12"/>
      <c r="Q145" s="12"/>
      <c r="R145" s="12"/>
      <c r="S145" s="12"/>
      <c r="T145" s="12"/>
      <c r="U145" s="12"/>
    </row>
    <row r="146" customFormat="false" ht="17.35" hidden="false" customHeight="false" outlineLevel="0" collapsed="false">
      <c r="A146" s="38" t="str">
        <f aca="false">IFERROR(__xludf.dummyfunction("""COMPUTED_VALUE"""),"Nova")</f>
        <v>Nova</v>
      </c>
      <c r="B146" s="43" t="n">
        <f aca="false">IFERROR(__xludf.dummyfunction("""COMPUTED_VALUE"""),2000)</f>
        <v>2000</v>
      </c>
      <c r="C146" s="43"/>
      <c r="D146" s="43"/>
      <c r="E146" s="44"/>
      <c r="F146" s="43"/>
      <c r="G146" s="43"/>
      <c r="H146" s="10"/>
      <c r="I146" s="59" t="str">
        <f aca="false">IFERROR(__xludf.dummyfunction("""COMPUTED_VALUE"""),"Цинкогрунтование")</f>
        <v>Цинкогрунтование</v>
      </c>
      <c r="J146" s="37" t="n">
        <f aca="false">IFERROR(__xludf.dummyfunction("""COMPUTED_VALUE"""),230)</f>
        <v>230</v>
      </c>
      <c r="K146" s="10"/>
      <c r="L146" s="12"/>
      <c r="M146" s="12"/>
      <c r="N146" s="12"/>
      <c r="O146" s="12"/>
      <c r="P146" s="12"/>
      <c r="Q146" s="12"/>
      <c r="R146" s="12"/>
      <c r="S146" s="12"/>
      <c r="T146" s="12"/>
      <c r="U146" s="12"/>
    </row>
    <row r="147" customFormat="false" ht="17.35" hidden="false" customHeight="false" outlineLevel="0" collapsed="false">
      <c r="A147" s="38" t="str">
        <f aca="false">IFERROR(__xludf.dummyfunction("""COMPUTED_VALUE"""),"Imperato")</f>
        <v>Imperato</v>
      </c>
      <c r="B147" s="43" t="n">
        <f aca="false">IFERROR(__xludf.dummyfunction("""COMPUTED_VALUE"""),7000)</f>
        <v>7000</v>
      </c>
      <c r="C147" s="43"/>
      <c r="D147" s="43"/>
      <c r="E147" s="44"/>
      <c r="F147" s="43"/>
      <c r="G147" s="43"/>
      <c r="H147" s="10"/>
      <c r="I147" s="59" t="str">
        <f aca="false">IFERROR(__xludf.dummyfunction("""COMPUTED_VALUE"""),"Установка порога из нержавейки")</f>
        <v>Установка порога из нержавейки</v>
      </c>
      <c r="J147" s="37" t="n">
        <f aca="false">IFERROR(__xludf.dummyfunction("""COMPUTED_VALUE"""),114)</f>
        <v>114</v>
      </c>
      <c r="K147" s="10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8" customFormat="false" ht="17.35" hidden="false" customHeight="false" outlineLevel="0" collapsed="false">
      <c r="A148" s="38" t="str">
        <f aca="false">IFERROR(__xludf.dummyfunction("""COMPUTED_VALUE"""),"Darkwood SP")</f>
        <v>Darkwood SP</v>
      </c>
      <c r="B148" s="43" t="n">
        <f aca="false">IFERROR(__xludf.dummyfunction("""COMPUTED_VALUE"""),7000)</f>
        <v>7000</v>
      </c>
      <c r="C148" s="43"/>
      <c r="D148" s="43"/>
      <c r="E148" s="44"/>
      <c r="F148" s="43"/>
      <c r="G148" s="43"/>
      <c r="H148" s="10"/>
      <c r="I148" s="59" t="str">
        <f aca="false">IFERROR(__xludf.dummyfunction("""COMPUTED_VALUE"""),"Закрыть коробку на Комфорт")</f>
        <v>Закрыть коробку на Комфорт</v>
      </c>
      <c r="J148" s="37" t="n">
        <f aca="false">IFERROR(__xludf.dummyfunction("""COMPUTED_VALUE"""),122)</f>
        <v>122</v>
      </c>
      <c r="K148" s="10"/>
      <c r="L148" s="12"/>
      <c r="M148" s="12"/>
      <c r="N148" s="12"/>
      <c r="O148" s="12"/>
      <c r="P148" s="12"/>
      <c r="Q148" s="12"/>
      <c r="R148" s="12"/>
      <c r="S148" s="12"/>
      <c r="T148" s="12"/>
      <c r="U148" s="12"/>
    </row>
    <row r="149" customFormat="false" ht="17.35" hidden="false" customHeight="false" outlineLevel="0" collapsed="false">
      <c r="A149" s="38" t="str">
        <f aca="false">IFERROR(__xludf.dummyfunction("""COMPUTED_VALUE"""),"Soros")</f>
        <v>Soros</v>
      </c>
      <c r="B149" s="43" t="n">
        <f aca="false">IFERROR(__xludf.dummyfunction("""COMPUTED_VALUE"""),5000)</f>
        <v>5000</v>
      </c>
      <c r="C149" s="43"/>
      <c r="D149" s="43"/>
      <c r="E149" s="44"/>
      <c r="F149" s="43"/>
      <c r="G149" s="43"/>
      <c r="H149" s="10"/>
      <c r="I149" s="59" t="str">
        <f aca="false">IFERROR(__xludf.dummyfunction("""COMPUTED_VALUE"""),"Закрыть коробку на Absolut")</f>
        <v>Закрыть коробку на Absolut</v>
      </c>
      <c r="J149" s="37" t="n">
        <f aca="false">IFERROR(__xludf.dummyfunction("""COMPUTED_VALUE"""),141)</f>
        <v>141</v>
      </c>
      <c r="K149" s="10"/>
      <c r="L149" s="12"/>
      <c r="M149" s="12"/>
      <c r="N149" s="12"/>
      <c r="O149" s="12"/>
      <c r="P149" s="12"/>
      <c r="Q149" s="12"/>
      <c r="R149" s="12"/>
      <c r="S149" s="12"/>
      <c r="T149" s="12"/>
      <c r="U149" s="12"/>
    </row>
    <row r="150" customFormat="false" ht="17.35" hidden="false" customHeight="false" outlineLevel="0" collapsed="false">
      <c r="A150" s="38" t="str">
        <f aca="false">IFERROR(__xludf.dummyfunction("""COMPUTED_VALUE"""),"Drevos SP")</f>
        <v>Drevos SP</v>
      </c>
      <c r="B150" s="43" t="n">
        <f aca="false">IFERROR(__xludf.dummyfunction("""COMPUTED_VALUE"""),7000)</f>
        <v>7000</v>
      </c>
      <c r="C150" s="43"/>
      <c r="D150" s="43"/>
      <c r="E150" s="44"/>
      <c r="F150" s="43"/>
      <c r="G150" s="43"/>
      <c r="H150" s="10"/>
      <c r="I150" s="59" t="str">
        <f aca="false">IFERROR(__xludf.dummyfunction("""COMPUTED_VALUE"""),"Verso ")</f>
        <v>Verso </v>
      </c>
      <c r="J150" s="37" t="n">
        <f aca="false">IFERROR(__xludf.dummyfunction("""COMPUTED_VALUE"""),505)</f>
        <v>505</v>
      </c>
      <c r="K150" s="10"/>
      <c r="L150" s="12"/>
      <c r="M150" s="12"/>
      <c r="N150" s="12"/>
      <c r="O150" s="12"/>
      <c r="P150" s="12"/>
      <c r="Q150" s="12"/>
      <c r="R150" s="12"/>
      <c r="S150" s="12"/>
      <c r="T150" s="12"/>
      <c r="U150" s="12"/>
    </row>
    <row r="151" customFormat="false" ht="17.35" hidden="false" customHeight="false" outlineLevel="0" collapsed="false">
      <c r="A151" s="38" t="str">
        <f aca="false">IFERROR(__xludf.dummyfunction("""COMPUTED_VALUE"""),"Veles")</f>
        <v>Veles</v>
      </c>
      <c r="B151" s="43" t="n">
        <f aca="false">IFERROR(__xludf.dummyfunction("""COMPUTED_VALUE"""),5000)</f>
        <v>5000</v>
      </c>
      <c r="C151" s="43"/>
      <c r="D151" s="43"/>
      <c r="E151" s="44"/>
      <c r="F151" s="43"/>
      <c r="G151" s="43"/>
      <c r="H151" s="10"/>
      <c r="I151" s="59" t="str">
        <f aca="false">IFERROR(__xludf.dummyfunction("""COMPUTED_VALUE"""),"Forta")</f>
        <v>Forta</v>
      </c>
      <c r="J151" s="37" t="n">
        <f aca="false">IFERROR(__xludf.dummyfunction("""COMPUTED_VALUE"""),289)</f>
        <v>289</v>
      </c>
      <c r="K151" s="10"/>
      <c r="L151" s="12"/>
      <c r="M151" s="12"/>
      <c r="N151" s="12"/>
      <c r="O151" s="12"/>
      <c r="P151" s="12"/>
      <c r="Q151" s="12"/>
      <c r="R151" s="12"/>
      <c r="S151" s="12"/>
      <c r="T151" s="12"/>
      <c r="U151" s="12"/>
    </row>
    <row r="152" customFormat="false" ht="17.35" hidden="false" customHeight="false" outlineLevel="0" collapsed="false">
      <c r="A152" s="38" t="str">
        <f aca="false">IFERROR(__xludf.dummyfunction("""COMPUTED_VALUE"""),"Новые позиции [Модульная система]")</f>
        <v>Новые позиции [Модульная система]</v>
      </c>
      <c r="B152" s="43"/>
      <c r="C152" s="43"/>
      <c r="D152" s="43"/>
      <c r="E152" s="44"/>
      <c r="F152" s="43"/>
      <c r="G152" s="43"/>
      <c r="H152" s="10"/>
      <c r="I152" s="59" t="str">
        <f aca="false">IFERROR(__xludf.dummyfunction("""COMPUTED_VALUE"""),"Stark")</f>
        <v>Stark</v>
      </c>
      <c r="J152" s="37" t="n">
        <f aca="false">IFERROR(__xludf.dummyfunction("""COMPUTED_VALUE"""),400)</f>
        <v>400</v>
      </c>
      <c r="K152" s="10"/>
      <c r="L152" s="12"/>
      <c r="M152" s="12"/>
      <c r="N152" s="12"/>
      <c r="O152" s="12"/>
      <c r="P152" s="12"/>
      <c r="Q152" s="12"/>
      <c r="R152" s="12"/>
      <c r="S152" s="12"/>
      <c r="T152" s="12"/>
      <c r="U152" s="12"/>
    </row>
    <row r="153" customFormat="false" ht="17.35" hidden="false" customHeight="false" outlineLevel="0" collapsed="false">
      <c r="A153" s="38" t="str">
        <f aca="false">IFERROR(__xludf.dummyfunction("""COMPUTED_VALUE"""),"Болт М8х20 ГОСТ 7798")</f>
        <v>Болт М8х20 ГОСТ 7798</v>
      </c>
      <c r="B153" s="43" t="n">
        <f aca="false">IFERROR(__xludf.dummyfunction("""COMPUTED_VALUE"""),8.13)</f>
        <v>8.13</v>
      </c>
      <c r="C153" s="43"/>
      <c r="D153" s="43"/>
      <c r="E153" s="44"/>
      <c r="F153" s="43"/>
      <c r="G153" s="43"/>
      <c r="H153" s="10"/>
      <c r="I153" s="19" t="str">
        <f aca="false">IFERROR(__xludf.dummyfunction("""COMPUTED_VALUE"""),"Покраска в 2 цвета [Термо] - Дополнения за сложность")</f>
        <v>Покраска в 2 цвета [Термо] - Дополнения за сложность</v>
      </c>
      <c r="J153" s="37" t="n">
        <f aca="false">IFERROR(__xludf.dummyfunction("""COMPUTED_VALUE"""),1000)</f>
        <v>1000</v>
      </c>
      <c r="K153" s="10"/>
      <c r="L153" s="12"/>
      <c r="M153" s="12"/>
      <c r="N153" s="12"/>
      <c r="O153" s="12"/>
      <c r="P153" s="12"/>
      <c r="Q153" s="12"/>
      <c r="R153" s="12"/>
      <c r="S153" s="12"/>
      <c r="T153" s="12"/>
      <c r="U153" s="12"/>
    </row>
    <row r="154" customFormat="false" ht="17.35" hidden="false" customHeight="false" outlineLevel="0" collapsed="false">
      <c r="A154" s="38" t="str">
        <f aca="false">IFERROR(__xludf.dummyfunction("""COMPUTED_VALUE"""),"Болт М8х65 DIN933")</f>
        <v>Болт М8х65 DIN933</v>
      </c>
      <c r="B154" s="43" t="n">
        <f aca="false">IFERROR(__xludf.dummyfunction("""COMPUTED_VALUE"""),7.42)</f>
        <v>7.42</v>
      </c>
      <c r="C154" s="43"/>
      <c r="D154" s="43"/>
      <c r="E154" s="44"/>
      <c r="F154" s="43"/>
      <c r="G154" s="43"/>
      <c r="H154" s="10"/>
      <c r="I154" s="59" t="str">
        <f aca="false">IFERROR(__xludf.dummyfunction("""COMPUTED_VALUE"""),"Порог из нержавейки")</f>
        <v>Порог из нержавейки</v>
      </c>
      <c r="J154" s="37" t="n">
        <f aca="false">IFERROR(__xludf.dummyfunction("""COMPUTED_VALUE"""),500)</f>
        <v>500</v>
      </c>
      <c r="K154" s="10"/>
      <c r="L154" s="12"/>
      <c r="M154" s="12"/>
      <c r="N154" s="12"/>
      <c r="O154" s="12"/>
      <c r="P154" s="12"/>
      <c r="Q154" s="12"/>
      <c r="R154" s="12"/>
      <c r="S154" s="12"/>
      <c r="T154" s="12"/>
      <c r="U154" s="12"/>
    </row>
    <row r="155" customFormat="false" ht="17.35" hidden="false" customHeight="false" outlineLevel="0" collapsed="false">
      <c r="A155" s="38" t="str">
        <f aca="false">IFERROR(__xludf.dummyfunction("""COMPUTED_VALUE"""),"Винт 4х25 DIN967")</f>
        <v>Винт 4х25 DIN967</v>
      </c>
      <c r="B155" s="43" t="n">
        <f aca="false">IFERROR(__xludf.dummyfunction("""COMPUTED_VALUE"""),0.96)</f>
        <v>0.96</v>
      </c>
      <c r="C155" s="43"/>
      <c r="D155" s="43"/>
      <c r="E155" s="44"/>
      <c r="F155" s="43"/>
      <c r="G155" s="43"/>
      <c r="H155" s="10"/>
      <c r="I155" s="59" t="str">
        <f aca="false">IFERROR(__xludf.dummyfunction("""COMPUTED_VALUE"""),"Закрытый короб")</f>
        <v>Закрытый короб</v>
      </c>
      <c r="J155" s="37" t="n">
        <f aca="false">IFERROR(__xludf.dummyfunction("""COMPUTED_VALUE"""),0)</f>
        <v>0</v>
      </c>
      <c r="K155" s="10"/>
      <c r="L155" s="12"/>
      <c r="M155" s="12"/>
      <c r="N155" s="12"/>
      <c r="O155" s="12"/>
      <c r="P155" s="12"/>
      <c r="Q155" s="12"/>
      <c r="R155" s="12"/>
      <c r="S155" s="12"/>
      <c r="T155" s="12"/>
      <c r="U155" s="12"/>
    </row>
    <row r="156" customFormat="false" ht="17.35" hidden="false" customHeight="false" outlineLevel="0" collapsed="false">
      <c r="A156" s="38" t="str">
        <f aca="false">IFERROR(__xludf.dummyfunction("""COMPUTED_VALUE"""),"Заклепка резьбовая м8")</f>
        <v>Заклепка резьбовая м8</v>
      </c>
      <c r="B156" s="43" t="n">
        <f aca="false">IFERROR(__xludf.dummyfunction("""COMPUTED_VALUE"""),4.65)</f>
        <v>4.65</v>
      </c>
      <c r="C156" s="43"/>
      <c r="D156" s="43"/>
      <c r="E156" s="44"/>
      <c r="F156" s="43"/>
      <c r="G156" s="43"/>
      <c r="H156" s="10"/>
      <c r="I156" s="59" t="str">
        <f aca="false">IFERROR(__xludf.dummyfunction("""COMPUTED_VALUE"""),"Термокабель в короб")</f>
        <v>Термокабель в короб</v>
      </c>
      <c r="J156" s="37" t="n">
        <f aca="false">IFERROR(__xludf.dummyfunction("""COMPUTED_VALUE"""),500)</f>
        <v>500</v>
      </c>
      <c r="K156" s="10"/>
      <c r="L156" s="12"/>
      <c r="M156" s="12"/>
      <c r="N156" s="12"/>
      <c r="O156" s="12"/>
      <c r="P156" s="12"/>
      <c r="Q156" s="12"/>
      <c r="R156" s="12"/>
      <c r="S156" s="12"/>
      <c r="T156" s="12"/>
      <c r="U156" s="12"/>
    </row>
    <row r="157" customFormat="false" ht="17.35" hidden="false" customHeight="false" outlineLevel="0" collapsed="false">
      <c r="A157" s="38" t="str">
        <f aca="false">IFERROR(__xludf.dummyfunction("""COMPUTED_VALUE"""),"ФЗП Изготовление модуля")</f>
        <v>ФЗП Изготовление модуля</v>
      </c>
      <c r="B157" s="43" t="n">
        <f aca="false">IFERROR(__xludf.dummyfunction("""COMPUTED_VALUE"""),3500)</f>
        <v>3500</v>
      </c>
      <c r="C157" s="43"/>
      <c r="D157" s="43"/>
      <c r="E157" s="44"/>
      <c r="F157" s="43"/>
      <c r="G157" s="43"/>
      <c r="H157" s="10"/>
      <c r="I157" s="59" t="str">
        <f aca="false">IFERROR(__xludf.dummyfunction("""COMPUTED_VALUE"""),"Цинкогрунт")</f>
        <v>Цинкогрунт</v>
      </c>
      <c r="J157" s="37" t="n">
        <f aca="false">IFERROR(__xludf.dummyfunction("""COMPUTED_VALUE"""),500)</f>
        <v>500</v>
      </c>
      <c r="K157" s="10"/>
      <c r="L157" s="12"/>
      <c r="M157" s="12"/>
      <c r="N157" s="12"/>
      <c r="O157" s="12"/>
      <c r="P157" s="12"/>
      <c r="Q157" s="12"/>
      <c r="R157" s="12"/>
      <c r="S157" s="12"/>
      <c r="T157" s="12"/>
      <c r="U157" s="12"/>
    </row>
    <row r="158" customFormat="false" ht="17.35" hidden="false" customHeight="false" outlineLevel="0" collapsed="false">
      <c r="A158" s="38"/>
      <c r="B158" s="43"/>
      <c r="C158" s="43"/>
      <c r="D158" s="43"/>
      <c r="E158" s="44"/>
      <c r="F158" s="43"/>
      <c r="G158" s="43"/>
      <c r="H158" s="10"/>
      <c r="I158" s="19" t="str">
        <f aca="false">IFERROR(__xludf.dummyfunction("""COMPUTED_VALUE"""),"Электронные замки")</f>
        <v>Электронные замки</v>
      </c>
      <c r="J158" s="37"/>
      <c r="K158" s="10"/>
      <c r="L158" s="12"/>
      <c r="M158" s="12"/>
      <c r="N158" s="12"/>
      <c r="O158" s="12"/>
      <c r="P158" s="12"/>
      <c r="Q158" s="12"/>
      <c r="R158" s="12"/>
      <c r="S158" s="12"/>
      <c r="T158" s="12"/>
      <c r="U158" s="12"/>
    </row>
    <row r="159" customFormat="false" ht="17.35" hidden="false" customHeight="false" outlineLevel="0" collapsed="false">
      <c r="A159" s="38"/>
      <c r="B159" s="43"/>
      <c r="C159" s="43"/>
      <c r="D159" s="43"/>
      <c r="E159" s="44"/>
      <c r="F159" s="43"/>
      <c r="G159" s="43"/>
      <c r="H159" s="10"/>
      <c r="I159" s="59" t="str">
        <f aca="false">IFERROR(__xludf.dummyfunction("""COMPUTED_VALUE"""),"Hogo P-02")</f>
        <v>Hogo P-02</v>
      </c>
      <c r="J159" s="37" t="n">
        <f aca="false">IFERROR(__xludf.dummyfunction("""COMPUTED_VALUE"""),6300)</f>
        <v>6300</v>
      </c>
      <c r="K159" s="10"/>
      <c r="L159" s="12"/>
      <c r="M159" s="12"/>
      <c r="N159" s="12"/>
      <c r="O159" s="12"/>
      <c r="P159" s="12"/>
      <c r="Q159" s="12"/>
      <c r="R159" s="12"/>
      <c r="S159" s="12"/>
      <c r="T159" s="12"/>
      <c r="U159" s="12"/>
    </row>
    <row r="160" customFormat="false" ht="17.35" hidden="false" customHeight="false" outlineLevel="0" collapsed="false">
      <c r="A160" s="38"/>
      <c r="B160" s="43"/>
      <c r="C160" s="43"/>
      <c r="D160" s="43"/>
      <c r="E160" s="44"/>
      <c r="F160" s="43"/>
      <c r="G160" s="43"/>
      <c r="H160" s="10"/>
      <c r="I160" s="59" t="str">
        <f aca="false">IFERROR(__xludf.dummyfunction("""COMPUTED_VALUE"""),"Hogo V-05")</f>
        <v>Hogo V-05</v>
      </c>
      <c r="J160" s="37" t="n">
        <f aca="false">IFERROR(__xludf.dummyfunction("""COMPUTED_VALUE"""),17200)</f>
        <v>17200</v>
      </c>
      <c r="K160" s="10"/>
      <c r="L160" s="12"/>
      <c r="M160" s="12"/>
      <c r="N160" s="12"/>
      <c r="O160" s="12"/>
      <c r="P160" s="12"/>
      <c r="Q160" s="12"/>
      <c r="R160" s="12"/>
      <c r="S160" s="12"/>
      <c r="T160" s="12"/>
      <c r="U160" s="12"/>
    </row>
    <row r="161" customFormat="false" ht="17.35" hidden="false" customHeight="false" outlineLevel="0" collapsed="false">
      <c r="A161" s="38"/>
      <c r="B161" s="43"/>
      <c r="C161" s="43"/>
      <c r="D161" s="43"/>
      <c r="E161" s="44"/>
      <c r="F161" s="43"/>
      <c r="G161" s="43"/>
      <c r="H161" s="10"/>
      <c r="I161" s="59" t="str">
        <f aca="false">IFERROR(__xludf.dummyfunction("""COMPUTED_VALUE"""),"Dircode T850")</f>
        <v>Dircode T850</v>
      </c>
      <c r="J161" s="37" t="n">
        <f aca="false">IFERROR(__xludf.dummyfunction("""COMPUTED_VALUE"""),21000)</f>
        <v>21000</v>
      </c>
      <c r="K161" s="10"/>
      <c r="L161" s="12"/>
      <c r="M161" s="12"/>
      <c r="N161" s="12"/>
      <c r="O161" s="12"/>
      <c r="P161" s="12"/>
      <c r="Q161" s="12"/>
      <c r="R161" s="12"/>
      <c r="S161" s="12"/>
      <c r="T161" s="12"/>
      <c r="U161" s="12"/>
    </row>
    <row r="162" customFormat="false" ht="17.35" hidden="false" customHeight="false" outlineLevel="0" collapsed="false">
      <c r="A162" s="38"/>
      <c r="B162" s="43"/>
      <c r="C162" s="43"/>
      <c r="D162" s="43"/>
      <c r="E162" s="44"/>
      <c r="F162" s="43"/>
      <c r="G162" s="43"/>
      <c r="H162" s="10"/>
      <c r="I162" s="59" t="str">
        <f aca="false">IFERROR(__xludf.dummyfunction("""COMPUTED_VALUE"""),"Гардиан 32.21")</f>
        <v>Гардиан 32.21</v>
      </c>
      <c r="J162" s="39" t="n">
        <f aca="false">IFERROR(__xludf.dummyfunction("""COMPUTED_VALUE"""),880)</f>
        <v>880</v>
      </c>
      <c r="K162" s="10"/>
      <c r="L162" s="12"/>
      <c r="M162" s="12"/>
      <c r="N162" s="12"/>
      <c r="O162" s="12"/>
      <c r="P162" s="12"/>
      <c r="Q162" s="12"/>
      <c r="R162" s="12"/>
      <c r="S162" s="12"/>
      <c r="T162" s="12"/>
      <c r="U162" s="12"/>
    </row>
    <row r="163" customFormat="false" ht="17.35" hidden="false" customHeight="false" outlineLevel="0" collapsed="false">
      <c r="A163" s="38"/>
      <c r="B163" s="43"/>
      <c r="C163" s="43"/>
      <c r="D163" s="43"/>
      <c r="E163" s="44"/>
      <c r="F163" s="43"/>
      <c r="G163" s="43"/>
      <c r="H163" s="10"/>
      <c r="I163" s="59" t="str">
        <f aca="false">IFERROR(__xludf.dummyfunction("""COMPUTED_VALUE"""),"Hogo D-01 с бугельной ручкой")</f>
        <v>Hogo D-01 с бугельной ручкой</v>
      </c>
      <c r="J163" s="37" t="n">
        <f aca="false">IFERROR(__xludf.dummyfunction("""COMPUTED_VALUE"""),34000)</f>
        <v>34000</v>
      </c>
      <c r="K163" s="10"/>
      <c r="L163" s="12"/>
      <c r="M163" s="12"/>
      <c r="N163" s="12"/>
      <c r="O163" s="12"/>
      <c r="P163" s="12"/>
      <c r="Q163" s="12"/>
      <c r="R163" s="12"/>
      <c r="S163" s="12"/>
      <c r="T163" s="12"/>
      <c r="U163" s="12"/>
    </row>
    <row r="164" customFormat="false" ht="17.35" hidden="false" customHeight="false" outlineLevel="0" collapsed="false">
      <c r="A164" s="38"/>
      <c r="B164" s="43"/>
      <c r="C164" s="43"/>
      <c r="D164" s="43"/>
      <c r="E164" s="44"/>
      <c r="F164" s="43"/>
      <c r="G164" s="43"/>
      <c r="H164" s="10"/>
      <c r="I164" s="59" t="str">
        <f aca="false">IFERROR(__xludf.dummyfunction("""COMPUTED_VALUE"""),"Бугельная ручка с нажимным механизмом 1600  х 60")</f>
        <v>Бугельная ручка с нажимным механизмом 1600  х 60</v>
      </c>
      <c r="J164" s="37" t="n">
        <f aca="false">IFERROR(__xludf.dummyfunction("""COMPUTED_VALUE"""),10000)</f>
        <v>10000</v>
      </c>
      <c r="K164" s="10"/>
      <c r="L164" s="12"/>
      <c r="M164" s="12"/>
      <c r="N164" s="12"/>
      <c r="O164" s="12"/>
      <c r="P164" s="12"/>
      <c r="Q164" s="12"/>
      <c r="R164" s="12"/>
      <c r="S164" s="12"/>
      <c r="T164" s="12"/>
      <c r="U164" s="12"/>
    </row>
    <row r="165" customFormat="false" ht="17.35" hidden="false" customHeight="false" outlineLevel="0" collapsed="false">
      <c r="A165" s="38"/>
      <c r="B165" s="43"/>
      <c r="C165" s="43"/>
      <c r="D165" s="43"/>
      <c r="E165" s="44"/>
      <c r="F165" s="43"/>
      <c r="G165" s="43"/>
      <c r="H165" s="10"/>
      <c r="I165" s="59" t="str">
        <f aca="false">IFERROR(__xludf.dummyfunction("""COMPUTED_VALUE"""),"Бугельная ручка с нажимным механизмом 1800  х 60")</f>
        <v>Бугельная ручка с нажимным механизмом 1800  х 60</v>
      </c>
      <c r="J165" s="37" t="n">
        <f aca="false">IFERROR(__xludf.dummyfunction("""COMPUTED_VALUE"""),11000)</f>
        <v>11000</v>
      </c>
      <c r="K165" s="10"/>
      <c r="L165" s="12"/>
      <c r="M165" s="12"/>
      <c r="N165" s="12"/>
      <c r="O165" s="12"/>
      <c r="P165" s="12"/>
      <c r="Q165" s="12"/>
      <c r="R165" s="12"/>
      <c r="S165" s="12"/>
      <c r="T165" s="12"/>
      <c r="U165" s="12"/>
    </row>
    <row r="166" customFormat="false" ht="17.35" hidden="false" customHeight="false" outlineLevel="0" collapsed="false">
      <c r="A166" s="38"/>
      <c r="B166" s="43"/>
      <c r="C166" s="43"/>
      <c r="D166" s="43"/>
      <c r="E166" s="44"/>
      <c r="F166" s="43"/>
      <c r="G166" s="43"/>
      <c r="H166" s="10"/>
      <c r="I166" s="19" t="str">
        <f aca="false">IFERROR(__xludf.dummyfunction("""COMPUTED_VALUE"""),"Вертушки на шток")</f>
        <v>Вертушки на шток</v>
      </c>
      <c r="J166" s="37"/>
      <c r="K166" s="10"/>
      <c r="L166" s="12"/>
      <c r="M166" s="12"/>
      <c r="N166" s="12"/>
      <c r="O166" s="12"/>
      <c r="P166" s="12"/>
      <c r="Q166" s="12"/>
      <c r="R166" s="12"/>
      <c r="S166" s="12"/>
      <c r="T166" s="12"/>
      <c r="U166" s="12"/>
    </row>
    <row r="167" customFormat="false" ht="17.35" hidden="false" customHeight="false" outlineLevel="0" collapsed="false">
      <c r="A167" s="38"/>
      <c r="B167" s="43"/>
      <c r="C167" s="43"/>
      <c r="D167" s="43"/>
      <c r="E167" s="44"/>
      <c r="F167" s="43"/>
      <c r="G167" s="43"/>
      <c r="H167" s="10"/>
      <c r="I167" s="59" t="str">
        <f aca="false">IFERROR(__xludf.dummyfunction("""COMPUTED_VALUE"""),"Вертушок на шток (21 серия), матовое золото")</f>
        <v>Вертушок на шток (21 серия), матовое золото</v>
      </c>
      <c r="J167" s="37" t="n">
        <f aca="false">IFERROR(__xludf.dummyfunction("""COMPUTED_VALUE"""),100)</f>
        <v>100</v>
      </c>
      <c r="K167" s="10"/>
      <c r="L167" s="12"/>
      <c r="M167" s="12"/>
      <c r="N167" s="12"/>
      <c r="O167" s="12"/>
      <c r="P167" s="12"/>
      <c r="Q167" s="12"/>
      <c r="R167" s="12"/>
      <c r="S167" s="12"/>
      <c r="T167" s="12"/>
      <c r="U167" s="12"/>
    </row>
    <row r="168" customFormat="false" ht="17.35" hidden="false" customHeight="false" outlineLevel="0" collapsed="false">
      <c r="A168" s="38"/>
      <c r="B168" s="43"/>
      <c r="C168" s="43"/>
      <c r="D168" s="43"/>
      <c r="E168" s="44"/>
      <c r="F168" s="43"/>
      <c r="G168" s="43"/>
      <c r="H168" s="10"/>
      <c r="I168" s="59" t="str">
        <f aca="false">IFERROR(__xludf.dummyfunction("""COMPUTED_VALUE"""),"Вертушок на шток черный, шт")</f>
        <v>Вертушок на шток черный, шт</v>
      </c>
      <c r="J168" s="37" t="n">
        <f aca="false">IFERROR(__xludf.dummyfunction("""COMPUTED_VALUE"""),57)</f>
        <v>57</v>
      </c>
      <c r="K168" s="10"/>
      <c r="L168" s="12"/>
      <c r="M168" s="12"/>
      <c r="N168" s="12"/>
      <c r="O168" s="12"/>
      <c r="P168" s="12"/>
      <c r="Q168" s="12"/>
      <c r="R168" s="12"/>
      <c r="S168" s="12"/>
      <c r="T168" s="12"/>
      <c r="U168" s="12"/>
    </row>
    <row r="169" customFormat="false" ht="17.35" hidden="false" customHeight="false" outlineLevel="0" collapsed="false">
      <c r="A169" s="38"/>
      <c r="B169" s="43"/>
      <c r="C169" s="43"/>
      <c r="D169" s="43"/>
      <c r="E169" s="44"/>
      <c r="F169" s="43"/>
      <c r="G169" s="43"/>
      <c r="H169" s="10"/>
      <c r="I169" s="59" t="str">
        <f aca="false">IFERROR(__xludf.dummyfunction("""COMPUTED_VALUE"""),"Вертушок на шток матовый хром")</f>
        <v>Вертушок на шток матовый хром</v>
      </c>
      <c r="J169" s="37" t="n">
        <f aca="false">IFERROR(__xludf.dummyfunction("""COMPUTED_VALUE"""),60)</f>
        <v>60</v>
      </c>
      <c r="K169" s="10"/>
      <c r="L169" s="12"/>
      <c r="M169" s="12"/>
      <c r="N169" s="12"/>
      <c r="O169" s="12"/>
      <c r="P169" s="12"/>
      <c r="Q169" s="12"/>
      <c r="R169" s="12"/>
      <c r="S169" s="12"/>
      <c r="T169" s="12"/>
      <c r="U169" s="12"/>
    </row>
    <row r="170" customFormat="false" ht="17.35" hidden="false" customHeight="false" outlineLevel="0" collapsed="false">
      <c r="A170" s="38"/>
      <c r="B170" s="43"/>
      <c r="C170" s="43"/>
      <c r="D170" s="43"/>
      <c r="E170" s="44"/>
      <c r="F170" s="43"/>
      <c r="G170" s="43"/>
      <c r="H170" s="10"/>
      <c r="I170" s="59" t="str">
        <f aca="false">IFERROR(__xludf.dummyfunction("""COMPUTED_VALUE"""),"Вертушок на шток, бронза")</f>
        <v>Вертушок на шток, бронза</v>
      </c>
      <c r="J170" s="37" t="n">
        <f aca="false">IFERROR(__xludf.dummyfunction("""COMPUTED_VALUE"""),100)</f>
        <v>100</v>
      </c>
      <c r="K170" s="10"/>
      <c r="L170" s="12"/>
      <c r="M170" s="12"/>
      <c r="N170" s="12"/>
      <c r="O170" s="12"/>
      <c r="P170" s="12"/>
      <c r="Q170" s="12"/>
      <c r="R170" s="12"/>
      <c r="S170" s="12"/>
      <c r="T170" s="12"/>
      <c r="U170" s="12"/>
    </row>
    <row r="171" customFormat="false" ht="17.35" hidden="false" customHeight="false" outlineLevel="0" collapsed="false">
      <c r="A171" s="38"/>
      <c r="B171" s="43"/>
      <c r="C171" s="43"/>
      <c r="D171" s="43"/>
      <c r="E171" s="44"/>
      <c r="F171" s="43"/>
      <c r="G171" s="43"/>
      <c r="H171" s="10"/>
      <c r="I171" s="59" t="str">
        <f aca="false">IFERROR(__xludf.dummyfunction("""COMPUTED_VALUE"""),"Вертушок на шток, хром")</f>
        <v>Вертушок на шток, хром</v>
      </c>
      <c r="J171" s="37" t="n">
        <f aca="false">IFERROR(__xludf.dummyfunction("""COMPUTED_VALUE"""),74)</f>
        <v>74</v>
      </c>
      <c r="K171" s="10"/>
      <c r="L171" s="12"/>
      <c r="M171" s="12"/>
      <c r="N171" s="12"/>
      <c r="O171" s="12"/>
      <c r="P171" s="12"/>
      <c r="Q171" s="12"/>
      <c r="R171" s="12"/>
      <c r="S171" s="12"/>
      <c r="T171" s="12"/>
      <c r="U171" s="12"/>
    </row>
    <row r="172" customFormat="false" ht="17.35" hidden="false" customHeight="false" outlineLevel="0" collapsed="false">
      <c r="A172" s="38"/>
      <c r="B172" s="43"/>
      <c r="C172" s="43"/>
      <c r="D172" s="43"/>
      <c r="E172" s="44"/>
      <c r="F172" s="43"/>
      <c r="G172" s="43"/>
      <c r="H172" s="10"/>
      <c r="I172" s="60" t="str">
        <f aca="false">IFERROR(__xludf.dummyfunction("""COMPUTED_VALUE"""),"ФЗП Термо")</f>
        <v>ФЗП Термо</v>
      </c>
      <c r="J172" s="60"/>
      <c r="K172" s="10"/>
      <c r="L172" s="12"/>
      <c r="M172" s="12"/>
      <c r="N172" s="12"/>
      <c r="O172" s="12"/>
      <c r="P172" s="12"/>
      <c r="Q172" s="12"/>
      <c r="R172" s="12"/>
      <c r="S172" s="12"/>
      <c r="T172" s="12"/>
      <c r="U172" s="12"/>
    </row>
    <row r="173" customFormat="false" ht="17.35" hidden="false" customHeight="false" outlineLevel="0" collapsed="false">
      <c r="A173" s="38"/>
      <c r="B173" s="43"/>
      <c r="C173" s="43"/>
      <c r="D173" s="43"/>
      <c r="E173" s="44"/>
      <c r="F173" s="43"/>
      <c r="G173" s="43"/>
      <c r="H173" s="10"/>
      <c r="I173" s="59" t="str">
        <f aca="false">IFERROR(__xludf.dummyfunction("""COMPUTED_VALUE"""),"Termo Optima")</f>
        <v>Termo Optima</v>
      </c>
      <c r="J173" s="37" t="n">
        <f aca="false">IFERROR(__xludf.dummyfunction("""COMPUTED_VALUE"""),3347)</f>
        <v>3347</v>
      </c>
      <c r="K173" s="10"/>
      <c r="L173" s="12"/>
      <c r="M173" s="12"/>
      <c r="N173" s="12"/>
      <c r="O173" s="12"/>
      <c r="P173" s="12"/>
      <c r="Q173" s="12"/>
      <c r="R173" s="12"/>
      <c r="S173" s="12"/>
      <c r="T173" s="12"/>
      <c r="U173" s="12"/>
    </row>
    <row r="174" customFormat="false" ht="17.35" hidden="false" customHeight="false" outlineLevel="0" collapsed="false">
      <c r="A174" s="38"/>
      <c r="B174" s="43"/>
      <c r="C174" s="43"/>
      <c r="D174" s="43"/>
      <c r="E174" s="44"/>
      <c r="F174" s="43"/>
      <c r="G174" s="43"/>
      <c r="H174" s="10"/>
      <c r="I174" s="59" t="str">
        <f aca="false">IFERROR(__xludf.dummyfunction("""COMPUTED_VALUE"""),"Termo Soros")</f>
        <v>Termo Soros</v>
      </c>
      <c r="J174" s="37" t="n">
        <f aca="false">IFERROR(__xludf.dummyfunction("""COMPUTED_VALUE"""),4419)</f>
        <v>4419</v>
      </c>
      <c r="K174" s="10"/>
      <c r="L174" s="12"/>
      <c r="M174" s="12"/>
      <c r="N174" s="12"/>
      <c r="O174" s="12"/>
      <c r="P174" s="12"/>
      <c r="Q174" s="12"/>
      <c r="R174" s="12"/>
      <c r="S174" s="12"/>
      <c r="T174" s="12"/>
      <c r="U174" s="12"/>
    </row>
    <row r="175" customFormat="false" ht="17.35" hidden="false" customHeight="false" outlineLevel="0" collapsed="false">
      <c r="A175" s="38"/>
      <c r="B175" s="43"/>
      <c r="C175" s="43"/>
      <c r="D175" s="43"/>
      <c r="E175" s="44"/>
      <c r="F175" s="43"/>
      <c r="G175" s="43"/>
      <c r="H175" s="10"/>
      <c r="I175" s="59" t="str">
        <f aca="false">IFERROR(__xludf.dummyfunction("""COMPUTED_VALUE"""),"Termo DARKWOOD SP")</f>
        <v>Termo DARKWOOD SP</v>
      </c>
      <c r="J175" s="37" t="n">
        <f aca="false">IFERROR(__xludf.dummyfunction("""COMPUTED_VALUE"""),6602)</f>
        <v>6602</v>
      </c>
      <c r="K175" s="10"/>
      <c r="L175" s="12"/>
      <c r="M175" s="12"/>
      <c r="N175" s="12"/>
      <c r="O175" s="12"/>
      <c r="P175" s="12"/>
      <c r="Q175" s="12"/>
      <c r="R175" s="12"/>
      <c r="S175" s="12"/>
      <c r="T175" s="12"/>
      <c r="U175" s="12"/>
    </row>
    <row r="176" customFormat="false" ht="17.35" hidden="false" customHeight="false" outlineLevel="0" collapsed="false">
      <c r="A176" s="38"/>
      <c r="B176" s="43"/>
      <c r="C176" s="43"/>
      <c r="D176" s="43"/>
      <c r="E176" s="44"/>
      <c r="F176" s="43"/>
      <c r="G176" s="43"/>
      <c r="H176" s="10"/>
      <c r="I176" s="59" t="str">
        <f aca="false">IFERROR(__xludf.dummyfunction("""COMPUTED_VALUE"""),"Termo CREDO  ")</f>
        <v>Termo CREDO  </v>
      </c>
      <c r="J176" s="37" t="n">
        <f aca="false">IFERROR(__xludf.dummyfunction("""COMPUTED_VALUE"""),6524)</f>
        <v>6524</v>
      </c>
      <c r="K176" s="10"/>
      <c r="L176" s="12"/>
      <c r="M176" s="12"/>
      <c r="N176" s="12"/>
      <c r="O176" s="12"/>
      <c r="P176" s="12"/>
      <c r="Q176" s="12"/>
      <c r="R176" s="12"/>
      <c r="S176" s="12"/>
      <c r="T176" s="12"/>
      <c r="U176" s="12"/>
    </row>
    <row r="177" customFormat="false" ht="17.35" hidden="false" customHeight="false" outlineLevel="0" collapsed="false">
      <c r="A177" s="38"/>
      <c r="B177" s="43"/>
      <c r="C177" s="43"/>
      <c r="D177" s="43"/>
      <c r="E177" s="44"/>
      <c r="F177" s="43"/>
      <c r="G177" s="43"/>
      <c r="H177" s="10"/>
      <c r="I177" s="59" t="str">
        <f aca="false">IFERROR(__xludf.dummyfunction("""COMPUTED_VALUE"""),"Termo CREDO  SP")</f>
        <v>Termo CREDO  SP</v>
      </c>
      <c r="J177" s="37" t="n">
        <f aca="false">IFERROR(__xludf.dummyfunction("""COMPUTED_VALUE"""),6825)</f>
        <v>6825</v>
      </c>
      <c r="K177" s="10"/>
      <c r="L177" s="12"/>
      <c r="M177" s="12"/>
      <c r="N177" s="12"/>
      <c r="O177" s="12"/>
      <c r="P177" s="12"/>
      <c r="Q177" s="12"/>
      <c r="R177" s="12"/>
      <c r="S177" s="12"/>
      <c r="T177" s="12"/>
      <c r="U177" s="12"/>
    </row>
    <row r="178" customFormat="false" ht="17.35" hidden="false" customHeight="false" outlineLevel="0" collapsed="false">
      <c r="A178" s="38"/>
      <c r="B178" s="43"/>
      <c r="C178" s="43"/>
      <c r="D178" s="43"/>
      <c r="E178" s="44"/>
      <c r="F178" s="43"/>
      <c r="G178" s="43"/>
      <c r="H178" s="10"/>
      <c r="I178" s="59" t="str">
        <f aca="false">IFERROR(__xludf.dummyfunction("""COMPUTED_VALUE"""),"Termo SENATOR MAX SP")</f>
        <v>Termo SENATOR MAX SP</v>
      </c>
      <c r="J178" s="37" t="n">
        <f aca="false">IFERROR(__xludf.dummyfunction("""COMPUTED_VALUE"""),6809)</f>
        <v>6809</v>
      </c>
      <c r="K178" s="10"/>
      <c r="L178" s="12"/>
      <c r="M178" s="12"/>
      <c r="N178" s="12"/>
      <c r="O178" s="12"/>
      <c r="P178" s="12"/>
      <c r="Q178" s="12"/>
      <c r="R178" s="12"/>
      <c r="S178" s="12"/>
      <c r="T178" s="12"/>
      <c r="U178" s="12"/>
    </row>
    <row r="179" customFormat="false" ht="17.35" hidden="false" customHeight="false" outlineLevel="0" collapsed="false">
      <c r="A179" s="38"/>
      <c r="B179" s="43"/>
      <c r="C179" s="43"/>
      <c r="D179" s="43"/>
      <c r="E179" s="44"/>
      <c r="F179" s="43"/>
      <c r="G179" s="43"/>
      <c r="H179" s="10"/>
      <c r="I179" s="59" t="str">
        <f aca="false">IFERROR(__xludf.dummyfunction("""COMPUTED_VALUE"""),"Termo Drevos")</f>
        <v>Termo Drevos</v>
      </c>
      <c r="J179" s="37" t="n">
        <f aca="false">IFERROR(__xludf.dummyfunction("""COMPUTED_VALUE"""),6327)</f>
        <v>6327</v>
      </c>
      <c r="K179" s="10"/>
      <c r="L179" s="12"/>
      <c r="M179" s="12"/>
      <c r="N179" s="12"/>
      <c r="O179" s="12"/>
      <c r="P179" s="12"/>
      <c r="Q179" s="12"/>
      <c r="R179" s="12"/>
      <c r="S179" s="12"/>
      <c r="T179" s="12"/>
      <c r="U179" s="12"/>
    </row>
    <row r="180" customFormat="false" ht="17.35" hidden="false" customHeight="false" outlineLevel="0" collapsed="false">
      <c r="A180" s="38"/>
      <c r="B180" s="43"/>
      <c r="C180" s="43"/>
      <c r="D180" s="43"/>
      <c r="E180" s="44"/>
      <c r="F180" s="43"/>
      <c r="G180" s="43"/>
      <c r="H180" s="10"/>
      <c r="I180" s="59" t="str">
        <f aca="false">IFERROR(__xludf.dummyfunction("""COMPUTED_VALUE"""),"Termo Veles")</f>
        <v>Termo Veles</v>
      </c>
      <c r="J180" s="37" t="n">
        <f aca="false">IFERROR(__xludf.dummyfunction("""COMPUTED_VALUE"""),4419)</f>
        <v>4419</v>
      </c>
      <c r="K180" s="10"/>
      <c r="L180" s="12"/>
      <c r="M180" s="12"/>
      <c r="N180" s="12"/>
      <c r="O180" s="12"/>
      <c r="P180" s="12"/>
      <c r="Q180" s="12"/>
      <c r="R180" s="12"/>
      <c r="S180" s="12"/>
      <c r="T180" s="12"/>
      <c r="U180" s="12"/>
    </row>
    <row r="181" customFormat="false" ht="17.35" hidden="false" customHeight="false" outlineLevel="0" collapsed="false">
      <c r="A181" s="38"/>
      <c r="B181" s="43"/>
      <c r="C181" s="43"/>
      <c r="D181" s="43"/>
      <c r="E181" s="44"/>
      <c r="F181" s="43"/>
      <c r="G181" s="43"/>
      <c r="H181" s="10"/>
      <c r="I181" s="59" t="str">
        <f aca="false">IFERROR(__xludf.dummyfunction("""COMPUTED_VALUE"""),"Termo SENATOR SP")</f>
        <v>Termo SENATOR SP</v>
      </c>
      <c r="J181" s="37" t="n">
        <f aca="false">IFERROR(__xludf.dummyfunction("""COMPUTED_VALUE"""),6809)</f>
        <v>6809</v>
      </c>
      <c r="K181" s="10"/>
      <c r="L181" s="12"/>
      <c r="M181" s="12"/>
      <c r="N181" s="12"/>
      <c r="O181" s="12"/>
      <c r="P181" s="12"/>
      <c r="Q181" s="12"/>
      <c r="R181" s="12"/>
      <c r="S181" s="12"/>
      <c r="T181" s="12"/>
      <c r="U181" s="12"/>
    </row>
    <row r="182" customFormat="false" ht="17.35" hidden="false" customHeight="false" outlineLevel="0" collapsed="false">
      <c r="A182" s="38"/>
      <c r="B182" s="43"/>
      <c r="C182" s="43"/>
      <c r="D182" s="43"/>
      <c r="E182" s="44"/>
      <c r="F182" s="43"/>
      <c r="G182" s="43"/>
      <c r="H182" s="10"/>
      <c r="I182" s="59" t="str">
        <f aca="false">IFERROR(__xludf.dummyfunction("""COMPUTED_VALUE"""),"Termo Imperato")</f>
        <v>Termo Imperato</v>
      </c>
      <c r="J182" s="37" t="n">
        <f aca="false">IFERROR(__xludf.dummyfunction("""COMPUTED_VALUE"""),8807)</f>
        <v>8807</v>
      </c>
      <c r="K182" s="10"/>
      <c r="L182" s="12"/>
      <c r="M182" s="12"/>
      <c r="N182" s="12"/>
      <c r="O182" s="12"/>
      <c r="P182" s="12"/>
      <c r="Q182" s="12"/>
      <c r="R182" s="12"/>
      <c r="S182" s="12"/>
      <c r="T182" s="12"/>
      <c r="U182" s="12"/>
    </row>
    <row r="183" customFormat="false" ht="17.35" hidden="false" customHeight="false" outlineLevel="0" collapsed="false">
      <c r="A183" s="38"/>
      <c r="B183" s="43"/>
      <c r="C183" s="43"/>
      <c r="D183" s="43"/>
      <c r="E183" s="44"/>
      <c r="F183" s="43"/>
      <c r="G183" s="43"/>
      <c r="H183" s="10"/>
      <c r="I183" s="59" t="str">
        <f aca="false">IFERROR(__xludf.dummyfunction("""COMPUTED_VALUE"""),"Termo Nova")</f>
        <v>Termo Nova</v>
      </c>
      <c r="J183" s="37" t="n">
        <f aca="false">IFERROR(__xludf.dummyfunction("""COMPUTED_VALUE"""),4154)</f>
        <v>4154</v>
      </c>
      <c r="K183" s="10"/>
      <c r="L183" s="12"/>
      <c r="M183" s="12"/>
      <c r="N183" s="12"/>
      <c r="O183" s="12"/>
      <c r="P183" s="12"/>
      <c r="Q183" s="12"/>
      <c r="R183" s="12"/>
      <c r="S183" s="12"/>
      <c r="T183" s="12"/>
      <c r="U183" s="12"/>
    </row>
    <row r="184" customFormat="false" ht="17.35" hidden="false" customHeight="false" outlineLevel="0" collapsed="false">
      <c r="A184" s="38"/>
      <c r="B184" s="43"/>
      <c r="C184" s="43"/>
      <c r="D184" s="43"/>
      <c r="E184" s="44"/>
      <c r="F184" s="43"/>
      <c r="G184" s="43"/>
      <c r="H184" s="10"/>
      <c r="I184" s="59" t="str">
        <f aca="false">IFERROR(__xludf.dummyfunction("""COMPUTED_VALUE"""),"Установка порога из нержавейки")</f>
        <v>Установка порога из нержавейки</v>
      </c>
      <c r="J184" s="37" t="n">
        <f aca="false">IFERROR(__xludf.dummyfunction("""COMPUTED_VALUE"""),139)</f>
        <v>139</v>
      </c>
      <c r="K184" s="10"/>
      <c r="L184" s="12"/>
      <c r="M184" s="12"/>
      <c r="N184" s="12"/>
      <c r="O184" s="12"/>
      <c r="P184" s="12"/>
      <c r="Q184" s="12"/>
      <c r="R184" s="12"/>
      <c r="S184" s="12"/>
      <c r="T184" s="12"/>
      <c r="U184" s="12"/>
    </row>
    <row r="185" customFormat="false" ht="17.35" hidden="false" customHeight="false" outlineLevel="0" collapsed="false">
      <c r="A185" s="38"/>
      <c r="B185" s="43"/>
      <c r="C185" s="43"/>
      <c r="D185" s="43"/>
      <c r="E185" s="44"/>
      <c r="F185" s="43"/>
      <c r="G185" s="43"/>
      <c r="H185" s="10"/>
      <c r="I185" s="59" t="str">
        <f aca="false">IFERROR(__xludf.dummyfunction("""COMPUTED_VALUE"""),"Цинкогрунтование")</f>
        <v>Цинкогрунтование</v>
      </c>
      <c r="J185" s="37" t="n">
        <f aca="false">IFERROR(__xludf.dummyfunction("""COMPUTED_VALUE"""),230)</f>
        <v>230</v>
      </c>
      <c r="K185" s="10"/>
      <c r="L185" s="12"/>
      <c r="M185" s="12"/>
      <c r="N185" s="12"/>
      <c r="O185" s="12"/>
      <c r="P185" s="12"/>
      <c r="Q185" s="12"/>
      <c r="R185" s="12"/>
      <c r="S185" s="12"/>
      <c r="T185" s="12"/>
      <c r="U185" s="12"/>
    </row>
    <row r="186" customFormat="false" ht="17.35" hidden="false" customHeight="false" outlineLevel="0" collapsed="false">
      <c r="A186" s="38"/>
      <c r="B186" s="43"/>
      <c r="C186" s="43"/>
      <c r="D186" s="43"/>
      <c r="E186" s="44"/>
      <c r="F186" s="43"/>
      <c r="G186" s="43"/>
      <c r="H186" s="10"/>
      <c r="I186" s="59" t="str">
        <f aca="false">IFERROR(__xludf.dummyfunction("""COMPUTED_VALUE"""),"Установка термокабеля")</f>
        <v>Установка термокабеля</v>
      </c>
      <c r="J186" s="37" t="n">
        <f aca="false">IFERROR(__xludf.dummyfunction("""COMPUTED_VALUE"""),230)</f>
        <v>230</v>
      </c>
      <c r="K186" s="10"/>
      <c r="L186" s="12"/>
      <c r="M186" s="12"/>
      <c r="N186" s="12"/>
      <c r="O186" s="12"/>
      <c r="P186" s="12"/>
      <c r="Q186" s="12"/>
      <c r="R186" s="12"/>
      <c r="S186" s="12"/>
      <c r="T186" s="12"/>
      <c r="U186" s="12"/>
    </row>
    <row r="187" customFormat="false" ht="17.35" hidden="false" customHeight="false" outlineLevel="0" collapsed="false">
      <c r="A187" s="38"/>
      <c r="B187" s="43"/>
      <c r="C187" s="43"/>
      <c r="D187" s="43"/>
      <c r="E187" s="44"/>
      <c r="F187" s="43"/>
      <c r="G187" s="43"/>
      <c r="H187" s="10"/>
      <c r="I187" s="60" t="str">
        <f aca="false">IFERROR(__xludf.dummyfunction("""COMPUTED_VALUE"""),"Наценка дистрибьюторов")</f>
        <v>Наценка дистрибьюторов</v>
      </c>
      <c r="J187" s="60"/>
      <c r="K187" s="10"/>
      <c r="L187" s="12"/>
      <c r="M187" s="12"/>
      <c r="N187" s="12"/>
      <c r="O187" s="12"/>
      <c r="P187" s="12"/>
      <c r="Q187" s="12"/>
      <c r="R187" s="12"/>
      <c r="S187" s="12"/>
      <c r="T187" s="12"/>
      <c r="U187" s="12"/>
    </row>
    <row r="188" customFormat="false" ht="17.35" hidden="false" customHeight="false" outlineLevel="0" collapsed="false">
      <c r="A188" s="38"/>
      <c r="B188" s="43"/>
      <c r="C188" s="43"/>
      <c r="D188" s="43"/>
      <c r="E188" s="44"/>
      <c r="F188" s="43"/>
      <c r="G188" s="43"/>
      <c r="H188" s="10"/>
      <c r="I188" s="59" t="str">
        <f aca="false">IFERROR(__xludf.dummyfunction("""COMPUTED_VALUE"""),"Общая база")</f>
        <v>Общая база</v>
      </c>
      <c r="J188" s="37" t="n">
        <f aca="false">IFERROR(__xludf.dummyfunction("""COMPUTED_VALUE"""),0)</f>
        <v>0</v>
      </c>
      <c r="K188" s="10"/>
      <c r="L188" s="12"/>
      <c r="M188" s="12"/>
      <c r="N188" s="12"/>
      <c r="O188" s="12"/>
      <c r="P188" s="12"/>
      <c r="Q188" s="12"/>
      <c r="R188" s="12"/>
      <c r="S188" s="12"/>
      <c r="T188" s="12"/>
      <c r="U188" s="12"/>
    </row>
    <row r="189" customFormat="false" ht="17.35" hidden="false" customHeight="false" outlineLevel="0" collapsed="false">
      <c r="A189" s="38"/>
      <c r="B189" s="43"/>
      <c r="C189" s="43"/>
      <c r="D189" s="43"/>
      <c r="E189" s="44"/>
      <c r="F189" s="43"/>
      <c r="G189" s="43"/>
      <c r="H189" s="10"/>
      <c r="I189" s="59" t="str">
        <f aca="false">IFERROR(__xludf.dummyfunction("""COMPUTED_VALUE"""),"Дверь Хаус")</f>
        <v>Дверь Хаус</v>
      </c>
      <c r="J189" s="37" t="n">
        <f aca="false">IFERROR(__xludf.dummyfunction("""COMPUTED_VALUE"""),23)</f>
        <v>23</v>
      </c>
      <c r="K189" s="10"/>
      <c r="L189" s="12"/>
      <c r="M189" s="12"/>
      <c r="N189" s="12"/>
      <c r="O189" s="12"/>
      <c r="P189" s="12"/>
      <c r="Q189" s="12"/>
      <c r="R189" s="12"/>
      <c r="S189" s="12"/>
      <c r="T189" s="12"/>
      <c r="U189" s="12"/>
    </row>
    <row r="190" customFormat="false" ht="17.35" hidden="false" customHeight="false" outlineLevel="0" collapsed="false">
      <c r="A190" s="38"/>
      <c r="B190" s="43"/>
      <c r="C190" s="43"/>
      <c r="D190" s="43"/>
      <c r="E190" s="44"/>
      <c r="F190" s="43"/>
      <c r="G190" s="43"/>
      <c r="H190" s="10"/>
      <c r="I190" s="59"/>
      <c r="J190" s="37"/>
      <c r="K190" s="10"/>
      <c r="L190" s="12"/>
      <c r="M190" s="12"/>
      <c r="N190" s="12"/>
      <c r="O190" s="12"/>
      <c r="P190" s="12"/>
      <c r="Q190" s="12"/>
      <c r="R190" s="12"/>
      <c r="S190" s="12"/>
      <c r="T190" s="12"/>
      <c r="U190" s="12"/>
    </row>
    <row r="191" customFormat="false" ht="17.35" hidden="false" customHeight="false" outlineLevel="0" collapsed="false">
      <c r="A191" s="38"/>
      <c r="B191" s="43"/>
      <c r="C191" s="43"/>
      <c r="D191" s="43"/>
      <c r="E191" s="44"/>
      <c r="F191" s="43"/>
      <c r="G191" s="43"/>
      <c r="H191" s="10"/>
      <c r="I191" s="59"/>
      <c r="J191" s="37"/>
      <c r="K191" s="10"/>
      <c r="L191" s="12"/>
      <c r="M191" s="12"/>
      <c r="N191" s="12"/>
      <c r="O191" s="12"/>
      <c r="P191" s="12"/>
      <c r="Q191" s="12"/>
      <c r="R191" s="12"/>
      <c r="S191" s="12"/>
      <c r="T191" s="12"/>
      <c r="U191" s="12"/>
    </row>
    <row r="192" customFormat="false" ht="17.35" hidden="false" customHeight="false" outlineLevel="0" collapsed="false">
      <c r="A192" s="38"/>
      <c r="B192" s="43"/>
      <c r="C192" s="43"/>
      <c r="D192" s="43"/>
      <c r="E192" s="44"/>
      <c r="F192" s="43"/>
      <c r="G192" s="43"/>
      <c r="H192" s="10"/>
      <c r="I192" s="59"/>
      <c r="J192" s="37"/>
      <c r="K192" s="10"/>
      <c r="L192" s="12"/>
      <c r="M192" s="12"/>
      <c r="N192" s="12"/>
      <c r="O192" s="12"/>
      <c r="P192" s="12"/>
      <c r="Q192" s="12"/>
      <c r="R192" s="12"/>
      <c r="S192" s="12"/>
      <c r="T192" s="12"/>
      <c r="U192" s="12"/>
    </row>
    <row r="193" customFormat="false" ht="17.35" hidden="false" customHeight="false" outlineLevel="0" collapsed="false">
      <c r="A193" s="38"/>
      <c r="B193" s="43"/>
      <c r="C193" s="43"/>
      <c r="D193" s="43"/>
      <c r="E193" s="44"/>
      <c r="F193" s="43"/>
      <c r="G193" s="43"/>
      <c r="H193" s="10"/>
      <c r="I193" s="59"/>
      <c r="J193" s="37"/>
      <c r="K193" s="10"/>
      <c r="L193" s="12"/>
      <c r="M193" s="12"/>
      <c r="N193" s="12"/>
      <c r="O193" s="12"/>
      <c r="P193" s="12"/>
      <c r="Q193" s="12"/>
      <c r="R193" s="12"/>
      <c r="S193" s="12"/>
      <c r="T193" s="12"/>
      <c r="U193" s="12"/>
    </row>
    <row r="194" customFormat="false" ht="17.35" hidden="false" customHeight="false" outlineLevel="0" collapsed="false">
      <c r="A194" s="38"/>
      <c r="B194" s="43"/>
      <c r="C194" s="43"/>
      <c r="D194" s="43"/>
      <c r="E194" s="44"/>
      <c r="F194" s="43"/>
      <c r="G194" s="43"/>
      <c r="H194" s="10"/>
      <c r="I194" s="59"/>
      <c r="J194" s="37"/>
      <c r="K194" s="10"/>
      <c r="L194" s="12"/>
      <c r="M194" s="12"/>
      <c r="N194" s="12"/>
      <c r="O194" s="12"/>
      <c r="P194" s="12"/>
      <c r="Q194" s="12"/>
      <c r="R194" s="12"/>
      <c r="S194" s="12"/>
      <c r="T194" s="12"/>
      <c r="U194" s="12"/>
    </row>
    <row r="195" customFormat="false" ht="17.35" hidden="false" customHeight="false" outlineLevel="0" collapsed="false">
      <c r="A195" s="38"/>
      <c r="B195" s="43"/>
      <c r="C195" s="43"/>
      <c r="D195" s="43"/>
      <c r="E195" s="44"/>
      <c r="F195" s="43"/>
      <c r="G195" s="43"/>
      <c r="H195" s="10"/>
      <c r="I195" s="59"/>
      <c r="J195" s="37"/>
      <c r="K195" s="10"/>
      <c r="L195" s="12"/>
      <c r="M195" s="12"/>
      <c r="N195" s="12"/>
      <c r="O195" s="12"/>
      <c r="P195" s="12"/>
      <c r="Q195" s="12"/>
      <c r="R195" s="12"/>
      <c r="S195" s="12"/>
      <c r="T195" s="12"/>
      <c r="U195" s="12"/>
    </row>
    <row r="196" customFormat="false" ht="17.35" hidden="false" customHeight="false" outlineLevel="0" collapsed="false">
      <c r="A196" s="38"/>
      <c r="B196" s="43"/>
      <c r="C196" s="43"/>
      <c r="D196" s="43"/>
      <c r="E196" s="44"/>
      <c r="F196" s="43"/>
      <c r="G196" s="43"/>
      <c r="H196" s="10"/>
      <c r="I196" s="59"/>
      <c r="J196" s="37"/>
      <c r="K196" s="10"/>
      <c r="L196" s="12"/>
      <c r="M196" s="12"/>
      <c r="N196" s="12"/>
      <c r="O196" s="12"/>
      <c r="P196" s="12"/>
      <c r="Q196" s="12"/>
      <c r="R196" s="12"/>
      <c r="S196" s="12"/>
      <c r="T196" s="12"/>
      <c r="U196" s="12"/>
    </row>
    <row r="197" customFormat="false" ht="17.35" hidden="false" customHeight="false" outlineLevel="0" collapsed="false">
      <c r="A197" s="38"/>
      <c r="B197" s="43"/>
      <c r="C197" s="43"/>
      <c r="D197" s="43"/>
      <c r="E197" s="44"/>
      <c r="F197" s="43"/>
      <c r="G197" s="43"/>
      <c r="H197" s="10"/>
      <c r="I197" s="59"/>
      <c r="J197" s="37"/>
      <c r="K197" s="10"/>
      <c r="L197" s="12"/>
      <c r="M197" s="12"/>
      <c r="N197" s="12"/>
      <c r="O197" s="12"/>
      <c r="P197" s="12"/>
      <c r="Q197" s="12"/>
      <c r="R197" s="12"/>
      <c r="S197" s="12"/>
      <c r="T197" s="12"/>
      <c r="U197" s="12"/>
    </row>
    <row r="198" customFormat="false" ht="17.35" hidden="false" customHeight="false" outlineLevel="0" collapsed="false">
      <c r="A198" s="38"/>
      <c r="B198" s="43"/>
      <c r="C198" s="43"/>
      <c r="D198" s="43"/>
      <c r="E198" s="44"/>
      <c r="F198" s="43"/>
      <c r="G198" s="43"/>
      <c r="H198" s="10"/>
      <c r="I198" s="59"/>
      <c r="J198" s="37"/>
      <c r="K198" s="10"/>
      <c r="L198" s="12"/>
      <c r="M198" s="12"/>
      <c r="N198" s="12"/>
      <c r="O198" s="12"/>
      <c r="P198" s="12"/>
      <c r="Q198" s="12"/>
      <c r="R198" s="12"/>
      <c r="S198" s="12"/>
      <c r="T198" s="12"/>
      <c r="U198" s="12"/>
    </row>
    <row r="199" customFormat="false" ht="17.35" hidden="false" customHeight="false" outlineLevel="0" collapsed="false">
      <c r="A199" s="38"/>
      <c r="B199" s="43"/>
      <c r="C199" s="43"/>
      <c r="D199" s="43"/>
      <c r="E199" s="44"/>
      <c r="F199" s="43"/>
      <c r="G199" s="43"/>
      <c r="H199" s="10"/>
      <c r="I199" s="59"/>
      <c r="J199" s="37"/>
      <c r="K199" s="10"/>
      <c r="L199" s="12"/>
      <c r="M199" s="12"/>
      <c r="N199" s="12"/>
      <c r="O199" s="12"/>
      <c r="P199" s="12"/>
      <c r="Q199" s="12"/>
      <c r="R199" s="12"/>
      <c r="S199" s="12"/>
      <c r="T199" s="12"/>
      <c r="U199" s="12"/>
    </row>
    <row r="200" customFormat="false" ht="17.35" hidden="false" customHeight="false" outlineLevel="0" collapsed="false">
      <c r="A200" s="38"/>
      <c r="B200" s="43"/>
      <c r="C200" s="43"/>
      <c r="D200" s="43"/>
      <c r="E200" s="44"/>
      <c r="F200" s="43"/>
      <c r="G200" s="43"/>
      <c r="H200" s="10"/>
      <c r="I200" s="59"/>
      <c r="J200" s="37"/>
      <c r="K200" s="10"/>
      <c r="L200" s="12"/>
      <c r="M200" s="12"/>
      <c r="N200" s="12"/>
      <c r="O200" s="12"/>
      <c r="P200" s="12"/>
      <c r="Q200" s="12"/>
      <c r="R200" s="12"/>
      <c r="S200" s="12"/>
      <c r="T200" s="12"/>
      <c r="U200" s="12"/>
    </row>
    <row r="201" customFormat="false" ht="17.35" hidden="false" customHeight="false" outlineLevel="0" collapsed="false">
      <c r="A201" s="38"/>
      <c r="B201" s="43"/>
      <c r="C201" s="43"/>
      <c r="D201" s="43"/>
      <c r="E201" s="44"/>
      <c r="F201" s="43"/>
      <c r="G201" s="43"/>
      <c r="H201" s="10"/>
      <c r="I201" s="59"/>
      <c r="J201" s="37"/>
      <c r="K201" s="10"/>
      <c r="L201" s="12"/>
      <c r="M201" s="12"/>
      <c r="N201" s="12"/>
      <c r="O201" s="12"/>
      <c r="P201" s="12"/>
      <c r="Q201" s="12"/>
      <c r="R201" s="12"/>
      <c r="S201" s="12"/>
      <c r="T201" s="12"/>
      <c r="U201" s="12"/>
    </row>
    <row r="202" customFormat="false" ht="15" hidden="false" customHeight="false" outlineLevel="0" collapsed="false">
      <c r="A202" s="12"/>
      <c r="B202" s="61"/>
      <c r="C202" s="61"/>
      <c r="D202" s="61"/>
      <c r="E202" s="62"/>
      <c r="F202" s="61"/>
      <c r="G202" s="61"/>
      <c r="H202" s="10"/>
      <c r="I202" s="12"/>
      <c r="J202" s="63"/>
      <c r="K202" s="10"/>
      <c r="L202" s="12"/>
      <c r="M202" s="12"/>
      <c r="N202" s="12"/>
      <c r="O202" s="12"/>
      <c r="P202" s="12"/>
      <c r="Q202" s="12"/>
      <c r="R202" s="12"/>
      <c r="S202" s="12"/>
      <c r="T202" s="12"/>
      <c r="U202" s="12"/>
    </row>
    <row r="203" customFormat="false" ht="15" hidden="false" customHeight="false" outlineLevel="0" collapsed="false">
      <c r="A203" s="12"/>
      <c r="B203" s="61"/>
      <c r="C203" s="61"/>
      <c r="D203" s="61"/>
      <c r="E203" s="62"/>
      <c r="F203" s="61"/>
      <c r="G203" s="61"/>
      <c r="H203" s="10"/>
      <c r="I203" s="12"/>
      <c r="J203" s="63"/>
      <c r="K203" s="10"/>
      <c r="L203" s="12"/>
      <c r="M203" s="12"/>
      <c r="N203" s="12"/>
      <c r="O203" s="12"/>
      <c r="P203" s="12"/>
      <c r="Q203" s="12"/>
      <c r="R203" s="12"/>
      <c r="S203" s="12"/>
      <c r="T203" s="12"/>
      <c r="U203" s="12"/>
    </row>
    <row r="204" customFormat="false" ht="15" hidden="false" customHeight="false" outlineLevel="0" collapsed="false">
      <c r="A204" s="12"/>
      <c r="B204" s="61"/>
      <c r="C204" s="61"/>
      <c r="D204" s="61"/>
      <c r="E204" s="62"/>
      <c r="F204" s="61"/>
      <c r="G204" s="61"/>
      <c r="H204" s="10"/>
      <c r="I204" s="12"/>
      <c r="J204" s="63"/>
      <c r="K204" s="10"/>
      <c r="L204" s="12"/>
      <c r="M204" s="12"/>
      <c r="N204" s="12"/>
      <c r="O204" s="12"/>
      <c r="P204" s="12"/>
      <c r="Q204" s="12"/>
      <c r="R204" s="12"/>
      <c r="S204" s="12"/>
      <c r="T204" s="12"/>
      <c r="U204" s="12"/>
    </row>
    <row r="205" customFormat="false" ht="15" hidden="false" customHeight="false" outlineLevel="0" collapsed="false">
      <c r="A205" s="12"/>
      <c r="B205" s="61"/>
      <c r="C205" s="61"/>
      <c r="D205" s="61"/>
      <c r="E205" s="62"/>
      <c r="F205" s="61"/>
      <c r="G205" s="61"/>
      <c r="H205" s="10"/>
      <c r="I205" s="12"/>
      <c r="J205" s="63"/>
      <c r="K205" s="10"/>
      <c r="L205" s="12"/>
      <c r="M205" s="12"/>
      <c r="N205" s="12"/>
      <c r="O205" s="12"/>
      <c r="P205" s="12"/>
      <c r="Q205" s="12"/>
      <c r="R205" s="12"/>
      <c r="S205" s="12"/>
      <c r="T205" s="12"/>
      <c r="U205" s="12"/>
    </row>
    <row r="206" customFormat="false" ht="15" hidden="false" customHeight="false" outlineLevel="0" collapsed="false">
      <c r="A206" s="12"/>
      <c r="B206" s="61"/>
      <c r="C206" s="61"/>
      <c r="D206" s="61"/>
      <c r="E206" s="62"/>
      <c r="F206" s="61"/>
      <c r="G206" s="61"/>
      <c r="H206" s="10"/>
      <c r="I206" s="12"/>
      <c r="J206" s="63"/>
      <c r="K206" s="10"/>
      <c r="L206" s="12"/>
      <c r="M206" s="12"/>
      <c r="N206" s="12"/>
      <c r="O206" s="12"/>
      <c r="P206" s="12"/>
      <c r="Q206" s="12"/>
      <c r="R206" s="12"/>
      <c r="S206" s="12"/>
      <c r="T206" s="12"/>
      <c r="U206" s="12"/>
    </row>
    <row r="207" customFormat="false" ht="15" hidden="false" customHeight="false" outlineLevel="0" collapsed="false">
      <c r="A207" s="12"/>
      <c r="B207" s="61"/>
      <c r="C207" s="61"/>
      <c r="D207" s="61"/>
      <c r="E207" s="62"/>
      <c r="F207" s="61"/>
      <c r="G207" s="61"/>
      <c r="H207" s="10"/>
      <c r="I207" s="12"/>
      <c r="J207" s="63"/>
      <c r="K207" s="10"/>
      <c r="L207" s="12"/>
      <c r="M207" s="12"/>
      <c r="N207" s="12"/>
      <c r="O207" s="12"/>
      <c r="P207" s="12"/>
      <c r="Q207" s="12"/>
      <c r="R207" s="12"/>
      <c r="S207" s="12"/>
      <c r="T207" s="12"/>
      <c r="U207" s="12"/>
    </row>
    <row r="208" customFormat="false" ht="15" hidden="false" customHeight="false" outlineLevel="0" collapsed="false">
      <c r="A208" s="12"/>
      <c r="B208" s="61"/>
      <c r="C208" s="61"/>
      <c r="D208" s="61"/>
      <c r="E208" s="62"/>
      <c r="F208" s="61"/>
      <c r="G208" s="61"/>
      <c r="H208" s="10"/>
      <c r="I208" s="12"/>
      <c r="J208" s="63"/>
      <c r="K208" s="10"/>
      <c r="L208" s="12"/>
      <c r="M208" s="12"/>
      <c r="N208" s="12"/>
      <c r="O208" s="12"/>
      <c r="P208" s="12"/>
      <c r="Q208" s="12"/>
      <c r="R208" s="12"/>
      <c r="S208" s="12"/>
      <c r="T208" s="12"/>
      <c r="U208" s="12"/>
    </row>
    <row r="209" customFormat="false" ht="15" hidden="false" customHeight="false" outlineLevel="0" collapsed="false">
      <c r="A209" s="12"/>
      <c r="B209" s="61"/>
      <c r="C209" s="61"/>
      <c r="D209" s="61"/>
      <c r="E209" s="62"/>
      <c r="F209" s="61"/>
      <c r="G209" s="61"/>
      <c r="H209" s="10"/>
      <c r="I209" s="12"/>
      <c r="J209" s="63"/>
      <c r="K209" s="10"/>
      <c r="L209" s="12"/>
      <c r="M209" s="12"/>
      <c r="N209" s="12"/>
      <c r="O209" s="12"/>
      <c r="P209" s="12"/>
      <c r="Q209" s="12"/>
      <c r="R209" s="12"/>
      <c r="S209" s="12"/>
      <c r="T209" s="12"/>
      <c r="U209" s="12"/>
    </row>
    <row r="210" customFormat="false" ht="15" hidden="false" customHeight="false" outlineLevel="0" collapsed="false">
      <c r="A210" s="12"/>
      <c r="B210" s="61"/>
      <c r="C210" s="61"/>
      <c r="D210" s="61"/>
      <c r="E210" s="62"/>
      <c r="F210" s="61"/>
      <c r="G210" s="61"/>
      <c r="H210" s="10"/>
      <c r="I210" s="12"/>
      <c r="J210" s="63"/>
      <c r="K210" s="10"/>
      <c r="L210" s="12"/>
      <c r="M210" s="12"/>
      <c r="N210" s="12"/>
      <c r="O210" s="12"/>
      <c r="P210" s="12"/>
      <c r="Q210" s="12"/>
      <c r="R210" s="12"/>
      <c r="S210" s="12"/>
      <c r="T210" s="12"/>
      <c r="U210" s="12"/>
    </row>
    <row r="211" customFormat="false" ht="15" hidden="false" customHeight="false" outlineLevel="0" collapsed="false">
      <c r="A211" s="12"/>
      <c r="B211" s="61"/>
      <c r="C211" s="61"/>
      <c r="D211" s="61"/>
      <c r="E211" s="62"/>
      <c r="F211" s="61"/>
      <c r="G211" s="61"/>
      <c r="H211" s="10"/>
      <c r="I211" s="12"/>
      <c r="J211" s="63"/>
      <c r="K211" s="10"/>
      <c r="L211" s="12"/>
      <c r="M211" s="12"/>
      <c r="N211" s="12"/>
      <c r="O211" s="12"/>
      <c r="P211" s="12"/>
      <c r="Q211" s="12"/>
      <c r="R211" s="12"/>
      <c r="S211" s="12"/>
      <c r="T211" s="12"/>
      <c r="U211" s="12"/>
    </row>
    <row r="212" customFormat="false" ht="15" hidden="false" customHeight="false" outlineLevel="0" collapsed="false">
      <c r="A212" s="12"/>
      <c r="B212" s="61"/>
      <c r="C212" s="61"/>
      <c r="D212" s="61"/>
      <c r="E212" s="62"/>
      <c r="F212" s="61"/>
      <c r="G212" s="61"/>
      <c r="H212" s="10"/>
      <c r="I212" s="12"/>
      <c r="J212" s="63"/>
      <c r="K212" s="10"/>
      <c r="L212" s="12"/>
      <c r="M212" s="12"/>
      <c r="N212" s="12"/>
      <c r="O212" s="12"/>
      <c r="P212" s="12"/>
      <c r="Q212" s="12"/>
      <c r="R212" s="12"/>
      <c r="S212" s="12"/>
      <c r="T212" s="12"/>
      <c r="U212" s="12"/>
    </row>
    <row r="213" customFormat="false" ht="15" hidden="false" customHeight="false" outlineLevel="0" collapsed="false">
      <c r="A213" s="12"/>
      <c r="B213" s="61"/>
      <c r="C213" s="61"/>
      <c r="D213" s="61"/>
      <c r="E213" s="62"/>
      <c r="F213" s="61"/>
      <c r="G213" s="61"/>
      <c r="H213" s="10"/>
      <c r="I213" s="12"/>
      <c r="J213" s="63"/>
      <c r="K213" s="10"/>
      <c r="L213" s="12"/>
      <c r="M213" s="12"/>
      <c r="N213" s="12"/>
      <c r="O213" s="12"/>
      <c r="P213" s="12"/>
      <c r="Q213" s="12"/>
      <c r="R213" s="12"/>
      <c r="S213" s="12"/>
      <c r="T213" s="12"/>
      <c r="U213" s="12"/>
    </row>
    <row r="214" customFormat="false" ht="15" hidden="false" customHeight="false" outlineLevel="0" collapsed="false">
      <c r="A214" s="12"/>
      <c r="B214" s="61"/>
      <c r="C214" s="61"/>
      <c r="D214" s="61"/>
      <c r="E214" s="62"/>
      <c r="F214" s="61"/>
      <c r="G214" s="61"/>
      <c r="H214" s="10"/>
      <c r="I214" s="12"/>
      <c r="J214" s="63"/>
      <c r="K214" s="10"/>
      <c r="L214" s="12"/>
      <c r="M214" s="12"/>
      <c r="N214" s="12"/>
      <c r="O214" s="12"/>
      <c r="P214" s="12"/>
      <c r="Q214" s="12"/>
      <c r="R214" s="12"/>
      <c r="S214" s="12"/>
      <c r="T214" s="12"/>
      <c r="U214" s="12"/>
    </row>
    <row r="215" customFormat="false" ht="15" hidden="false" customHeight="false" outlineLevel="0" collapsed="false">
      <c r="A215" s="12"/>
      <c r="B215" s="61"/>
      <c r="C215" s="61"/>
      <c r="D215" s="61"/>
      <c r="E215" s="62"/>
      <c r="F215" s="61"/>
      <c r="G215" s="61"/>
      <c r="H215" s="10"/>
      <c r="I215" s="12"/>
      <c r="J215" s="63"/>
      <c r="K215" s="10"/>
      <c r="L215" s="12"/>
      <c r="M215" s="12"/>
      <c r="N215" s="12"/>
      <c r="O215" s="12"/>
      <c r="P215" s="12"/>
      <c r="Q215" s="12"/>
      <c r="R215" s="12"/>
      <c r="S215" s="12"/>
      <c r="T215" s="12"/>
      <c r="U215" s="12"/>
    </row>
    <row r="216" customFormat="false" ht="15" hidden="false" customHeight="false" outlineLevel="0" collapsed="false">
      <c r="A216" s="12"/>
      <c r="B216" s="61"/>
      <c r="C216" s="61"/>
      <c r="D216" s="61"/>
      <c r="E216" s="62"/>
      <c r="F216" s="61"/>
      <c r="G216" s="61"/>
      <c r="H216" s="10"/>
      <c r="I216" s="12"/>
      <c r="J216" s="63"/>
      <c r="K216" s="10"/>
      <c r="L216" s="12"/>
      <c r="M216" s="12"/>
      <c r="N216" s="12"/>
      <c r="O216" s="12"/>
      <c r="P216" s="12"/>
      <c r="Q216" s="12"/>
      <c r="R216" s="12"/>
      <c r="S216" s="12"/>
      <c r="T216" s="12"/>
      <c r="U216" s="12"/>
    </row>
    <row r="217" customFormat="false" ht="15" hidden="false" customHeight="false" outlineLevel="0" collapsed="false">
      <c r="A217" s="12"/>
      <c r="B217" s="61"/>
      <c r="C217" s="61"/>
      <c r="D217" s="61"/>
      <c r="E217" s="62"/>
      <c r="F217" s="61"/>
      <c r="G217" s="61"/>
      <c r="H217" s="10"/>
      <c r="I217" s="12"/>
      <c r="J217" s="63"/>
      <c r="K217" s="10"/>
      <c r="L217" s="12"/>
      <c r="M217" s="12"/>
      <c r="N217" s="12"/>
      <c r="O217" s="12"/>
      <c r="P217" s="12"/>
      <c r="Q217" s="12"/>
      <c r="R217" s="12"/>
      <c r="S217" s="12"/>
      <c r="T217" s="12"/>
      <c r="U217" s="12"/>
    </row>
    <row r="218" customFormat="false" ht="15" hidden="false" customHeight="false" outlineLevel="0" collapsed="false">
      <c r="A218" s="12"/>
      <c r="B218" s="61"/>
      <c r="C218" s="61"/>
      <c r="D218" s="61"/>
      <c r="E218" s="62"/>
      <c r="F218" s="61"/>
      <c r="G218" s="61"/>
      <c r="H218" s="10"/>
      <c r="I218" s="12"/>
      <c r="J218" s="63"/>
      <c r="K218" s="10"/>
      <c r="L218" s="12"/>
      <c r="M218" s="12"/>
      <c r="N218" s="12"/>
      <c r="O218" s="12"/>
      <c r="P218" s="12"/>
      <c r="Q218" s="12"/>
      <c r="R218" s="12"/>
      <c r="S218" s="12"/>
      <c r="T218" s="12"/>
      <c r="U218" s="12"/>
    </row>
    <row r="219" customFormat="false" ht="15" hidden="false" customHeight="false" outlineLevel="0" collapsed="false">
      <c r="A219" s="12"/>
      <c r="B219" s="61"/>
      <c r="C219" s="61"/>
      <c r="D219" s="61"/>
      <c r="E219" s="62"/>
      <c r="F219" s="61"/>
      <c r="G219" s="61"/>
      <c r="H219" s="10"/>
      <c r="I219" s="12"/>
      <c r="J219" s="63"/>
      <c r="K219" s="10"/>
      <c r="L219" s="12"/>
      <c r="M219" s="12"/>
      <c r="N219" s="12"/>
      <c r="O219" s="12"/>
      <c r="P219" s="12"/>
      <c r="Q219" s="12"/>
      <c r="R219" s="12"/>
      <c r="S219" s="12"/>
      <c r="T219" s="12"/>
      <c r="U219" s="12"/>
    </row>
    <row r="220" customFormat="false" ht="15" hidden="false" customHeight="false" outlineLevel="0" collapsed="false">
      <c r="A220" s="12"/>
      <c r="B220" s="61"/>
      <c r="C220" s="61"/>
      <c r="D220" s="61"/>
      <c r="E220" s="62"/>
      <c r="F220" s="61"/>
      <c r="G220" s="61"/>
      <c r="H220" s="10"/>
      <c r="I220" s="12"/>
      <c r="J220" s="63"/>
      <c r="K220" s="10"/>
      <c r="L220" s="12"/>
      <c r="M220" s="12"/>
      <c r="N220" s="12"/>
      <c r="O220" s="12"/>
      <c r="P220" s="12"/>
      <c r="Q220" s="12"/>
      <c r="R220" s="12"/>
      <c r="S220" s="12"/>
      <c r="T220" s="12"/>
      <c r="U220" s="12"/>
    </row>
    <row r="221" customFormat="false" ht="15" hidden="false" customHeight="false" outlineLevel="0" collapsed="false">
      <c r="A221" s="12"/>
      <c r="B221" s="61"/>
      <c r="C221" s="61"/>
      <c r="D221" s="61"/>
      <c r="E221" s="62"/>
      <c r="F221" s="61"/>
      <c r="G221" s="61"/>
      <c r="H221" s="10"/>
      <c r="I221" s="12"/>
      <c r="J221" s="63"/>
      <c r="K221" s="10"/>
      <c r="L221" s="12"/>
      <c r="M221" s="12"/>
      <c r="N221" s="12"/>
      <c r="O221" s="12"/>
      <c r="P221" s="12"/>
      <c r="Q221" s="12"/>
      <c r="R221" s="12"/>
      <c r="S221" s="12"/>
      <c r="T221" s="12"/>
      <c r="U221" s="12"/>
    </row>
    <row r="222" customFormat="false" ht="15" hidden="false" customHeight="false" outlineLevel="0" collapsed="false">
      <c r="A222" s="12"/>
      <c r="B222" s="61"/>
      <c r="C222" s="61"/>
      <c r="D222" s="61"/>
      <c r="E222" s="62"/>
      <c r="F222" s="61"/>
      <c r="G222" s="61"/>
      <c r="H222" s="10"/>
      <c r="I222" s="12"/>
      <c r="J222" s="63"/>
      <c r="K222" s="10"/>
      <c r="L222" s="12"/>
      <c r="M222" s="12"/>
      <c r="N222" s="12"/>
      <c r="O222" s="12"/>
      <c r="P222" s="12"/>
      <c r="Q222" s="12"/>
      <c r="R222" s="12"/>
      <c r="S222" s="12"/>
      <c r="T222" s="12"/>
      <c r="U222" s="12"/>
    </row>
    <row r="223" customFormat="false" ht="15" hidden="false" customHeight="false" outlineLevel="0" collapsed="false">
      <c r="A223" s="12"/>
      <c r="B223" s="61"/>
      <c r="C223" s="61"/>
      <c r="D223" s="61"/>
      <c r="E223" s="62"/>
      <c r="F223" s="61"/>
      <c r="G223" s="61"/>
      <c r="H223" s="10"/>
      <c r="I223" s="12"/>
      <c r="J223" s="63"/>
      <c r="K223" s="10"/>
      <c r="L223" s="12"/>
      <c r="M223" s="12"/>
      <c r="N223" s="12"/>
      <c r="O223" s="12"/>
      <c r="P223" s="12"/>
      <c r="Q223" s="12"/>
      <c r="R223" s="12"/>
      <c r="S223" s="12"/>
      <c r="T223" s="12"/>
      <c r="U223" s="12"/>
    </row>
    <row r="224" customFormat="false" ht="15" hidden="false" customHeight="false" outlineLevel="0" collapsed="false">
      <c r="A224" s="12"/>
      <c r="B224" s="61"/>
      <c r="C224" s="61"/>
      <c r="D224" s="61"/>
      <c r="E224" s="62"/>
      <c r="F224" s="61"/>
      <c r="G224" s="61"/>
      <c r="H224" s="10"/>
      <c r="I224" s="12"/>
      <c r="J224" s="63"/>
      <c r="K224" s="10"/>
      <c r="L224" s="12"/>
      <c r="M224" s="12"/>
      <c r="N224" s="12"/>
      <c r="O224" s="12"/>
      <c r="P224" s="12"/>
      <c r="Q224" s="12"/>
      <c r="R224" s="12"/>
      <c r="S224" s="12"/>
      <c r="T224" s="12"/>
      <c r="U224" s="12"/>
    </row>
    <row r="225" customFormat="false" ht="15" hidden="false" customHeight="false" outlineLevel="0" collapsed="false">
      <c r="A225" s="12"/>
      <c r="B225" s="61"/>
      <c r="C225" s="61"/>
      <c r="D225" s="61"/>
      <c r="E225" s="62"/>
      <c r="F225" s="61"/>
      <c r="G225" s="61"/>
      <c r="H225" s="10"/>
      <c r="I225" s="12"/>
      <c r="J225" s="63"/>
      <c r="K225" s="10"/>
      <c r="L225" s="12"/>
      <c r="M225" s="12"/>
      <c r="N225" s="12"/>
      <c r="O225" s="12"/>
      <c r="P225" s="12"/>
      <c r="Q225" s="12"/>
      <c r="R225" s="12"/>
      <c r="S225" s="12"/>
      <c r="T225" s="12"/>
      <c r="U225" s="12"/>
    </row>
    <row r="226" customFormat="false" ht="15" hidden="false" customHeight="false" outlineLevel="0" collapsed="false">
      <c r="A226" s="12"/>
      <c r="B226" s="61"/>
      <c r="C226" s="61"/>
      <c r="D226" s="61"/>
      <c r="E226" s="62"/>
      <c r="F226" s="61"/>
      <c r="G226" s="61"/>
      <c r="H226" s="10"/>
      <c r="I226" s="12"/>
      <c r="J226" s="63"/>
      <c r="K226" s="10"/>
      <c r="L226" s="12"/>
      <c r="M226" s="12"/>
      <c r="N226" s="12"/>
      <c r="O226" s="12"/>
      <c r="P226" s="12"/>
      <c r="Q226" s="12"/>
      <c r="R226" s="12"/>
      <c r="S226" s="12"/>
      <c r="T226" s="12"/>
      <c r="U226" s="12"/>
    </row>
    <row r="227" customFormat="false" ht="15" hidden="false" customHeight="false" outlineLevel="0" collapsed="false">
      <c r="A227" s="12"/>
      <c r="B227" s="61"/>
      <c r="C227" s="61"/>
      <c r="D227" s="61"/>
      <c r="E227" s="62"/>
      <c r="F227" s="61"/>
      <c r="G227" s="61"/>
      <c r="H227" s="10"/>
      <c r="I227" s="12"/>
      <c r="J227" s="63"/>
      <c r="K227" s="10"/>
      <c r="L227" s="12"/>
      <c r="M227" s="12"/>
      <c r="N227" s="12"/>
      <c r="O227" s="12"/>
      <c r="P227" s="12"/>
      <c r="Q227" s="12"/>
      <c r="R227" s="12"/>
      <c r="S227" s="12"/>
      <c r="T227" s="12"/>
      <c r="U227" s="12"/>
    </row>
    <row r="228" customFormat="false" ht="15" hidden="false" customHeight="false" outlineLevel="0" collapsed="false">
      <c r="A228" s="12"/>
      <c r="B228" s="61"/>
      <c r="C228" s="61"/>
      <c r="D228" s="61"/>
      <c r="E228" s="62"/>
      <c r="F228" s="61"/>
      <c r="G228" s="61"/>
      <c r="H228" s="10"/>
      <c r="I228" s="12"/>
      <c r="J228" s="63"/>
      <c r="K228" s="10"/>
      <c r="L228" s="12"/>
      <c r="M228" s="12"/>
      <c r="N228" s="12"/>
      <c r="O228" s="12"/>
      <c r="P228" s="12"/>
      <c r="Q228" s="12"/>
      <c r="R228" s="12"/>
      <c r="S228" s="12"/>
      <c r="T228" s="12"/>
      <c r="U228" s="12"/>
    </row>
    <row r="229" customFormat="false" ht="15" hidden="false" customHeight="false" outlineLevel="0" collapsed="false">
      <c r="A229" s="12"/>
      <c r="B229" s="61"/>
      <c r="C229" s="61"/>
      <c r="D229" s="61"/>
      <c r="E229" s="62"/>
      <c r="F229" s="61"/>
      <c r="G229" s="61"/>
      <c r="H229" s="10"/>
      <c r="I229" s="12"/>
      <c r="J229" s="63"/>
      <c r="K229" s="10"/>
      <c r="L229" s="12"/>
      <c r="M229" s="12"/>
      <c r="N229" s="12"/>
      <c r="O229" s="12"/>
      <c r="P229" s="12"/>
      <c r="Q229" s="12"/>
      <c r="R229" s="12"/>
      <c r="S229" s="12"/>
      <c r="T229" s="12"/>
      <c r="U229" s="12"/>
    </row>
    <row r="230" customFormat="false" ht="15" hidden="false" customHeight="false" outlineLevel="0" collapsed="false">
      <c r="A230" s="12"/>
      <c r="B230" s="61"/>
      <c r="C230" s="61"/>
      <c r="D230" s="61"/>
      <c r="E230" s="62"/>
      <c r="F230" s="61"/>
      <c r="G230" s="61"/>
      <c r="H230" s="10"/>
      <c r="I230" s="12"/>
      <c r="J230" s="63"/>
      <c r="K230" s="10"/>
      <c r="L230" s="12"/>
      <c r="M230" s="12"/>
      <c r="N230" s="12"/>
      <c r="O230" s="12"/>
      <c r="P230" s="12"/>
      <c r="Q230" s="12"/>
      <c r="R230" s="12"/>
      <c r="S230" s="12"/>
      <c r="T230" s="12"/>
      <c r="U230" s="12"/>
    </row>
    <row r="231" customFormat="false" ht="15" hidden="false" customHeight="false" outlineLevel="0" collapsed="false">
      <c r="A231" s="12"/>
      <c r="B231" s="61"/>
      <c r="C231" s="61"/>
      <c r="D231" s="61"/>
      <c r="E231" s="62"/>
      <c r="F231" s="61"/>
      <c r="G231" s="61"/>
      <c r="H231" s="10"/>
      <c r="I231" s="12"/>
      <c r="J231" s="63"/>
      <c r="K231" s="10"/>
      <c r="L231" s="12"/>
      <c r="M231" s="12"/>
      <c r="N231" s="12"/>
      <c r="O231" s="12"/>
      <c r="P231" s="12"/>
      <c r="Q231" s="12"/>
      <c r="R231" s="12"/>
      <c r="S231" s="12"/>
      <c r="T231" s="12"/>
      <c r="U231" s="12"/>
    </row>
    <row r="232" customFormat="false" ht="15" hidden="false" customHeight="false" outlineLevel="0" collapsed="false">
      <c r="A232" s="12"/>
      <c r="B232" s="61"/>
      <c r="C232" s="61"/>
      <c r="D232" s="61"/>
      <c r="E232" s="62"/>
      <c r="F232" s="61"/>
      <c r="G232" s="61"/>
      <c r="H232" s="10"/>
      <c r="I232" s="12"/>
      <c r="J232" s="63"/>
      <c r="K232" s="10"/>
      <c r="L232" s="12"/>
      <c r="M232" s="12"/>
      <c r="N232" s="12"/>
      <c r="O232" s="12"/>
      <c r="P232" s="12"/>
      <c r="Q232" s="12"/>
      <c r="R232" s="12"/>
      <c r="S232" s="12"/>
      <c r="T232" s="12"/>
      <c r="U232" s="12"/>
    </row>
    <row r="233" customFormat="false" ht="15" hidden="false" customHeight="false" outlineLevel="0" collapsed="false">
      <c r="A233" s="12"/>
      <c r="B233" s="61"/>
      <c r="C233" s="61"/>
      <c r="D233" s="61"/>
      <c r="E233" s="62"/>
      <c r="F233" s="61"/>
      <c r="G233" s="61"/>
      <c r="H233" s="10"/>
      <c r="I233" s="12"/>
      <c r="J233" s="63"/>
      <c r="K233" s="10"/>
      <c r="L233" s="12"/>
      <c r="M233" s="12"/>
      <c r="N233" s="12"/>
      <c r="O233" s="12"/>
      <c r="P233" s="12"/>
      <c r="Q233" s="12"/>
      <c r="R233" s="12"/>
      <c r="S233" s="12"/>
      <c r="T233" s="12"/>
      <c r="U233" s="12"/>
    </row>
    <row r="234" customFormat="false" ht="15" hidden="false" customHeight="false" outlineLevel="0" collapsed="false">
      <c r="A234" s="12"/>
      <c r="B234" s="61"/>
      <c r="C234" s="61"/>
      <c r="D234" s="61"/>
      <c r="E234" s="62"/>
      <c r="F234" s="61"/>
      <c r="G234" s="61"/>
      <c r="H234" s="10"/>
      <c r="I234" s="12"/>
      <c r="J234" s="63"/>
      <c r="K234" s="10"/>
      <c r="L234" s="12"/>
      <c r="M234" s="12"/>
      <c r="N234" s="12"/>
      <c r="O234" s="12"/>
      <c r="P234" s="12"/>
      <c r="Q234" s="12"/>
      <c r="R234" s="12"/>
      <c r="S234" s="12"/>
      <c r="T234" s="12"/>
      <c r="U234" s="12"/>
    </row>
    <row r="235" customFormat="false" ht="15" hidden="false" customHeight="false" outlineLevel="0" collapsed="false">
      <c r="A235" s="12"/>
      <c r="B235" s="61"/>
      <c r="C235" s="61"/>
      <c r="D235" s="61"/>
      <c r="E235" s="62"/>
      <c r="F235" s="61"/>
      <c r="G235" s="61"/>
      <c r="H235" s="10"/>
      <c r="I235" s="12"/>
      <c r="J235" s="63"/>
      <c r="K235" s="10"/>
      <c r="L235" s="12"/>
      <c r="M235" s="12"/>
      <c r="N235" s="12"/>
      <c r="O235" s="12"/>
      <c r="P235" s="12"/>
      <c r="Q235" s="12"/>
      <c r="R235" s="12"/>
      <c r="S235" s="12"/>
      <c r="T235" s="12"/>
      <c r="U235" s="12"/>
    </row>
    <row r="236" customFormat="false" ht="15" hidden="false" customHeight="false" outlineLevel="0" collapsed="false">
      <c r="A236" s="12"/>
      <c r="B236" s="61"/>
      <c r="C236" s="61"/>
      <c r="D236" s="61"/>
      <c r="E236" s="62"/>
      <c r="F236" s="61"/>
      <c r="G236" s="61"/>
      <c r="H236" s="10"/>
      <c r="I236" s="12"/>
      <c r="J236" s="63"/>
      <c r="K236" s="10"/>
      <c r="L236" s="12"/>
      <c r="M236" s="12"/>
      <c r="N236" s="12"/>
      <c r="O236" s="12"/>
      <c r="P236" s="12"/>
      <c r="Q236" s="12"/>
      <c r="R236" s="12"/>
      <c r="S236" s="12"/>
      <c r="T236" s="12"/>
      <c r="U236" s="12"/>
    </row>
    <row r="237" customFormat="false" ht="15" hidden="false" customHeight="false" outlineLevel="0" collapsed="false">
      <c r="A237" s="12"/>
      <c r="B237" s="61"/>
      <c r="C237" s="61"/>
      <c r="D237" s="61"/>
      <c r="E237" s="62"/>
      <c r="F237" s="61"/>
      <c r="G237" s="61"/>
      <c r="H237" s="10"/>
      <c r="I237" s="12"/>
      <c r="J237" s="63"/>
      <c r="K237" s="10"/>
      <c r="L237" s="12"/>
      <c r="M237" s="12"/>
      <c r="N237" s="12"/>
      <c r="O237" s="12"/>
      <c r="P237" s="12"/>
      <c r="Q237" s="12"/>
      <c r="R237" s="12"/>
      <c r="S237" s="12"/>
      <c r="T237" s="12"/>
      <c r="U237" s="12"/>
    </row>
    <row r="238" customFormat="false" ht="15" hidden="false" customHeight="false" outlineLevel="0" collapsed="false">
      <c r="A238" s="12"/>
      <c r="B238" s="61"/>
      <c r="C238" s="61"/>
      <c r="D238" s="61"/>
      <c r="E238" s="62"/>
      <c r="F238" s="61"/>
      <c r="G238" s="61"/>
      <c r="H238" s="10"/>
      <c r="I238" s="12"/>
      <c r="J238" s="63"/>
      <c r="K238" s="10"/>
      <c r="L238" s="12"/>
      <c r="M238" s="12"/>
      <c r="N238" s="12"/>
      <c r="O238" s="12"/>
      <c r="P238" s="12"/>
      <c r="Q238" s="12"/>
      <c r="R238" s="12"/>
      <c r="S238" s="12"/>
      <c r="T238" s="12"/>
      <c r="U238" s="12"/>
    </row>
    <row r="239" customFormat="false" ht="15" hidden="false" customHeight="false" outlineLevel="0" collapsed="false">
      <c r="A239" s="12"/>
      <c r="B239" s="61"/>
      <c r="C239" s="61"/>
      <c r="D239" s="61"/>
      <c r="E239" s="62"/>
      <c r="F239" s="61"/>
      <c r="G239" s="61"/>
      <c r="H239" s="10"/>
      <c r="I239" s="12"/>
      <c r="J239" s="63"/>
      <c r="K239" s="10"/>
      <c r="L239" s="12"/>
      <c r="M239" s="12"/>
      <c r="N239" s="12"/>
      <c r="O239" s="12"/>
      <c r="P239" s="12"/>
      <c r="Q239" s="12"/>
      <c r="R239" s="12"/>
      <c r="S239" s="12"/>
      <c r="T239" s="12"/>
      <c r="U239" s="12"/>
    </row>
    <row r="240" customFormat="false" ht="15" hidden="false" customHeight="false" outlineLevel="0" collapsed="false">
      <c r="A240" s="12"/>
      <c r="B240" s="61"/>
      <c r="C240" s="61"/>
      <c r="D240" s="61"/>
      <c r="E240" s="62"/>
      <c r="F240" s="61"/>
      <c r="G240" s="61"/>
      <c r="H240" s="10"/>
      <c r="I240" s="12"/>
      <c r="J240" s="63"/>
      <c r="K240" s="10"/>
      <c r="L240" s="12"/>
      <c r="M240" s="12"/>
      <c r="N240" s="12"/>
      <c r="O240" s="12"/>
      <c r="P240" s="12"/>
      <c r="Q240" s="12"/>
      <c r="R240" s="12"/>
      <c r="S240" s="12"/>
      <c r="T240" s="12"/>
      <c r="U240" s="12"/>
    </row>
    <row r="241" customFormat="false" ht="15" hidden="false" customHeight="false" outlineLevel="0" collapsed="false">
      <c r="A241" s="12"/>
      <c r="B241" s="61"/>
      <c r="C241" s="61"/>
      <c r="D241" s="61"/>
      <c r="E241" s="62"/>
      <c r="F241" s="61"/>
      <c r="G241" s="61"/>
      <c r="H241" s="10"/>
      <c r="I241" s="12"/>
      <c r="J241" s="63"/>
      <c r="K241" s="10"/>
      <c r="L241" s="12"/>
      <c r="M241" s="12"/>
      <c r="N241" s="12"/>
      <c r="O241" s="12"/>
      <c r="P241" s="12"/>
      <c r="Q241" s="12"/>
      <c r="R241" s="12"/>
      <c r="S241" s="12"/>
      <c r="T241" s="12"/>
      <c r="U241" s="12"/>
    </row>
    <row r="242" customFormat="false" ht="15" hidden="false" customHeight="false" outlineLevel="0" collapsed="false">
      <c r="A242" s="12"/>
      <c r="B242" s="61"/>
      <c r="C242" s="61"/>
      <c r="D242" s="61"/>
      <c r="E242" s="62"/>
      <c r="F242" s="61"/>
      <c r="G242" s="61"/>
      <c r="H242" s="10"/>
      <c r="I242" s="12"/>
      <c r="J242" s="63"/>
      <c r="K242" s="10"/>
      <c r="L242" s="12"/>
      <c r="M242" s="12"/>
      <c r="N242" s="12"/>
      <c r="O242" s="12"/>
      <c r="P242" s="12"/>
      <c r="Q242" s="12"/>
      <c r="R242" s="12"/>
      <c r="S242" s="12"/>
      <c r="T242" s="12"/>
      <c r="U242" s="12"/>
    </row>
    <row r="243" customFormat="false" ht="15" hidden="false" customHeight="false" outlineLevel="0" collapsed="false">
      <c r="A243" s="12"/>
      <c r="B243" s="61"/>
      <c r="C243" s="61"/>
      <c r="D243" s="61"/>
      <c r="E243" s="62"/>
      <c r="F243" s="61"/>
      <c r="G243" s="61"/>
      <c r="H243" s="10"/>
      <c r="I243" s="12"/>
      <c r="J243" s="63"/>
      <c r="K243" s="10"/>
      <c r="L243" s="12"/>
      <c r="M243" s="12"/>
      <c r="N243" s="12"/>
      <c r="O243" s="12"/>
      <c r="P243" s="12"/>
      <c r="Q243" s="12"/>
      <c r="R243" s="12"/>
      <c r="S243" s="12"/>
      <c r="T243" s="12"/>
      <c r="U243" s="12"/>
    </row>
    <row r="244" customFormat="false" ht="15" hidden="false" customHeight="false" outlineLevel="0" collapsed="false">
      <c r="A244" s="12"/>
      <c r="B244" s="61"/>
      <c r="C244" s="61"/>
      <c r="D244" s="61"/>
      <c r="E244" s="62"/>
      <c r="F244" s="61"/>
      <c r="G244" s="61"/>
      <c r="H244" s="10"/>
      <c r="I244" s="12"/>
      <c r="J244" s="63"/>
      <c r="K244" s="10"/>
      <c r="L244" s="12"/>
      <c r="M244" s="12"/>
      <c r="N244" s="12"/>
      <c r="O244" s="12"/>
      <c r="P244" s="12"/>
      <c r="Q244" s="12"/>
      <c r="R244" s="12"/>
      <c r="S244" s="12"/>
      <c r="T244" s="12"/>
      <c r="U244" s="12"/>
    </row>
    <row r="245" customFormat="false" ht="15" hidden="false" customHeight="false" outlineLevel="0" collapsed="false">
      <c r="A245" s="12"/>
      <c r="B245" s="61"/>
      <c r="C245" s="61"/>
      <c r="D245" s="61"/>
      <c r="E245" s="62"/>
      <c r="F245" s="61"/>
      <c r="G245" s="61"/>
      <c r="H245" s="10"/>
      <c r="I245" s="12"/>
      <c r="J245" s="63"/>
      <c r="K245" s="10"/>
      <c r="L245" s="12"/>
      <c r="M245" s="12"/>
      <c r="N245" s="12"/>
      <c r="O245" s="12"/>
      <c r="P245" s="12"/>
      <c r="Q245" s="12"/>
      <c r="R245" s="12"/>
      <c r="S245" s="12"/>
      <c r="T245" s="12"/>
      <c r="U245" s="12"/>
    </row>
    <row r="246" customFormat="false" ht="15" hidden="false" customHeight="false" outlineLevel="0" collapsed="false">
      <c r="A246" s="12"/>
      <c r="B246" s="61"/>
      <c r="C246" s="61"/>
      <c r="D246" s="61"/>
      <c r="E246" s="62"/>
      <c r="F246" s="61"/>
      <c r="G246" s="61"/>
      <c r="H246" s="10"/>
      <c r="I246" s="12"/>
      <c r="J246" s="63"/>
      <c r="K246" s="10"/>
      <c r="L246" s="12"/>
      <c r="M246" s="12"/>
      <c r="N246" s="12"/>
      <c r="O246" s="12"/>
      <c r="P246" s="12"/>
      <c r="Q246" s="12"/>
      <c r="R246" s="12"/>
      <c r="S246" s="12"/>
      <c r="T246" s="12"/>
      <c r="U246" s="12"/>
    </row>
    <row r="247" customFormat="false" ht="15" hidden="false" customHeight="false" outlineLevel="0" collapsed="false">
      <c r="A247" s="12"/>
      <c r="B247" s="61"/>
      <c r="C247" s="61"/>
      <c r="D247" s="61"/>
      <c r="E247" s="62"/>
      <c r="F247" s="61"/>
      <c r="G247" s="61"/>
      <c r="H247" s="10"/>
      <c r="I247" s="12"/>
      <c r="J247" s="63"/>
      <c r="K247" s="10"/>
      <c r="L247" s="12"/>
      <c r="M247" s="12"/>
      <c r="N247" s="12"/>
      <c r="O247" s="12"/>
      <c r="P247" s="12"/>
      <c r="Q247" s="12"/>
      <c r="R247" s="12"/>
      <c r="S247" s="12"/>
      <c r="T247" s="12"/>
      <c r="U247" s="12"/>
    </row>
    <row r="248" customFormat="false" ht="15" hidden="false" customHeight="false" outlineLevel="0" collapsed="false">
      <c r="A248" s="12"/>
      <c r="B248" s="61"/>
      <c r="C248" s="61"/>
      <c r="D248" s="61"/>
      <c r="E248" s="62"/>
      <c r="F248" s="61"/>
      <c r="G248" s="61"/>
      <c r="H248" s="10"/>
      <c r="I248" s="12"/>
      <c r="J248" s="63"/>
      <c r="K248" s="10"/>
      <c r="L248" s="12"/>
      <c r="M248" s="12"/>
      <c r="N248" s="12"/>
      <c r="O248" s="12"/>
      <c r="P248" s="12"/>
      <c r="Q248" s="12"/>
      <c r="R248" s="12"/>
      <c r="S248" s="12"/>
      <c r="T248" s="12"/>
      <c r="U248" s="12"/>
    </row>
    <row r="249" customFormat="false" ht="15" hidden="false" customHeight="false" outlineLevel="0" collapsed="false">
      <c r="A249" s="12"/>
      <c r="B249" s="61"/>
      <c r="C249" s="61"/>
      <c r="D249" s="61"/>
      <c r="E249" s="62"/>
      <c r="F249" s="61"/>
      <c r="G249" s="61"/>
      <c r="H249" s="10"/>
      <c r="I249" s="12"/>
      <c r="J249" s="63"/>
      <c r="K249" s="10"/>
      <c r="L249" s="12"/>
      <c r="M249" s="12"/>
      <c r="N249" s="12"/>
      <c r="O249" s="12"/>
      <c r="P249" s="12"/>
      <c r="Q249" s="12"/>
      <c r="R249" s="12"/>
      <c r="S249" s="12"/>
      <c r="T249" s="12"/>
      <c r="U249" s="12"/>
    </row>
    <row r="250" customFormat="false" ht="15" hidden="false" customHeight="false" outlineLevel="0" collapsed="false">
      <c r="A250" s="12"/>
      <c r="B250" s="61"/>
      <c r="C250" s="61"/>
      <c r="D250" s="61"/>
      <c r="E250" s="62"/>
      <c r="F250" s="61"/>
      <c r="G250" s="61"/>
      <c r="H250" s="10"/>
      <c r="I250" s="12"/>
      <c r="J250" s="63"/>
      <c r="K250" s="10"/>
      <c r="L250" s="12"/>
      <c r="M250" s="12"/>
      <c r="N250" s="12"/>
      <c r="O250" s="12"/>
      <c r="P250" s="12"/>
      <c r="Q250" s="12"/>
      <c r="R250" s="12"/>
      <c r="S250" s="12"/>
      <c r="T250" s="12"/>
      <c r="U250" s="12"/>
    </row>
    <row r="251" customFormat="false" ht="15" hidden="false" customHeight="false" outlineLevel="0" collapsed="false">
      <c r="A251" s="12"/>
      <c r="B251" s="61"/>
      <c r="C251" s="61"/>
      <c r="D251" s="61"/>
      <c r="E251" s="62"/>
      <c r="F251" s="61"/>
      <c r="G251" s="61"/>
      <c r="H251" s="10"/>
      <c r="I251" s="12"/>
      <c r="J251" s="63"/>
      <c r="K251" s="10"/>
      <c r="L251" s="12"/>
      <c r="M251" s="12"/>
      <c r="N251" s="12"/>
      <c r="O251" s="12"/>
      <c r="P251" s="12"/>
      <c r="Q251" s="12"/>
      <c r="R251" s="12"/>
      <c r="S251" s="12"/>
      <c r="T251" s="12"/>
      <c r="U251" s="12"/>
    </row>
    <row r="252" customFormat="false" ht="15" hidden="false" customHeight="false" outlineLevel="0" collapsed="false">
      <c r="A252" s="12"/>
      <c r="B252" s="61"/>
      <c r="C252" s="61"/>
      <c r="D252" s="61"/>
      <c r="E252" s="62"/>
      <c r="F252" s="61"/>
      <c r="G252" s="61"/>
      <c r="H252" s="10"/>
      <c r="I252" s="12"/>
      <c r="J252" s="63"/>
      <c r="K252" s="10"/>
      <c r="L252" s="12"/>
      <c r="M252" s="12"/>
      <c r="N252" s="12"/>
      <c r="O252" s="12"/>
      <c r="P252" s="12"/>
      <c r="Q252" s="12"/>
      <c r="R252" s="12"/>
      <c r="S252" s="12"/>
      <c r="T252" s="12"/>
      <c r="U252" s="12"/>
    </row>
    <row r="253" customFormat="false" ht="15" hidden="false" customHeight="false" outlineLevel="0" collapsed="false">
      <c r="A253" s="12"/>
      <c r="B253" s="61"/>
      <c r="C253" s="61"/>
      <c r="D253" s="61"/>
      <c r="E253" s="62"/>
      <c r="F253" s="61"/>
      <c r="G253" s="61"/>
      <c r="H253" s="10"/>
      <c r="I253" s="12"/>
      <c r="J253" s="63"/>
      <c r="K253" s="10"/>
      <c r="L253" s="12"/>
      <c r="M253" s="12"/>
      <c r="N253" s="12"/>
      <c r="O253" s="12"/>
      <c r="P253" s="12"/>
      <c r="Q253" s="12"/>
      <c r="R253" s="12"/>
      <c r="S253" s="12"/>
      <c r="T253" s="12"/>
      <c r="U253" s="12"/>
    </row>
    <row r="254" customFormat="false" ht="15" hidden="false" customHeight="false" outlineLevel="0" collapsed="false">
      <c r="A254" s="12"/>
      <c r="B254" s="61"/>
      <c r="C254" s="61"/>
      <c r="D254" s="61"/>
      <c r="E254" s="62"/>
      <c r="F254" s="61"/>
      <c r="G254" s="61"/>
      <c r="H254" s="10"/>
      <c r="I254" s="12"/>
      <c r="J254" s="63"/>
      <c r="K254" s="10"/>
      <c r="L254" s="12"/>
      <c r="M254" s="12"/>
      <c r="N254" s="12"/>
      <c r="O254" s="12"/>
      <c r="P254" s="12"/>
      <c r="Q254" s="12"/>
      <c r="R254" s="12"/>
      <c r="S254" s="12"/>
      <c r="T254" s="12"/>
      <c r="U254" s="12"/>
    </row>
    <row r="255" customFormat="false" ht="15" hidden="false" customHeight="false" outlineLevel="0" collapsed="false">
      <c r="A255" s="12"/>
      <c r="B255" s="61"/>
      <c r="C255" s="61"/>
      <c r="D255" s="61"/>
      <c r="E255" s="62"/>
      <c r="F255" s="61"/>
      <c r="G255" s="61"/>
      <c r="H255" s="10"/>
      <c r="I255" s="12"/>
      <c r="J255" s="63"/>
      <c r="K255" s="10"/>
      <c r="L255" s="12"/>
      <c r="M255" s="12"/>
      <c r="N255" s="12"/>
      <c r="O255" s="12"/>
      <c r="P255" s="12"/>
      <c r="Q255" s="12"/>
      <c r="R255" s="12"/>
      <c r="S255" s="12"/>
      <c r="T255" s="12"/>
      <c r="U255" s="12"/>
    </row>
    <row r="256" customFormat="false" ht="15" hidden="false" customHeight="false" outlineLevel="0" collapsed="false">
      <c r="A256" s="12"/>
      <c r="B256" s="61"/>
      <c r="C256" s="61"/>
      <c r="D256" s="61"/>
      <c r="E256" s="62"/>
      <c r="F256" s="61"/>
      <c r="G256" s="61"/>
      <c r="H256" s="10"/>
      <c r="I256" s="12"/>
      <c r="J256" s="63"/>
      <c r="K256" s="10"/>
      <c r="L256" s="12"/>
      <c r="M256" s="12"/>
      <c r="N256" s="12"/>
      <c r="O256" s="12"/>
      <c r="P256" s="12"/>
      <c r="Q256" s="12"/>
      <c r="R256" s="12"/>
      <c r="S256" s="12"/>
      <c r="T256" s="12"/>
      <c r="U256" s="12"/>
    </row>
    <row r="257" customFormat="false" ht="15" hidden="false" customHeight="false" outlineLevel="0" collapsed="false">
      <c r="A257" s="12"/>
      <c r="B257" s="61"/>
      <c r="C257" s="61"/>
      <c r="D257" s="61"/>
      <c r="E257" s="62"/>
      <c r="F257" s="61"/>
      <c r="G257" s="61"/>
      <c r="H257" s="10"/>
      <c r="I257" s="12"/>
      <c r="J257" s="63"/>
      <c r="K257" s="10"/>
      <c r="L257" s="12"/>
      <c r="M257" s="12"/>
      <c r="N257" s="12"/>
      <c r="O257" s="12"/>
      <c r="P257" s="12"/>
      <c r="Q257" s="12"/>
      <c r="R257" s="12"/>
      <c r="S257" s="12"/>
      <c r="T257" s="12"/>
      <c r="U257" s="12"/>
    </row>
    <row r="258" customFormat="false" ht="15" hidden="false" customHeight="false" outlineLevel="0" collapsed="false">
      <c r="A258" s="12"/>
      <c r="B258" s="61"/>
      <c r="C258" s="61"/>
      <c r="D258" s="61"/>
      <c r="E258" s="62"/>
      <c r="F258" s="61"/>
      <c r="G258" s="61"/>
      <c r="H258" s="10"/>
      <c r="I258" s="12"/>
      <c r="J258" s="63"/>
      <c r="K258" s="10"/>
      <c r="L258" s="12"/>
      <c r="M258" s="12"/>
      <c r="N258" s="12"/>
      <c r="O258" s="12"/>
      <c r="P258" s="12"/>
      <c r="Q258" s="12"/>
      <c r="R258" s="12"/>
      <c r="S258" s="12"/>
      <c r="T258" s="12"/>
      <c r="U258" s="12"/>
    </row>
    <row r="259" customFormat="false" ht="15" hidden="false" customHeight="false" outlineLevel="0" collapsed="false">
      <c r="A259" s="12"/>
      <c r="B259" s="61"/>
      <c r="C259" s="61"/>
      <c r="D259" s="61"/>
      <c r="E259" s="62"/>
      <c r="F259" s="61"/>
      <c r="G259" s="61"/>
      <c r="H259" s="10"/>
      <c r="I259" s="12"/>
      <c r="J259" s="63"/>
      <c r="K259" s="10"/>
      <c r="L259" s="12"/>
      <c r="M259" s="12"/>
      <c r="N259" s="12"/>
      <c r="O259" s="12"/>
      <c r="P259" s="12"/>
      <c r="Q259" s="12"/>
      <c r="R259" s="12"/>
      <c r="S259" s="12"/>
      <c r="T259" s="12"/>
      <c r="U259" s="12"/>
    </row>
    <row r="260" customFormat="false" ht="15" hidden="false" customHeight="false" outlineLevel="0" collapsed="false">
      <c r="A260" s="12"/>
      <c r="B260" s="61"/>
      <c r="C260" s="61"/>
      <c r="D260" s="61"/>
      <c r="E260" s="62"/>
      <c r="F260" s="61"/>
      <c r="G260" s="61"/>
      <c r="H260" s="10"/>
      <c r="I260" s="12"/>
      <c r="J260" s="63"/>
      <c r="K260" s="10"/>
      <c r="L260" s="12"/>
      <c r="M260" s="12"/>
      <c r="N260" s="12"/>
      <c r="O260" s="12"/>
      <c r="P260" s="12"/>
      <c r="Q260" s="12"/>
      <c r="R260" s="12"/>
      <c r="S260" s="12"/>
      <c r="T260" s="12"/>
      <c r="U260" s="12"/>
    </row>
    <row r="261" customFormat="false" ht="15" hidden="false" customHeight="false" outlineLevel="0" collapsed="false">
      <c r="A261" s="12"/>
      <c r="B261" s="61"/>
      <c r="C261" s="61"/>
      <c r="D261" s="61"/>
      <c r="E261" s="62"/>
      <c r="F261" s="61"/>
      <c r="G261" s="61"/>
      <c r="H261" s="10"/>
      <c r="I261" s="12"/>
      <c r="J261" s="63"/>
      <c r="K261" s="10"/>
      <c r="L261" s="12"/>
      <c r="M261" s="12"/>
      <c r="N261" s="12"/>
      <c r="O261" s="12"/>
      <c r="P261" s="12"/>
      <c r="Q261" s="12"/>
      <c r="R261" s="12"/>
      <c r="S261" s="12"/>
      <c r="T261" s="12"/>
      <c r="U261" s="12"/>
    </row>
    <row r="262" customFormat="false" ht="15" hidden="false" customHeight="false" outlineLevel="0" collapsed="false">
      <c r="A262" s="12"/>
      <c r="B262" s="61"/>
      <c r="C262" s="61"/>
      <c r="D262" s="61"/>
      <c r="E262" s="62"/>
      <c r="F262" s="61"/>
      <c r="G262" s="61"/>
      <c r="H262" s="10"/>
      <c r="I262" s="12"/>
      <c r="J262" s="63"/>
      <c r="K262" s="10"/>
      <c r="L262" s="12"/>
      <c r="M262" s="12"/>
      <c r="N262" s="12"/>
      <c r="O262" s="12"/>
      <c r="P262" s="12"/>
      <c r="Q262" s="12"/>
      <c r="R262" s="12"/>
      <c r="S262" s="12"/>
      <c r="T262" s="12"/>
      <c r="U262" s="12"/>
    </row>
    <row r="263" customFormat="false" ht="15" hidden="false" customHeight="false" outlineLevel="0" collapsed="false">
      <c r="A263" s="12"/>
      <c r="B263" s="61"/>
      <c r="C263" s="61"/>
      <c r="D263" s="61"/>
      <c r="E263" s="62"/>
      <c r="F263" s="61"/>
      <c r="G263" s="61"/>
      <c r="H263" s="10"/>
      <c r="I263" s="12"/>
      <c r="J263" s="63"/>
      <c r="K263" s="10"/>
      <c r="L263" s="12"/>
      <c r="M263" s="12"/>
      <c r="N263" s="12"/>
      <c r="O263" s="12"/>
      <c r="P263" s="12"/>
      <c r="Q263" s="12"/>
      <c r="R263" s="12"/>
      <c r="S263" s="12"/>
      <c r="T263" s="12"/>
      <c r="U263" s="12"/>
    </row>
    <row r="264" customFormat="false" ht="15" hidden="false" customHeight="false" outlineLevel="0" collapsed="false">
      <c r="A264" s="12"/>
      <c r="B264" s="61"/>
      <c r="C264" s="61"/>
      <c r="D264" s="61"/>
      <c r="E264" s="62"/>
      <c r="F264" s="61"/>
      <c r="G264" s="61"/>
      <c r="H264" s="10"/>
      <c r="I264" s="12"/>
      <c r="J264" s="63"/>
      <c r="K264" s="10"/>
      <c r="L264" s="12"/>
      <c r="M264" s="12"/>
      <c r="N264" s="12"/>
      <c r="O264" s="12"/>
      <c r="P264" s="12"/>
      <c r="Q264" s="12"/>
      <c r="R264" s="12"/>
      <c r="S264" s="12"/>
      <c r="T264" s="12"/>
      <c r="U264" s="12"/>
    </row>
    <row r="265" customFormat="false" ht="15" hidden="false" customHeight="false" outlineLevel="0" collapsed="false">
      <c r="A265" s="12"/>
      <c r="B265" s="61"/>
      <c r="C265" s="61"/>
      <c r="D265" s="61"/>
      <c r="E265" s="62"/>
      <c r="F265" s="61"/>
      <c r="G265" s="61"/>
      <c r="H265" s="10"/>
      <c r="I265" s="12"/>
      <c r="J265" s="63"/>
      <c r="K265" s="10"/>
      <c r="L265" s="12"/>
      <c r="M265" s="12"/>
      <c r="N265" s="12"/>
      <c r="O265" s="12"/>
      <c r="P265" s="12"/>
      <c r="Q265" s="12"/>
      <c r="R265" s="12"/>
      <c r="S265" s="12"/>
      <c r="T265" s="12"/>
      <c r="U265" s="12"/>
    </row>
    <row r="266" customFormat="false" ht="15" hidden="false" customHeight="false" outlineLevel="0" collapsed="false">
      <c r="A266" s="12"/>
      <c r="B266" s="61"/>
      <c r="C266" s="61"/>
      <c r="D266" s="61"/>
      <c r="E266" s="62"/>
      <c r="F266" s="61"/>
      <c r="G266" s="61"/>
      <c r="H266" s="10"/>
      <c r="I266" s="12"/>
      <c r="J266" s="63"/>
      <c r="K266" s="10"/>
      <c r="L266" s="12"/>
      <c r="M266" s="12"/>
      <c r="N266" s="12"/>
      <c r="O266" s="12"/>
      <c r="P266" s="12"/>
      <c r="Q266" s="12"/>
      <c r="R266" s="12"/>
      <c r="S266" s="12"/>
      <c r="T266" s="12"/>
      <c r="U266" s="12"/>
    </row>
    <row r="267" customFormat="false" ht="15" hidden="false" customHeight="false" outlineLevel="0" collapsed="false">
      <c r="A267" s="12"/>
      <c r="B267" s="61"/>
      <c r="C267" s="61"/>
      <c r="D267" s="61"/>
      <c r="E267" s="62"/>
      <c r="F267" s="61"/>
      <c r="G267" s="61"/>
      <c r="H267" s="10"/>
      <c r="I267" s="12"/>
      <c r="J267" s="63"/>
      <c r="K267" s="10"/>
      <c r="L267" s="12"/>
      <c r="M267" s="12"/>
      <c r="N267" s="12"/>
      <c r="O267" s="12"/>
      <c r="P267" s="12"/>
      <c r="Q267" s="12"/>
      <c r="R267" s="12"/>
      <c r="S267" s="12"/>
      <c r="T267" s="12"/>
      <c r="U267" s="12"/>
    </row>
    <row r="268" customFormat="false" ht="15" hidden="false" customHeight="false" outlineLevel="0" collapsed="false">
      <c r="A268" s="12"/>
      <c r="B268" s="61"/>
      <c r="C268" s="61"/>
      <c r="D268" s="61"/>
      <c r="E268" s="62"/>
      <c r="F268" s="61"/>
      <c r="G268" s="61"/>
      <c r="H268" s="10"/>
      <c r="I268" s="12"/>
      <c r="J268" s="63"/>
      <c r="K268" s="10"/>
      <c r="L268" s="12"/>
      <c r="M268" s="12"/>
      <c r="N268" s="12"/>
      <c r="O268" s="12"/>
      <c r="P268" s="12"/>
      <c r="Q268" s="12"/>
      <c r="R268" s="12"/>
      <c r="S268" s="12"/>
      <c r="T268" s="12"/>
      <c r="U268" s="12"/>
    </row>
    <row r="269" customFormat="false" ht="15" hidden="false" customHeight="false" outlineLevel="0" collapsed="false">
      <c r="A269" s="12"/>
      <c r="B269" s="61"/>
      <c r="C269" s="61"/>
      <c r="D269" s="61"/>
      <c r="E269" s="62"/>
      <c r="F269" s="61"/>
      <c r="G269" s="61"/>
      <c r="H269" s="10"/>
      <c r="I269" s="12"/>
      <c r="J269" s="63"/>
      <c r="K269" s="10"/>
      <c r="L269" s="12"/>
      <c r="M269" s="12"/>
      <c r="N269" s="12"/>
      <c r="O269" s="12"/>
      <c r="P269" s="12"/>
      <c r="Q269" s="12"/>
      <c r="R269" s="12"/>
      <c r="S269" s="12"/>
      <c r="T269" s="12"/>
      <c r="U269" s="12"/>
    </row>
    <row r="270" customFormat="false" ht="15" hidden="false" customHeight="false" outlineLevel="0" collapsed="false">
      <c r="A270" s="12"/>
      <c r="B270" s="61"/>
      <c r="C270" s="61"/>
      <c r="D270" s="61"/>
      <c r="E270" s="62"/>
      <c r="F270" s="61"/>
      <c r="G270" s="61"/>
      <c r="H270" s="10"/>
      <c r="I270" s="12"/>
      <c r="J270" s="63"/>
      <c r="K270" s="10"/>
      <c r="L270" s="12"/>
      <c r="M270" s="12"/>
      <c r="N270" s="12"/>
      <c r="O270" s="12"/>
      <c r="P270" s="12"/>
      <c r="Q270" s="12"/>
      <c r="R270" s="12"/>
      <c r="S270" s="12"/>
      <c r="T270" s="12"/>
      <c r="U270" s="12"/>
    </row>
    <row r="271" customFormat="false" ht="15" hidden="false" customHeight="false" outlineLevel="0" collapsed="false">
      <c r="A271" s="12"/>
      <c r="B271" s="61"/>
      <c r="C271" s="61"/>
      <c r="D271" s="61"/>
      <c r="E271" s="62"/>
      <c r="F271" s="61"/>
      <c r="G271" s="61"/>
      <c r="H271" s="10"/>
      <c r="I271" s="12"/>
      <c r="J271" s="63"/>
      <c r="K271" s="10"/>
      <c r="L271" s="12"/>
      <c r="M271" s="12"/>
      <c r="N271" s="12"/>
      <c r="O271" s="12"/>
      <c r="P271" s="12"/>
      <c r="Q271" s="12"/>
      <c r="R271" s="12"/>
      <c r="S271" s="12"/>
      <c r="T271" s="12"/>
      <c r="U271" s="12"/>
    </row>
    <row r="272" customFormat="false" ht="15" hidden="false" customHeight="false" outlineLevel="0" collapsed="false">
      <c r="A272" s="12"/>
      <c r="B272" s="61"/>
      <c r="C272" s="61"/>
      <c r="D272" s="61"/>
      <c r="E272" s="62"/>
      <c r="F272" s="61"/>
      <c r="G272" s="61"/>
      <c r="H272" s="10"/>
      <c r="I272" s="12"/>
      <c r="J272" s="63"/>
      <c r="K272" s="10"/>
      <c r="L272" s="12"/>
      <c r="M272" s="12"/>
      <c r="N272" s="12"/>
      <c r="O272" s="12"/>
      <c r="P272" s="12"/>
      <c r="Q272" s="12"/>
      <c r="R272" s="12"/>
      <c r="S272" s="12"/>
      <c r="T272" s="12"/>
      <c r="U272" s="12"/>
    </row>
    <row r="273" customFormat="false" ht="15" hidden="false" customHeight="false" outlineLevel="0" collapsed="false">
      <c r="A273" s="12"/>
      <c r="B273" s="61"/>
      <c r="C273" s="61"/>
      <c r="D273" s="61"/>
      <c r="E273" s="62"/>
      <c r="F273" s="61"/>
      <c r="G273" s="61"/>
      <c r="H273" s="10"/>
      <c r="I273" s="12"/>
      <c r="J273" s="63"/>
      <c r="K273" s="10"/>
      <c r="L273" s="12"/>
      <c r="M273" s="12"/>
      <c r="N273" s="12"/>
      <c r="O273" s="12"/>
      <c r="P273" s="12"/>
      <c r="Q273" s="12"/>
      <c r="R273" s="12"/>
      <c r="S273" s="12"/>
      <c r="T273" s="12"/>
      <c r="U273" s="12"/>
    </row>
    <row r="274" customFormat="false" ht="15" hidden="false" customHeight="false" outlineLevel="0" collapsed="false">
      <c r="A274" s="12"/>
      <c r="B274" s="61"/>
      <c r="C274" s="61"/>
      <c r="D274" s="61"/>
      <c r="E274" s="62"/>
      <c r="F274" s="61"/>
      <c r="G274" s="61"/>
      <c r="H274" s="10"/>
      <c r="I274" s="12"/>
      <c r="J274" s="63"/>
      <c r="K274" s="10"/>
      <c r="L274" s="12"/>
      <c r="M274" s="12"/>
      <c r="N274" s="12"/>
      <c r="O274" s="12"/>
      <c r="P274" s="12"/>
      <c r="Q274" s="12"/>
      <c r="R274" s="12"/>
      <c r="S274" s="12"/>
      <c r="T274" s="12"/>
      <c r="U274" s="12"/>
    </row>
    <row r="275" customFormat="false" ht="15" hidden="false" customHeight="false" outlineLevel="0" collapsed="false">
      <c r="A275" s="12"/>
      <c r="B275" s="61"/>
      <c r="C275" s="61"/>
      <c r="D275" s="61"/>
      <c r="E275" s="62"/>
      <c r="F275" s="61"/>
      <c r="G275" s="61"/>
      <c r="H275" s="10"/>
      <c r="I275" s="12"/>
      <c r="J275" s="63"/>
      <c r="K275" s="10"/>
      <c r="L275" s="12"/>
      <c r="M275" s="12"/>
      <c r="N275" s="12"/>
      <c r="O275" s="12"/>
      <c r="P275" s="12"/>
      <c r="Q275" s="12"/>
      <c r="R275" s="12"/>
      <c r="S275" s="12"/>
      <c r="T275" s="12"/>
      <c r="U275" s="12"/>
    </row>
    <row r="276" customFormat="false" ht="15" hidden="false" customHeight="false" outlineLevel="0" collapsed="false">
      <c r="A276" s="12"/>
      <c r="B276" s="61"/>
      <c r="C276" s="61"/>
      <c r="D276" s="61"/>
      <c r="E276" s="62"/>
      <c r="F276" s="61"/>
      <c r="G276" s="61"/>
      <c r="H276" s="10"/>
      <c r="I276" s="12"/>
      <c r="J276" s="63"/>
      <c r="K276" s="10"/>
      <c r="L276" s="12"/>
      <c r="M276" s="12"/>
      <c r="N276" s="12"/>
      <c r="O276" s="12"/>
      <c r="P276" s="12"/>
      <c r="Q276" s="12"/>
      <c r="R276" s="12"/>
      <c r="S276" s="12"/>
      <c r="T276" s="12"/>
      <c r="U276" s="12"/>
    </row>
    <row r="277" customFormat="false" ht="15" hidden="false" customHeight="false" outlineLevel="0" collapsed="false">
      <c r="A277" s="12"/>
      <c r="B277" s="61"/>
      <c r="C277" s="61"/>
      <c r="D277" s="61"/>
      <c r="E277" s="62"/>
      <c r="F277" s="61"/>
      <c r="G277" s="61"/>
      <c r="H277" s="10"/>
      <c r="I277" s="12"/>
      <c r="J277" s="63"/>
      <c r="K277" s="10"/>
      <c r="L277" s="12"/>
      <c r="M277" s="12"/>
      <c r="N277" s="12"/>
      <c r="O277" s="12"/>
      <c r="P277" s="12"/>
      <c r="Q277" s="12"/>
      <c r="R277" s="12"/>
      <c r="S277" s="12"/>
      <c r="T277" s="12"/>
      <c r="U277" s="12"/>
    </row>
    <row r="278" customFormat="false" ht="15" hidden="false" customHeight="false" outlineLevel="0" collapsed="false">
      <c r="A278" s="12"/>
      <c r="B278" s="61"/>
      <c r="C278" s="61"/>
      <c r="D278" s="61"/>
      <c r="E278" s="62"/>
      <c r="F278" s="61"/>
      <c r="G278" s="61"/>
      <c r="H278" s="10"/>
      <c r="I278" s="12"/>
      <c r="J278" s="63"/>
      <c r="K278" s="10"/>
      <c r="L278" s="12"/>
      <c r="M278" s="12"/>
      <c r="N278" s="12"/>
      <c r="O278" s="12"/>
      <c r="P278" s="12"/>
      <c r="Q278" s="12"/>
      <c r="R278" s="12"/>
      <c r="S278" s="12"/>
      <c r="T278" s="12"/>
      <c r="U278" s="12"/>
    </row>
    <row r="279" customFormat="false" ht="15" hidden="false" customHeight="false" outlineLevel="0" collapsed="false">
      <c r="A279" s="12"/>
      <c r="B279" s="61"/>
      <c r="C279" s="61"/>
      <c r="D279" s="61"/>
      <c r="E279" s="62"/>
      <c r="F279" s="61"/>
      <c r="G279" s="61"/>
      <c r="H279" s="10"/>
      <c r="I279" s="12"/>
      <c r="J279" s="63"/>
      <c r="K279" s="10"/>
      <c r="L279" s="12"/>
      <c r="M279" s="12"/>
      <c r="N279" s="12"/>
      <c r="O279" s="12"/>
      <c r="P279" s="12"/>
      <c r="Q279" s="12"/>
      <c r="R279" s="12"/>
      <c r="S279" s="12"/>
      <c r="T279" s="12"/>
      <c r="U279" s="12"/>
    </row>
    <row r="280" customFormat="false" ht="15" hidden="false" customHeight="false" outlineLevel="0" collapsed="false">
      <c r="A280" s="12"/>
      <c r="B280" s="61"/>
      <c r="C280" s="61"/>
      <c r="D280" s="61"/>
      <c r="E280" s="62"/>
      <c r="F280" s="61"/>
      <c r="G280" s="61"/>
      <c r="H280" s="10"/>
      <c r="I280" s="12"/>
      <c r="J280" s="63"/>
      <c r="K280" s="10"/>
      <c r="L280" s="12"/>
      <c r="M280" s="12"/>
      <c r="N280" s="12"/>
      <c r="O280" s="12"/>
      <c r="P280" s="12"/>
      <c r="Q280" s="12"/>
      <c r="R280" s="12"/>
      <c r="S280" s="12"/>
      <c r="T280" s="12"/>
      <c r="U280" s="12"/>
    </row>
    <row r="281" customFormat="false" ht="15" hidden="false" customHeight="false" outlineLevel="0" collapsed="false">
      <c r="A281" s="12"/>
      <c r="B281" s="61"/>
      <c r="C281" s="61"/>
      <c r="D281" s="61"/>
      <c r="E281" s="62"/>
      <c r="F281" s="61"/>
      <c r="G281" s="61"/>
      <c r="H281" s="10"/>
      <c r="I281" s="12"/>
      <c r="J281" s="63"/>
      <c r="K281" s="10"/>
      <c r="L281" s="12"/>
      <c r="M281" s="12"/>
      <c r="N281" s="12"/>
      <c r="O281" s="12"/>
      <c r="P281" s="12"/>
      <c r="Q281" s="12"/>
      <c r="R281" s="12"/>
      <c r="S281" s="12"/>
      <c r="T281" s="12"/>
      <c r="U281" s="12"/>
    </row>
    <row r="282" customFormat="false" ht="15" hidden="false" customHeight="false" outlineLevel="0" collapsed="false">
      <c r="A282" s="12"/>
      <c r="B282" s="61"/>
      <c r="C282" s="61"/>
      <c r="D282" s="61"/>
      <c r="E282" s="62"/>
      <c r="F282" s="61"/>
      <c r="G282" s="61"/>
      <c r="H282" s="10"/>
      <c r="I282" s="12"/>
      <c r="J282" s="63"/>
      <c r="K282" s="10"/>
      <c r="L282" s="12"/>
      <c r="M282" s="12"/>
      <c r="N282" s="12"/>
      <c r="O282" s="12"/>
      <c r="P282" s="12"/>
      <c r="Q282" s="12"/>
      <c r="R282" s="12"/>
      <c r="S282" s="12"/>
      <c r="T282" s="12"/>
      <c r="U282" s="12"/>
    </row>
    <row r="283" customFormat="false" ht="15" hidden="false" customHeight="false" outlineLevel="0" collapsed="false">
      <c r="A283" s="12"/>
      <c r="B283" s="61"/>
      <c r="C283" s="61"/>
      <c r="D283" s="61"/>
      <c r="E283" s="62"/>
      <c r="F283" s="61"/>
      <c r="G283" s="61"/>
      <c r="H283" s="10"/>
      <c r="I283" s="12"/>
      <c r="J283" s="63"/>
      <c r="K283" s="10"/>
      <c r="L283" s="12"/>
      <c r="M283" s="12"/>
      <c r="N283" s="12"/>
      <c r="O283" s="12"/>
      <c r="P283" s="12"/>
      <c r="Q283" s="12"/>
      <c r="R283" s="12"/>
      <c r="S283" s="12"/>
      <c r="T283" s="12"/>
      <c r="U283" s="12"/>
    </row>
    <row r="284" customFormat="false" ht="15" hidden="false" customHeight="false" outlineLevel="0" collapsed="false">
      <c r="A284" s="12"/>
      <c r="B284" s="61"/>
      <c r="C284" s="61"/>
      <c r="D284" s="61"/>
      <c r="E284" s="62"/>
      <c r="F284" s="61"/>
      <c r="G284" s="61"/>
      <c r="H284" s="10"/>
      <c r="I284" s="12"/>
      <c r="J284" s="63"/>
      <c r="K284" s="10"/>
      <c r="L284" s="12"/>
      <c r="M284" s="12"/>
      <c r="N284" s="12"/>
      <c r="O284" s="12"/>
      <c r="P284" s="12"/>
      <c r="Q284" s="12"/>
      <c r="R284" s="12"/>
      <c r="S284" s="12"/>
      <c r="T284" s="12"/>
      <c r="U284" s="12"/>
    </row>
    <row r="285" customFormat="false" ht="15" hidden="false" customHeight="false" outlineLevel="0" collapsed="false">
      <c r="A285" s="12"/>
      <c r="B285" s="61"/>
      <c r="C285" s="61"/>
      <c r="D285" s="61"/>
      <c r="E285" s="62"/>
      <c r="F285" s="61"/>
      <c r="G285" s="61"/>
      <c r="H285" s="10"/>
      <c r="I285" s="12"/>
      <c r="J285" s="63"/>
      <c r="K285" s="10"/>
      <c r="L285" s="12"/>
      <c r="M285" s="12"/>
      <c r="N285" s="12"/>
      <c r="O285" s="12"/>
      <c r="P285" s="12"/>
      <c r="Q285" s="12"/>
      <c r="R285" s="12"/>
      <c r="S285" s="12"/>
      <c r="T285" s="12"/>
      <c r="U285" s="12"/>
    </row>
    <row r="286" customFormat="false" ht="15" hidden="false" customHeight="false" outlineLevel="0" collapsed="false">
      <c r="A286" s="12"/>
      <c r="B286" s="61"/>
      <c r="C286" s="61"/>
      <c r="D286" s="61"/>
      <c r="E286" s="62"/>
      <c r="F286" s="61"/>
      <c r="G286" s="61"/>
      <c r="H286" s="10"/>
      <c r="I286" s="12"/>
      <c r="J286" s="63"/>
      <c r="K286" s="10"/>
      <c r="L286" s="12"/>
      <c r="M286" s="12"/>
      <c r="N286" s="12"/>
      <c r="O286" s="12"/>
      <c r="P286" s="12"/>
      <c r="Q286" s="12"/>
      <c r="R286" s="12"/>
      <c r="S286" s="12"/>
      <c r="T286" s="12"/>
      <c r="U286" s="12"/>
    </row>
    <row r="287" customFormat="false" ht="15" hidden="false" customHeight="false" outlineLevel="0" collapsed="false">
      <c r="A287" s="12"/>
      <c r="B287" s="61"/>
      <c r="C287" s="61"/>
      <c r="D287" s="61"/>
      <c r="E287" s="62"/>
      <c r="F287" s="61"/>
      <c r="G287" s="61"/>
      <c r="H287" s="10"/>
      <c r="I287" s="12"/>
      <c r="J287" s="63"/>
      <c r="K287" s="10"/>
      <c r="L287" s="12"/>
      <c r="M287" s="12"/>
      <c r="N287" s="12"/>
      <c r="O287" s="12"/>
      <c r="P287" s="12"/>
      <c r="Q287" s="12"/>
      <c r="R287" s="12"/>
      <c r="S287" s="12"/>
      <c r="T287" s="12"/>
      <c r="U287" s="12"/>
    </row>
    <row r="288" customFormat="false" ht="15" hidden="false" customHeight="false" outlineLevel="0" collapsed="false">
      <c r="A288" s="12"/>
      <c r="B288" s="61"/>
      <c r="C288" s="61"/>
      <c r="D288" s="61"/>
      <c r="E288" s="62"/>
      <c r="F288" s="61"/>
      <c r="G288" s="61"/>
      <c r="H288" s="10"/>
      <c r="I288" s="12"/>
      <c r="J288" s="63"/>
      <c r="K288" s="10"/>
      <c r="L288" s="12"/>
      <c r="M288" s="12"/>
      <c r="N288" s="12"/>
      <c r="O288" s="12"/>
      <c r="P288" s="12"/>
      <c r="Q288" s="12"/>
      <c r="R288" s="12"/>
      <c r="S288" s="12"/>
      <c r="T288" s="12"/>
      <c r="U288" s="12"/>
    </row>
    <row r="289" customFormat="false" ht="15" hidden="false" customHeight="false" outlineLevel="0" collapsed="false">
      <c r="A289" s="12"/>
      <c r="B289" s="61"/>
      <c r="C289" s="61"/>
      <c r="D289" s="61"/>
      <c r="E289" s="62"/>
      <c r="F289" s="61"/>
      <c r="G289" s="61"/>
      <c r="H289" s="10"/>
      <c r="I289" s="12"/>
      <c r="J289" s="63"/>
      <c r="K289" s="10"/>
      <c r="L289" s="12"/>
      <c r="M289" s="12"/>
      <c r="N289" s="12"/>
      <c r="O289" s="12"/>
      <c r="P289" s="12"/>
      <c r="Q289" s="12"/>
      <c r="R289" s="12"/>
      <c r="S289" s="12"/>
      <c r="T289" s="12"/>
      <c r="U289" s="12"/>
    </row>
    <row r="290" customFormat="false" ht="15" hidden="false" customHeight="false" outlineLevel="0" collapsed="false">
      <c r="A290" s="12"/>
      <c r="B290" s="61"/>
      <c r="C290" s="61"/>
      <c r="D290" s="61"/>
      <c r="E290" s="62"/>
      <c r="F290" s="61"/>
      <c r="G290" s="61"/>
      <c r="H290" s="10"/>
      <c r="I290" s="12"/>
      <c r="J290" s="63"/>
      <c r="K290" s="10"/>
      <c r="L290" s="12"/>
      <c r="M290" s="12"/>
      <c r="N290" s="12"/>
      <c r="O290" s="12"/>
      <c r="P290" s="12"/>
      <c r="Q290" s="12"/>
      <c r="R290" s="12"/>
      <c r="S290" s="12"/>
      <c r="T290" s="12"/>
      <c r="U290" s="12"/>
    </row>
    <row r="291" customFormat="false" ht="15" hidden="false" customHeight="false" outlineLevel="0" collapsed="false">
      <c r="A291" s="12"/>
      <c r="B291" s="61"/>
      <c r="C291" s="61"/>
      <c r="D291" s="61"/>
      <c r="E291" s="62"/>
      <c r="F291" s="61"/>
      <c r="G291" s="61"/>
      <c r="H291" s="10"/>
      <c r="I291" s="12"/>
      <c r="J291" s="63"/>
      <c r="K291" s="10"/>
      <c r="L291" s="12"/>
      <c r="M291" s="12"/>
      <c r="N291" s="12"/>
      <c r="O291" s="12"/>
      <c r="P291" s="12"/>
      <c r="Q291" s="12"/>
      <c r="R291" s="12"/>
      <c r="S291" s="12"/>
      <c r="T291" s="12"/>
      <c r="U291" s="12"/>
    </row>
    <row r="292" customFormat="false" ht="15" hidden="false" customHeight="false" outlineLevel="0" collapsed="false">
      <c r="A292" s="12"/>
      <c r="B292" s="61"/>
      <c r="C292" s="61"/>
      <c r="D292" s="61"/>
      <c r="E292" s="62"/>
      <c r="F292" s="61"/>
      <c r="G292" s="61"/>
      <c r="H292" s="10"/>
      <c r="I292" s="12"/>
      <c r="J292" s="63"/>
      <c r="K292" s="10"/>
      <c r="L292" s="12"/>
      <c r="M292" s="12"/>
      <c r="N292" s="12"/>
      <c r="O292" s="12"/>
      <c r="P292" s="12"/>
      <c r="Q292" s="12"/>
      <c r="R292" s="12"/>
      <c r="S292" s="12"/>
      <c r="T292" s="12"/>
      <c r="U292" s="12"/>
    </row>
    <row r="293" customFormat="false" ht="15" hidden="false" customHeight="false" outlineLevel="0" collapsed="false">
      <c r="A293" s="12"/>
      <c r="B293" s="61"/>
      <c r="C293" s="61"/>
      <c r="D293" s="61"/>
      <c r="E293" s="62"/>
      <c r="F293" s="61"/>
      <c r="G293" s="61"/>
      <c r="H293" s="10"/>
      <c r="I293" s="12"/>
      <c r="J293" s="63"/>
      <c r="K293" s="10"/>
      <c r="L293" s="12"/>
      <c r="M293" s="12"/>
      <c r="N293" s="12"/>
      <c r="O293" s="12"/>
      <c r="P293" s="12"/>
      <c r="Q293" s="12"/>
      <c r="R293" s="12"/>
      <c r="S293" s="12"/>
      <c r="T293" s="12"/>
      <c r="U293" s="12"/>
    </row>
    <row r="294" customFormat="false" ht="15" hidden="false" customHeight="false" outlineLevel="0" collapsed="false">
      <c r="A294" s="12"/>
      <c r="B294" s="61"/>
      <c r="C294" s="61"/>
      <c r="D294" s="61"/>
      <c r="E294" s="62"/>
      <c r="F294" s="61"/>
      <c r="G294" s="61"/>
      <c r="H294" s="10"/>
      <c r="I294" s="12"/>
      <c r="J294" s="63"/>
      <c r="K294" s="10"/>
      <c r="L294" s="12"/>
      <c r="M294" s="12"/>
      <c r="N294" s="12"/>
      <c r="O294" s="12"/>
      <c r="P294" s="12"/>
      <c r="Q294" s="12"/>
      <c r="R294" s="12"/>
      <c r="S294" s="12"/>
      <c r="T294" s="12"/>
      <c r="U294" s="12"/>
    </row>
    <row r="295" customFormat="false" ht="15" hidden="false" customHeight="false" outlineLevel="0" collapsed="false">
      <c r="A295" s="12"/>
      <c r="B295" s="61"/>
      <c r="C295" s="61"/>
      <c r="D295" s="61"/>
      <c r="E295" s="62"/>
      <c r="F295" s="61"/>
      <c r="G295" s="61"/>
      <c r="H295" s="10"/>
      <c r="I295" s="12"/>
      <c r="J295" s="63"/>
      <c r="K295" s="10"/>
      <c r="L295" s="12"/>
      <c r="M295" s="12"/>
      <c r="N295" s="12"/>
      <c r="O295" s="12"/>
      <c r="P295" s="12"/>
      <c r="Q295" s="12"/>
      <c r="R295" s="12"/>
      <c r="S295" s="12"/>
      <c r="T295" s="12"/>
      <c r="U295" s="12"/>
    </row>
    <row r="296" customFormat="false" ht="15" hidden="false" customHeight="false" outlineLevel="0" collapsed="false">
      <c r="A296" s="12"/>
      <c r="B296" s="61"/>
      <c r="C296" s="61"/>
      <c r="D296" s="61"/>
      <c r="E296" s="62"/>
      <c r="F296" s="61"/>
      <c r="G296" s="61"/>
      <c r="H296" s="10"/>
      <c r="I296" s="12"/>
      <c r="J296" s="63"/>
      <c r="K296" s="10"/>
      <c r="L296" s="12"/>
      <c r="M296" s="12"/>
      <c r="N296" s="12"/>
      <c r="O296" s="12"/>
      <c r="P296" s="12"/>
      <c r="Q296" s="12"/>
      <c r="R296" s="12"/>
      <c r="S296" s="12"/>
      <c r="T296" s="12"/>
      <c r="U296" s="12"/>
    </row>
    <row r="297" customFormat="false" ht="15" hidden="false" customHeight="false" outlineLevel="0" collapsed="false">
      <c r="A297" s="12"/>
      <c r="B297" s="61"/>
      <c r="C297" s="61"/>
      <c r="D297" s="61"/>
      <c r="E297" s="62"/>
      <c r="F297" s="61"/>
      <c r="G297" s="61"/>
      <c r="H297" s="10"/>
      <c r="I297" s="12"/>
      <c r="J297" s="63"/>
      <c r="K297" s="10"/>
      <c r="L297" s="12"/>
      <c r="M297" s="12"/>
      <c r="N297" s="12"/>
      <c r="O297" s="12"/>
      <c r="P297" s="12"/>
      <c r="Q297" s="12"/>
      <c r="R297" s="12"/>
      <c r="S297" s="12"/>
      <c r="T297" s="12"/>
      <c r="U297" s="12"/>
    </row>
    <row r="298" customFormat="false" ht="15" hidden="false" customHeight="false" outlineLevel="0" collapsed="false">
      <c r="A298" s="12"/>
      <c r="B298" s="61"/>
      <c r="C298" s="61"/>
      <c r="D298" s="61"/>
      <c r="E298" s="62"/>
      <c r="F298" s="61"/>
      <c r="G298" s="61"/>
      <c r="H298" s="10"/>
      <c r="I298" s="12"/>
      <c r="J298" s="63"/>
      <c r="K298" s="10"/>
      <c r="L298" s="12"/>
      <c r="M298" s="12"/>
      <c r="N298" s="12"/>
      <c r="O298" s="12"/>
      <c r="P298" s="12"/>
      <c r="Q298" s="12"/>
      <c r="R298" s="12"/>
      <c r="S298" s="12"/>
      <c r="T298" s="12"/>
      <c r="U298" s="12"/>
    </row>
    <row r="299" customFormat="false" ht="15" hidden="false" customHeight="false" outlineLevel="0" collapsed="false">
      <c r="A299" s="12"/>
      <c r="B299" s="61"/>
      <c r="C299" s="61"/>
      <c r="D299" s="61"/>
      <c r="E299" s="62"/>
      <c r="F299" s="61"/>
      <c r="G299" s="61"/>
      <c r="H299" s="10"/>
      <c r="I299" s="12"/>
      <c r="J299" s="63"/>
      <c r="K299" s="10"/>
      <c r="L299" s="12"/>
      <c r="M299" s="12"/>
      <c r="N299" s="12"/>
      <c r="O299" s="12"/>
      <c r="P299" s="12"/>
      <c r="Q299" s="12"/>
      <c r="R299" s="12"/>
      <c r="S299" s="12"/>
      <c r="T299" s="12"/>
      <c r="U299" s="12"/>
    </row>
    <row r="300" customFormat="false" ht="15" hidden="false" customHeight="false" outlineLevel="0" collapsed="false">
      <c r="A300" s="12"/>
      <c r="B300" s="61"/>
      <c r="C300" s="61"/>
      <c r="D300" s="61"/>
      <c r="E300" s="62"/>
      <c r="F300" s="61"/>
      <c r="G300" s="61"/>
      <c r="H300" s="10"/>
      <c r="I300" s="12"/>
      <c r="J300" s="63"/>
      <c r="K300" s="10"/>
      <c r="L300" s="12"/>
      <c r="M300" s="12"/>
      <c r="N300" s="12"/>
      <c r="O300" s="12"/>
      <c r="P300" s="12"/>
      <c r="Q300" s="12"/>
      <c r="R300" s="12"/>
      <c r="S300" s="12"/>
      <c r="T300" s="12"/>
      <c r="U300" s="12"/>
    </row>
    <row r="301" customFormat="false" ht="15" hidden="false" customHeight="false" outlineLevel="0" collapsed="false">
      <c r="A301" s="12"/>
      <c r="B301" s="61"/>
      <c r="C301" s="61"/>
      <c r="D301" s="61"/>
      <c r="E301" s="62"/>
      <c r="F301" s="61"/>
      <c r="G301" s="61"/>
      <c r="H301" s="10"/>
      <c r="I301" s="12"/>
      <c r="J301" s="63"/>
      <c r="K301" s="10"/>
      <c r="L301" s="12"/>
      <c r="M301" s="12"/>
      <c r="N301" s="12"/>
      <c r="O301" s="12"/>
      <c r="P301" s="12"/>
      <c r="Q301" s="12"/>
      <c r="R301" s="12"/>
      <c r="S301" s="12"/>
      <c r="T301" s="12"/>
      <c r="U301" s="12"/>
    </row>
    <row r="302" customFormat="false" ht="15" hidden="false" customHeight="false" outlineLevel="0" collapsed="false">
      <c r="A302" s="12"/>
      <c r="B302" s="61"/>
      <c r="C302" s="61"/>
      <c r="D302" s="61"/>
      <c r="E302" s="62"/>
      <c r="F302" s="61"/>
      <c r="G302" s="61"/>
      <c r="H302" s="10"/>
      <c r="I302" s="12"/>
      <c r="J302" s="63"/>
      <c r="K302" s="10"/>
      <c r="L302" s="12"/>
      <c r="M302" s="12"/>
      <c r="N302" s="12"/>
      <c r="O302" s="12"/>
      <c r="P302" s="12"/>
      <c r="Q302" s="12"/>
      <c r="R302" s="12"/>
      <c r="S302" s="12"/>
      <c r="T302" s="12"/>
      <c r="U302" s="12"/>
    </row>
    <row r="303" customFormat="false" ht="15" hidden="false" customHeight="false" outlineLevel="0" collapsed="false">
      <c r="A303" s="12"/>
      <c r="B303" s="61"/>
      <c r="C303" s="61"/>
      <c r="D303" s="61"/>
      <c r="E303" s="62"/>
      <c r="F303" s="61"/>
      <c r="G303" s="61"/>
      <c r="H303" s="10"/>
      <c r="I303" s="12"/>
      <c r="J303" s="63"/>
      <c r="K303" s="10"/>
      <c r="L303" s="12"/>
      <c r="M303" s="12"/>
      <c r="N303" s="12"/>
      <c r="O303" s="12"/>
      <c r="P303" s="12"/>
      <c r="Q303" s="12"/>
      <c r="R303" s="12"/>
      <c r="S303" s="12"/>
      <c r="T303" s="12"/>
      <c r="U303" s="12"/>
    </row>
    <row r="304" customFormat="false" ht="15" hidden="false" customHeight="false" outlineLevel="0" collapsed="false">
      <c r="A304" s="12"/>
      <c r="B304" s="61"/>
      <c r="C304" s="61"/>
      <c r="D304" s="61"/>
      <c r="E304" s="62"/>
      <c r="F304" s="61"/>
      <c r="G304" s="61"/>
      <c r="H304" s="10"/>
      <c r="I304" s="12"/>
      <c r="J304" s="63"/>
      <c r="K304" s="10"/>
      <c r="L304" s="12"/>
      <c r="M304" s="12"/>
      <c r="N304" s="12"/>
      <c r="O304" s="12"/>
      <c r="P304" s="12"/>
      <c r="Q304" s="12"/>
      <c r="R304" s="12"/>
      <c r="S304" s="12"/>
      <c r="T304" s="12"/>
      <c r="U304" s="12"/>
    </row>
    <row r="305" customFormat="false" ht="15" hidden="false" customHeight="false" outlineLevel="0" collapsed="false">
      <c r="A305" s="12"/>
      <c r="B305" s="61"/>
      <c r="C305" s="61"/>
      <c r="D305" s="61"/>
      <c r="E305" s="62"/>
      <c r="F305" s="61"/>
      <c r="G305" s="61"/>
      <c r="H305" s="10"/>
      <c r="I305" s="12"/>
      <c r="J305" s="63"/>
      <c r="K305" s="10"/>
      <c r="L305" s="12"/>
      <c r="M305" s="12"/>
      <c r="N305" s="12"/>
      <c r="O305" s="12"/>
      <c r="P305" s="12"/>
      <c r="Q305" s="12"/>
      <c r="R305" s="12"/>
      <c r="S305" s="12"/>
      <c r="T305" s="12"/>
      <c r="U305" s="12"/>
    </row>
    <row r="306" customFormat="false" ht="15" hidden="false" customHeight="false" outlineLevel="0" collapsed="false">
      <c r="A306" s="12"/>
      <c r="B306" s="61"/>
      <c r="C306" s="61"/>
      <c r="D306" s="61"/>
      <c r="E306" s="62"/>
      <c r="F306" s="61"/>
      <c r="G306" s="61"/>
      <c r="H306" s="10"/>
      <c r="I306" s="12"/>
      <c r="J306" s="63"/>
      <c r="K306" s="10"/>
      <c r="L306" s="12"/>
      <c r="M306" s="12"/>
      <c r="N306" s="12"/>
      <c r="O306" s="12"/>
      <c r="P306" s="12"/>
      <c r="Q306" s="12"/>
      <c r="R306" s="12"/>
      <c r="S306" s="12"/>
      <c r="T306" s="12"/>
      <c r="U306" s="12"/>
    </row>
    <row r="307" customFormat="false" ht="15" hidden="false" customHeight="false" outlineLevel="0" collapsed="false">
      <c r="A307" s="12"/>
      <c r="B307" s="61"/>
      <c r="C307" s="61"/>
      <c r="D307" s="61"/>
      <c r="E307" s="62"/>
      <c r="F307" s="61"/>
      <c r="G307" s="61"/>
      <c r="H307" s="10"/>
      <c r="I307" s="12"/>
      <c r="J307" s="63"/>
      <c r="K307" s="10"/>
      <c r="L307" s="12"/>
      <c r="M307" s="12"/>
      <c r="N307" s="12"/>
      <c r="O307" s="12"/>
      <c r="P307" s="12"/>
      <c r="Q307" s="12"/>
      <c r="R307" s="12"/>
      <c r="S307" s="12"/>
      <c r="T307" s="12"/>
      <c r="U307" s="12"/>
    </row>
    <row r="308" customFormat="false" ht="15" hidden="false" customHeight="false" outlineLevel="0" collapsed="false">
      <c r="A308" s="12"/>
      <c r="B308" s="61"/>
      <c r="C308" s="61"/>
      <c r="D308" s="61"/>
      <c r="E308" s="62"/>
      <c r="F308" s="61"/>
      <c r="G308" s="61"/>
      <c r="H308" s="10"/>
      <c r="I308" s="12"/>
      <c r="J308" s="63"/>
      <c r="K308" s="10"/>
      <c r="L308" s="12"/>
      <c r="M308" s="12"/>
      <c r="N308" s="12"/>
      <c r="O308" s="12"/>
      <c r="P308" s="12"/>
      <c r="Q308" s="12"/>
      <c r="R308" s="12"/>
      <c r="S308" s="12"/>
      <c r="T308" s="12"/>
      <c r="U308" s="12"/>
    </row>
    <row r="309" customFormat="false" ht="15" hidden="false" customHeight="false" outlineLevel="0" collapsed="false">
      <c r="A309" s="12"/>
      <c r="B309" s="61"/>
      <c r="C309" s="61"/>
      <c r="D309" s="61"/>
      <c r="E309" s="62"/>
      <c r="F309" s="61"/>
      <c r="G309" s="61"/>
      <c r="H309" s="10"/>
      <c r="I309" s="12"/>
      <c r="J309" s="63"/>
      <c r="K309" s="10"/>
      <c r="L309" s="12"/>
      <c r="M309" s="12"/>
      <c r="N309" s="12"/>
      <c r="O309" s="12"/>
      <c r="P309" s="12"/>
      <c r="Q309" s="12"/>
      <c r="R309" s="12"/>
      <c r="S309" s="12"/>
      <c r="T309" s="12"/>
      <c r="U309" s="12"/>
    </row>
    <row r="310" customFormat="false" ht="15" hidden="false" customHeight="false" outlineLevel="0" collapsed="false">
      <c r="A310" s="12"/>
      <c r="B310" s="61"/>
      <c r="C310" s="61"/>
      <c r="D310" s="61"/>
      <c r="E310" s="62"/>
      <c r="F310" s="61"/>
      <c r="G310" s="61"/>
      <c r="H310" s="10"/>
      <c r="I310" s="12"/>
      <c r="J310" s="63"/>
      <c r="K310" s="10"/>
      <c r="L310" s="12"/>
      <c r="M310" s="12"/>
      <c r="N310" s="12"/>
      <c r="O310" s="12"/>
      <c r="P310" s="12"/>
      <c r="Q310" s="12"/>
      <c r="R310" s="12"/>
      <c r="S310" s="12"/>
      <c r="T310" s="12"/>
      <c r="U310" s="12"/>
    </row>
    <row r="311" customFormat="false" ht="15" hidden="false" customHeight="false" outlineLevel="0" collapsed="false">
      <c r="A311" s="12"/>
      <c r="B311" s="61"/>
      <c r="C311" s="61"/>
      <c r="D311" s="61"/>
      <c r="E311" s="62"/>
      <c r="F311" s="61"/>
      <c r="G311" s="61"/>
      <c r="H311" s="10"/>
      <c r="I311" s="12"/>
      <c r="J311" s="63"/>
      <c r="K311" s="10"/>
      <c r="L311" s="12"/>
      <c r="M311" s="12"/>
      <c r="N311" s="12"/>
      <c r="O311" s="12"/>
      <c r="P311" s="12"/>
      <c r="Q311" s="12"/>
      <c r="R311" s="12"/>
      <c r="S311" s="12"/>
      <c r="T311" s="12"/>
      <c r="U311" s="12"/>
    </row>
    <row r="312" customFormat="false" ht="15" hidden="false" customHeight="false" outlineLevel="0" collapsed="false">
      <c r="A312" s="12"/>
      <c r="B312" s="61"/>
      <c r="C312" s="61"/>
      <c r="D312" s="61"/>
      <c r="E312" s="62"/>
      <c r="F312" s="61"/>
      <c r="G312" s="61"/>
      <c r="H312" s="10"/>
      <c r="I312" s="12"/>
      <c r="J312" s="63"/>
      <c r="K312" s="10"/>
      <c r="L312" s="12"/>
      <c r="M312" s="12"/>
      <c r="N312" s="12"/>
      <c r="O312" s="12"/>
      <c r="P312" s="12"/>
      <c r="Q312" s="12"/>
      <c r="R312" s="12"/>
      <c r="S312" s="12"/>
      <c r="T312" s="12"/>
      <c r="U312" s="12"/>
    </row>
    <row r="313" customFormat="false" ht="15" hidden="false" customHeight="false" outlineLevel="0" collapsed="false">
      <c r="A313" s="12"/>
      <c r="B313" s="61"/>
      <c r="C313" s="61"/>
      <c r="D313" s="61"/>
      <c r="E313" s="62"/>
      <c r="F313" s="61"/>
      <c r="G313" s="61"/>
      <c r="H313" s="10"/>
      <c r="I313" s="12"/>
      <c r="J313" s="63"/>
      <c r="K313" s="10"/>
      <c r="L313" s="12"/>
      <c r="M313" s="12"/>
      <c r="N313" s="12"/>
      <c r="O313" s="12"/>
      <c r="P313" s="12"/>
      <c r="Q313" s="12"/>
      <c r="R313" s="12"/>
      <c r="S313" s="12"/>
      <c r="T313" s="12"/>
      <c r="U313" s="12"/>
    </row>
    <row r="314" customFormat="false" ht="15" hidden="false" customHeight="false" outlineLevel="0" collapsed="false">
      <c r="A314" s="12"/>
      <c r="B314" s="61"/>
      <c r="C314" s="61"/>
      <c r="D314" s="61"/>
      <c r="E314" s="62"/>
      <c r="F314" s="61"/>
      <c r="G314" s="61"/>
      <c r="H314" s="10"/>
      <c r="I314" s="12"/>
      <c r="J314" s="63"/>
      <c r="K314" s="10"/>
      <c r="L314" s="12"/>
      <c r="M314" s="12"/>
      <c r="N314" s="12"/>
      <c r="O314" s="12"/>
      <c r="P314" s="12"/>
      <c r="Q314" s="12"/>
      <c r="R314" s="12"/>
      <c r="S314" s="12"/>
      <c r="T314" s="12"/>
      <c r="U314" s="12"/>
    </row>
    <row r="315" customFormat="false" ht="15" hidden="false" customHeight="false" outlineLevel="0" collapsed="false">
      <c r="A315" s="12"/>
      <c r="B315" s="61"/>
      <c r="C315" s="61"/>
      <c r="D315" s="61"/>
      <c r="E315" s="62"/>
      <c r="F315" s="61"/>
      <c r="G315" s="61"/>
      <c r="H315" s="10"/>
      <c r="I315" s="12"/>
      <c r="J315" s="63"/>
      <c r="K315" s="10"/>
      <c r="L315" s="12"/>
      <c r="M315" s="12"/>
      <c r="N315" s="12"/>
      <c r="O315" s="12"/>
      <c r="P315" s="12"/>
      <c r="Q315" s="12"/>
      <c r="R315" s="12"/>
      <c r="S315" s="12"/>
      <c r="T315" s="12"/>
      <c r="U315" s="12"/>
    </row>
    <row r="316" customFormat="false" ht="15" hidden="false" customHeight="false" outlineLevel="0" collapsed="false">
      <c r="A316" s="12"/>
      <c r="B316" s="61"/>
      <c r="C316" s="61"/>
      <c r="D316" s="61"/>
      <c r="E316" s="62"/>
      <c r="F316" s="61"/>
      <c r="G316" s="61"/>
      <c r="H316" s="10"/>
      <c r="I316" s="12"/>
      <c r="J316" s="63"/>
      <c r="K316" s="10"/>
      <c r="L316" s="12"/>
      <c r="M316" s="12"/>
      <c r="N316" s="12"/>
      <c r="O316" s="12"/>
      <c r="P316" s="12"/>
      <c r="Q316" s="12"/>
      <c r="R316" s="12"/>
      <c r="S316" s="12"/>
      <c r="T316" s="12"/>
      <c r="U316" s="12"/>
    </row>
    <row r="317" customFormat="false" ht="15" hidden="false" customHeight="false" outlineLevel="0" collapsed="false">
      <c r="A317" s="12"/>
      <c r="B317" s="61"/>
      <c r="C317" s="61"/>
      <c r="D317" s="61"/>
      <c r="E317" s="62"/>
      <c r="F317" s="61"/>
      <c r="G317" s="61"/>
      <c r="H317" s="10"/>
      <c r="I317" s="12"/>
      <c r="J317" s="63"/>
      <c r="K317" s="10"/>
      <c r="L317" s="12"/>
      <c r="M317" s="12"/>
      <c r="N317" s="12"/>
      <c r="O317" s="12"/>
      <c r="P317" s="12"/>
      <c r="Q317" s="12"/>
      <c r="R317" s="12"/>
      <c r="S317" s="12"/>
      <c r="T317" s="12"/>
      <c r="U317" s="12"/>
    </row>
    <row r="318" customFormat="false" ht="15" hidden="false" customHeight="false" outlineLevel="0" collapsed="false">
      <c r="A318" s="12"/>
      <c r="B318" s="61"/>
      <c r="C318" s="61"/>
      <c r="D318" s="61"/>
      <c r="E318" s="62"/>
      <c r="F318" s="61"/>
      <c r="G318" s="61"/>
      <c r="H318" s="10"/>
      <c r="I318" s="12"/>
      <c r="J318" s="63"/>
      <c r="K318" s="10"/>
      <c r="L318" s="12"/>
      <c r="M318" s="12"/>
      <c r="N318" s="12"/>
      <c r="O318" s="12"/>
      <c r="P318" s="12"/>
      <c r="Q318" s="12"/>
      <c r="R318" s="12"/>
      <c r="S318" s="12"/>
      <c r="T318" s="12"/>
      <c r="U318" s="12"/>
    </row>
    <row r="319" customFormat="false" ht="15" hidden="false" customHeight="false" outlineLevel="0" collapsed="false">
      <c r="A319" s="12"/>
      <c r="B319" s="61"/>
      <c r="C319" s="61"/>
      <c r="D319" s="61"/>
      <c r="E319" s="62"/>
      <c r="F319" s="61"/>
      <c r="G319" s="61"/>
      <c r="H319" s="10"/>
      <c r="I319" s="12"/>
      <c r="J319" s="63"/>
      <c r="K319" s="10"/>
      <c r="L319" s="12"/>
      <c r="M319" s="12"/>
      <c r="N319" s="12"/>
      <c r="O319" s="12"/>
      <c r="P319" s="12"/>
      <c r="Q319" s="12"/>
      <c r="R319" s="12"/>
      <c r="S319" s="12"/>
      <c r="T319" s="12"/>
      <c r="U319" s="12"/>
    </row>
    <row r="320" customFormat="false" ht="15" hidden="false" customHeight="false" outlineLevel="0" collapsed="false">
      <c r="A320" s="12"/>
      <c r="B320" s="61"/>
      <c r="C320" s="61"/>
      <c r="D320" s="61"/>
      <c r="E320" s="62"/>
      <c r="F320" s="61"/>
      <c r="G320" s="61"/>
      <c r="H320" s="10"/>
      <c r="I320" s="12"/>
      <c r="J320" s="63"/>
      <c r="K320" s="10"/>
      <c r="L320" s="12"/>
      <c r="M320" s="12"/>
      <c r="N320" s="12"/>
      <c r="O320" s="12"/>
      <c r="P320" s="12"/>
      <c r="Q320" s="12"/>
      <c r="R320" s="12"/>
      <c r="S320" s="12"/>
      <c r="T320" s="12"/>
      <c r="U320" s="12"/>
    </row>
    <row r="321" customFormat="false" ht="15" hidden="false" customHeight="false" outlineLevel="0" collapsed="false">
      <c r="A321" s="12"/>
      <c r="B321" s="61"/>
      <c r="C321" s="61"/>
      <c r="D321" s="61"/>
      <c r="E321" s="62"/>
      <c r="F321" s="61"/>
      <c r="G321" s="61"/>
      <c r="H321" s="10"/>
      <c r="I321" s="12"/>
      <c r="J321" s="63"/>
      <c r="K321" s="10"/>
      <c r="L321" s="12"/>
      <c r="M321" s="12"/>
      <c r="N321" s="12"/>
      <c r="O321" s="12"/>
      <c r="P321" s="12"/>
      <c r="Q321" s="12"/>
      <c r="R321" s="12"/>
      <c r="S321" s="12"/>
      <c r="T321" s="12"/>
      <c r="U321" s="12"/>
    </row>
    <row r="322" customFormat="false" ht="15" hidden="false" customHeight="false" outlineLevel="0" collapsed="false">
      <c r="A322" s="12"/>
      <c r="B322" s="61"/>
      <c r="C322" s="61"/>
      <c r="D322" s="61"/>
      <c r="E322" s="62"/>
      <c r="F322" s="61"/>
      <c r="G322" s="61"/>
      <c r="H322" s="10"/>
      <c r="I322" s="12"/>
      <c r="J322" s="63"/>
      <c r="K322" s="10"/>
      <c r="L322" s="12"/>
      <c r="M322" s="12"/>
      <c r="N322" s="12"/>
      <c r="O322" s="12"/>
      <c r="P322" s="12"/>
      <c r="Q322" s="12"/>
      <c r="R322" s="12"/>
      <c r="S322" s="12"/>
      <c r="T322" s="12"/>
      <c r="U322" s="12"/>
    </row>
    <row r="323" customFormat="false" ht="15" hidden="false" customHeight="false" outlineLevel="0" collapsed="false">
      <c r="A323" s="12"/>
      <c r="B323" s="61"/>
      <c r="C323" s="61"/>
      <c r="D323" s="61"/>
      <c r="E323" s="62"/>
      <c r="F323" s="61"/>
      <c r="G323" s="61"/>
      <c r="H323" s="10"/>
      <c r="I323" s="12"/>
      <c r="J323" s="63"/>
      <c r="K323" s="10"/>
      <c r="L323" s="12"/>
      <c r="M323" s="12"/>
      <c r="N323" s="12"/>
      <c r="O323" s="12"/>
      <c r="P323" s="12"/>
      <c r="Q323" s="12"/>
      <c r="R323" s="12"/>
      <c r="S323" s="12"/>
      <c r="T323" s="12"/>
      <c r="U323" s="12"/>
    </row>
    <row r="324" customFormat="false" ht="15" hidden="false" customHeight="false" outlineLevel="0" collapsed="false">
      <c r="A324" s="12"/>
      <c r="B324" s="61"/>
      <c r="C324" s="61"/>
      <c r="D324" s="61"/>
      <c r="E324" s="62"/>
      <c r="F324" s="61"/>
      <c r="G324" s="61"/>
      <c r="H324" s="10"/>
      <c r="I324" s="12"/>
      <c r="J324" s="63"/>
      <c r="K324" s="10"/>
      <c r="L324" s="12"/>
      <c r="M324" s="12"/>
      <c r="N324" s="12"/>
      <c r="O324" s="12"/>
      <c r="P324" s="12"/>
      <c r="Q324" s="12"/>
      <c r="R324" s="12"/>
      <c r="S324" s="12"/>
      <c r="T324" s="12"/>
      <c r="U324" s="12"/>
    </row>
    <row r="325" customFormat="false" ht="15" hidden="false" customHeight="false" outlineLevel="0" collapsed="false">
      <c r="A325" s="12"/>
      <c r="B325" s="61"/>
      <c r="C325" s="61"/>
      <c r="D325" s="61"/>
      <c r="E325" s="62"/>
      <c r="F325" s="61"/>
      <c r="G325" s="61"/>
      <c r="H325" s="10"/>
      <c r="I325" s="12"/>
      <c r="J325" s="63"/>
      <c r="K325" s="10"/>
      <c r="L325" s="12"/>
      <c r="M325" s="12"/>
      <c r="N325" s="12"/>
      <c r="O325" s="12"/>
      <c r="P325" s="12"/>
      <c r="Q325" s="12"/>
      <c r="R325" s="12"/>
      <c r="S325" s="12"/>
      <c r="T325" s="12"/>
      <c r="U325" s="12"/>
    </row>
    <row r="326" customFormat="false" ht="15" hidden="false" customHeight="false" outlineLevel="0" collapsed="false">
      <c r="A326" s="12"/>
      <c r="B326" s="61"/>
      <c r="C326" s="61"/>
      <c r="D326" s="61"/>
      <c r="E326" s="62"/>
      <c r="F326" s="61"/>
      <c r="G326" s="61"/>
      <c r="H326" s="10"/>
      <c r="I326" s="12"/>
      <c r="J326" s="63"/>
      <c r="K326" s="10"/>
      <c r="L326" s="12"/>
      <c r="M326" s="12"/>
      <c r="N326" s="12"/>
      <c r="O326" s="12"/>
      <c r="P326" s="12"/>
      <c r="Q326" s="12"/>
      <c r="R326" s="12"/>
      <c r="S326" s="12"/>
      <c r="T326" s="12"/>
      <c r="U326" s="12"/>
    </row>
    <row r="327" customFormat="false" ht="15" hidden="false" customHeight="false" outlineLevel="0" collapsed="false">
      <c r="A327" s="12"/>
      <c r="B327" s="61"/>
      <c r="C327" s="61"/>
      <c r="D327" s="61"/>
      <c r="E327" s="62"/>
      <c r="F327" s="61"/>
      <c r="G327" s="61"/>
      <c r="H327" s="10"/>
      <c r="I327" s="12"/>
      <c r="J327" s="63"/>
      <c r="K327" s="10"/>
      <c r="L327" s="12"/>
      <c r="M327" s="12"/>
      <c r="N327" s="12"/>
      <c r="O327" s="12"/>
      <c r="P327" s="12"/>
      <c r="Q327" s="12"/>
      <c r="R327" s="12"/>
      <c r="S327" s="12"/>
      <c r="T327" s="12"/>
      <c r="U327" s="12"/>
    </row>
    <row r="328" customFormat="false" ht="15" hidden="false" customHeight="false" outlineLevel="0" collapsed="false">
      <c r="A328" s="12"/>
      <c r="B328" s="61"/>
      <c r="C328" s="61"/>
      <c r="D328" s="61"/>
      <c r="E328" s="62"/>
      <c r="F328" s="61"/>
      <c r="G328" s="61"/>
      <c r="H328" s="10"/>
      <c r="I328" s="12"/>
      <c r="J328" s="63"/>
      <c r="K328" s="10"/>
      <c r="L328" s="12"/>
      <c r="M328" s="12"/>
      <c r="N328" s="12"/>
      <c r="O328" s="12"/>
      <c r="P328" s="12"/>
      <c r="Q328" s="12"/>
      <c r="R328" s="12"/>
      <c r="S328" s="12"/>
      <c r="T328" s="12"/>
      <c r="U328" s="12"/>
    </row>
    <row r="329" customFormat="false" ht="15" hidden="false" customHeight="false" outlineLevel="0" collapsed="false">
      <c r="A329" s="12"/>
      <c r="B329" s="61"/>
      <c r="C329" s="61"/>
      <c r="D329" s="61"/>
      <c r="E329" s="62"/>
      <c r="F329" s="61"/>
      <c r="G329" s="61"/>
      <c r="H329" s="10"/>
      <c r="I329" s="12"/>
      <c r="J329" s="63"/>
      <c r="K329" s="10"/>
      <c r="L329" s="12"/>
      <c r="M329" s="12"/>
      <c r="N329" s="12"/>
      <c r="O329" s="12"/>
      <c r="P329" s="12"/>
      <c r="Q329" s="12"/>
      <c r="R329" s="12"/>
      <c r="S329" s="12"/>
      <c r="T329" s="12"/>
      <c r="U329" s="12"/>
    </row>
    <row r="330" customFormat="false" ht="15" hidden="false" customHeight="false" outlineLevel="0" collapsed="false">
      <c r="A330" s="12"/>
      <c r="B330" s="61"/>
      <c r="C330" s="61"/>
      <c r="D330" s="61"/>
      <c r="E330" s="62"/>
      <c r="F330" s="61"/>
      <c r="G330" s="61"/>
      <c r="H330" s="10"/>
      <c r="I330" s="12"/>
      <c r="J330" s="63"/>
      <c r="K330" s="10"/>
      <c r="L330" s="12"/>
      <c r="M330" s="12"/>
      <c r="N330" s="12"/>
      <c r="O330" s="12"/>
      <c r="P330" s="12"/>
      <c r="Q330" s="12"/>
      <c r="R330" s="12"/>
      <c r="S330" s="12"/>
      <c r="T330" s="12"/>
      <c r="U330" s="12"/>
    </row>
    <row r="331" customFormat="false" ht="15" hidden="false" customHeight="false" outlineLevel="0" collapsed="false">
      <c r="A331" s="12"/>
      <c r="B331" s="61"/>
      <c r="C331" s="61"/>
      <c r="D331" s="61"/>
      <c r="E331" s="62"/>
      <c r="F331" s="61"/>
      <c r="G331" s="61"/>
      <c r="H331" s="10"/>
      <c r="I331" s="12"/>
      <c r="J331" s="63"/>
      <c r="K331" s="10"/>
      <c r="L331" s="12"/>
      <c r="M331" s="12"/>
      <c r="N331" s="12"/>
      <c r="O331" s="12"/>
      <c r="P331" s="12"/>
      <c r="Q331" s="12"/>
      <c r="R331" s="12"/>
      <c r="S331" s="12"/>
      <c r="T331" s="12"/>
      <c r="U331" s="12"/>
    </row>
    <row r="332" customFormat="false" ht="15" hidden="false" customHeight="false" outlineLevel="0" collapsed="false">
      <c r="A332" s="12"/>
      <c r="B332" s="61"/>
      <c r="C332" s="61"/>
      <c r="D332" s="61"/>
      <c r="E332" s="62"/>
      <c r="F332" s="61"/>
      <c r="G332" s="61"/>
      <c r="H332" s="10"/>
      <c r="I332" s="12"/>
      <c r="J332" s="63"/>
      <c r="K332" s="10"/>
      <c r="L332" s="12"/>
      <c r="M332" s="12"/>
      <c r="N332" s="12"/>
      <c r="O332" s="12"/>
      <c r="P332" s="12"/>
      <c r="Q332" s="12"/>
      <c r="R332" s="12"/>
      <c r="S332" s="12"/>
      <c r="T332" s="12"/>
      <c r="U332" s="12"/>
    </row>
    <row r="333" customFormat="false" ht="15" hidden="false" customHeight="false" outlineLevel="0" collapsed="false">
      <c r="A333" s="12"/>
      <c r="B333" s="61"/>
      <c r="C333" s="61"/>
      <c r="D333" s="61"/>
      <c r="E333" s="62"/>
      <c r="F333" s="61"/>
      <c r="G333" s="61"/>
      <c r="H333" s="10"/>
      <c r="I333" s="12"/>
      <c r="J333" s="63"/>
      <c r="K333" s="10"/>
      <c r="L333" s="12"/>
      <c r="M333" s="12"/>
      <c r="N333" s="12"/>
      <c r="O333" s="12"/>
      <c r="P333" s="12"/>
      <c r="Q333" s="12"/>
      <c r="R333" s="12"/>
      <c r="S333" s="12"/>
      <c r="T333" s="12"/>
      <c r="U333" s="12"/>
    </row>
    <row r="334" customFormat="false" ht="15" hidden="false" customHeight="false" outlineLevel="0" collapsed="false">
      <c r="A334" s="12"/>
      <c r="B334" s="61"/>
      <c r="C334" s="61"/>
      <c r="D334" s="61"/>
      <c r="E334" s="62"/>
      <c r="F334" s="61"/>
      <c r="G334" s="61"/>
      <c r="H334" s="10"/>
      <c r="I334" s="12"/>
      <c r="J334" s="63"/>
      <c r="K334" s="10"/>
      <c r="L334" s="12"/>
      <c r="M334" s="12"/>
      <c r="N334" s="12"/>
      <c r="O334" s="12"/>
      <c r="P334" s="12"/>
      <c r="Q334" s="12"/>
      <c r="R334" s="12"/>
      <c r="S334" s="12"/>
      <c r="T334" s="12"/>
      <c r="U334" s="12"/>
    </row>
    <row r="335" customFormat="false" ht="15" hidden="false" customHeight="false" outlineLevel="0" collapsed="false">
      <c r="A335" s="12"/>
      <c r="B335" s="61"/>
      <c r="C335" s="61"/>
      <c r="D335" s="61"/>
      <c r="E335" s="62"/>
      <c r="F335" s="61"/>
      <c r="G335" s="61"/>
      <c r="H335" s="10"/>
      <c r="I335" s="12"/>
      <c r="J335" s="63"/>
      <c r="K335" s="10"/>
      <c r="L335" s="12"/>
      <c r="M335" s="12"/>
      <c r="N335" s="12"/>
      <c r="O335" s="12"/>
      <c r="P335" s="12"/>
      <c r="Q335" s="12"/>
      <c r="R335" s="12"/>
      <c r="S335" s="12"/>
      <c r="T335" s="12"/>
      <c r="U335" s="12"/>
    </row>
    <row r="336" customFormat="false" ht="15" hidden="false" customHeight="false" outlineLevel="0" collapsed="false">
      <c r="A336" s="12"/>
      <c r="B336" s="61"/>
      <c r="C336" s="61"/>
      <c r="D336" s="61"/>
      <c r="E336" s="62"/>
      <c r="F336" s="61"/>
      <c r="G336" s="61"/>
      <c r="H336" s="10"/>
      <c r="I336" s="12"/>
      <c r="J336" s="63"/>
      <c r="K336" s="10"/>
      <c r="L336" s="12"/>
      <c r="M336" s="12"/>
      <c r="N336" s="12"/>
      <c r="O336" s="12"/>
      <c r="P336" s="12"/>
      <c r="Q336" s="12"/>
      <c r="R336" s="12"/>
      <c r="S336" s="12"/>
      <c r="T336" s="12"/>
      <c r="U336" s="12"/>
    </row>
    <row r="337" customFormat="false" ht="15" hidden="false" customHeight="false" outlineLevel="0" collapsed="false">
      <c r="A337" s="12"/>
      <c r="B337" s="61"/>
      <c r="C337" s="61"/>
      <c r="D337" s="61"/>
      <c r="E337" s="62"/>
      <c r="F337" s="61"/>
      <c r="G337" s="61"/>
      <c r="H337" s="10"/>
      <c r="I337" s="12"/>
      <c r="J337" s="63"/>
      <c r="K337" s="10"/>
      <c r="L337" s="12"/>
      <c r="M337" s="12"/>
      <c r="N337" s="12"/>
      <c r="O337" s="12"/>
      <c r="P337" s="12"/>
      <c r="Q337" s="12"/>
      <c r="R337" s="12"/>
      <c r="S337" s="12"/>
      <c r="T337" s="12"/>
      <c r="U337" s="12"/>
    </row>
    <row r="338" customFormat="false" ht="15" hidden="false" customHeight="false" outlineLevel="0" collapsed="false">
      <c r="A338" s="12"/>
      <c r="B338" s="61"/>
      <c r="C338" s="61"/>
      <c r="D338" s="61"/>
      <c r="E338" s="62"/>
      <c r="F338" s="61"/>
      <c r="G338" s="61"/>
      <c r="H338" s="10"/>
      <c r="I338" s="12"/>
      <c r="J338" s="63"/>
      <c r="K338" s="10"/>
      <c r="L338" s="12"/>
      <c r="M338" s="12"/>
      <c r="N338" s="12"/>
      <c r="O338" s="12"/>
      <c r="P338" s="12"/>
      <c r="Q338" s="12"/>
      <c r="R338" s="12"/>
      <c r="S338" s="12"/>
      <c r="T338" s="12"/>
      <c r="U338" s="12"/>
    </row>
    <row r="339" customFormat="false" ht="15" hidden="false" customHeight="false" outlineLevel="0" collapsed="false">
      <c r="A339" s="12"/>
      <c r="B339" s="61"/>
      <c r="C339" s="61"/>
      <c r="D339" s="61"/>
      <c r="E339" s="62"/>
      <c r="F339" s="61"/>
      <c r="G339" s="61"/>
      <c r="H339" s="10"/>
      <c r="I339" s="12"/>
      <c r="J339" s="63"/>
      <c r="K339" s="10"/>
      <c r="L339" s="12"/>
      <c r="M339" s="12"/>
      <c r="N339" s="12"/>
      <c r="O339" s="12"/>
      <c r="P339" s="12"/>
      <c r="Q339" s="12"/>
      <c r="R339" s="12"/>
      <c r="S339" s="12"/>
      <c r="T339" s="12"/>
      <c r="U339" s="12"/>
    </row>
    <row r="340" customFormat="false" ht="15" hidden="false" customHeight="false" outlineLevel="0" collapsed="false">
      <c r="A340" s="12"/>
      <c r="B340" s="61"/>
      <c r="C340" s="61"/>
      <c r="D340" s="61"/>
      <c r="E340" s="62"/>
      <c r="F340" s="61"/>
      <c r="G340" s="61"/>
      <c r="H340" s="10"/>
      <c r="I340" s="12"/>
      <c r="J340" s="63"/>
      <c r="K340" s="10"/>
      <c r="L340" s="12"/>
      <c r="M340" s="12"/>
      <c r="N340" s="12"/>
      <c r="O340" s="12"/>
      <c r="P340" s="12"/>
      <c r="Q340" s="12"/>
      <c r="R340" s="12"/>
      <c r="S340" s="12"/>
      <c r="T340" s="12"/>
      <c r="U340" s="12"/>
    </row>
    <row r="341" customFormat="false" ht="15" hidden="false" customHeight="false" outlineLevel="0" collapsed="false">
      <c r="A341" s="12"/>
      <c r="B341" s="61"/>
      <c r="C341" s="61"/>
      <c r="D341" s="61"/>
      <c r="E341" s="62"/>
      <c r="F341" s="61"/>
      <c r="G341" s="61"/>
      <c r="H341" s="10"/>
      <c r="I341" s="12"/>
      <c r="J341" s="63"/>
      <c r="K341" s="10"/>
      <c r="L341" s="12"/>
      <c r="M341" s="12"/>
      <c r="N341" s="12"/>
      <c r="O341" s="12"/>
      <c r="P341" s="12"/>
      <c r="Q341" s="12"/>
      <c r="R341" s="12"/>
      <c r="S341" s="12"/>
      <c r="T341" s="12"/>
      <c r="U341" s="12"/>
    </row>
    <row r="342" customFormat="false" ht="15" hidden="false" customHeight="false" outlineLevel="0" collapsed="false">
      <c r="A342" s="12"/>
      <c r="B342" s="61"/>
      <c r="C342" s="61"/>
      <c r="D342" s="61"/>
      <c r="E342" s="62"/>
      <c r="F342" s="61"/>
      <c r="G342" s="61"/>
      <c r="H342" s="10"/>
      <c r="I342" s="12"/>
      <c r="J342" s="63"/>
      <c r="K342" s="10"/>
      <c r="L342" s="12"/>
      <c r="M342" s="12"/>
      <c r="N342" s="12"/>
      <c r="O342" s="12"/>
      <c r="P342" s="12"/>
      <c r="Q342" s="12"/>
      <c r="R342" s="12"/>
      <c r="S342" s="12"/>
      <c r="T342" s="12"/>
      <c r="U342" s="12"/>
    </row>
    <row r="343" customFormat="false" ht="15" hidden="false" customHeight="false" outlineLevel="0" collapsed="false">
      <c r="A343" s="12"/>
      <c r="B343" s="61"/>
      <c r="C343" s="61"/>
      <c r="D343" s="61"/>
      <c r="E343" s="62"/>
      <c r="F343" s="61"/>
      <c r="G343" s="61"/>
      <c r="H343" s="10"/>
      <c r="I343" s="12"/>
      <c r="J343" s="63"/>
      <c r="K343" s="10"/>
      <c r="L343" s="12"/>
      <c r="M343" s="12"/>
      <c r="N343" s="12"/>
      <c r="O343" s="12"/>
      <c r="P343" s="12"/>
      <c r="Q343" s="12"/>
      <c r="R343" s="12"/>
      <c r="S343" s="12"/>
      <c r="T343" s="12"/>
      <c r="U343" s="12"/>
    </row>
    <row r="344" customFormat="false" ht="15" hidden="false" customHeight="false" outlineLevel="0" collapsed="false">
      <c r="A344" s="12"/>
      <c r="B344" s="61"/>
      <c r="C344" s="61"/>
      <c r="D344" s="61"/>
      <c r="E344" s="62"/>
      <c r="F344" s="61"/>
      <c r="G344" s="61"/>
      <c r="H344" s="10"/>
      <c r="I344" s="12"/>
      <c r="J344" s="63"/>
      <c r="K344" s="10"/>
      <c r="L344" s="12"/>
      <c r="M344" s="12"/>
      <c r="N344" s="12"/>
      <c r="O344" s="12"/>
      <c r="P344" s="12"/>
      <c r="Q344" s="12"/>
      <c r="R344" s="12"/>
      <c r="S344" s="12"/>
      <c r="T344" s="12"/>
      <c r="U344" s="12"/>
    </row>
    <row r="345" customFormat="false" ht="15" hidden="false" customHeight="false" outlineLevel="0" collapsed="false">
      <c r="A345" s="12"/>
      <c r="B345" s="61"/>
      <c r="C345" s="61"/>
      <c r="D345" s="61"/>
      <c r="E345" s="62"/>
      <c r="F345" s="61"/>
      <c r="G345" s="61"/>
      <c r="H345" s="10"/>
      <c r="I345" s="12"/>
      <c r="J345" s="63"/>
      <c r="K345" s="10"/>
      <c r="L345" s="12"/>
      <c r="M345" s="12"/>
      <c r="N345" s="12"/>
      <c r="O345" s="12"/>
      <c r="P345" s="12"/>
      <c r="Q345" s="12"/>
      <c r="R345" s="12"/>
      <c r="S345" s="12"/>
      <c r="T345" s="12"/>
      <c r="U345" s="12"/>
    </row>
    <row r="346" customFormat="false" ht="15" hidden="false" customHeight="false" outlineLevel="0" collapsed="false">
      <c r="A346" s="12"/>
      <c r="B346" s="61"/>
      <c r="C346" s="61"/>
      <c r="D346" s="61"/>
      <c r="E346" s="62"/>
      <c r="F346" s="61"/>
      <c r="G346" s="61"/>
      <c r="H346" s="10"/>
      <c r="I346" s="12"/>
      <c r="J346" s="63"/>
      <c r="K346" s="10"/>
      <c r="L346" s="12"/>
      <c r="M346" s="12"/>
      <c r="N346" s="12"/>
      <c r="O346" s="12"/>
      <c r="P346" s="12"/>
      <c r="Q346" s="12"/>
      <c r="R346" s="12"/>
      <c r="S346" s="12"/>
      <c r="T346" s="12"/>
      <c r="U346" s="12"/>
    </row>
    <row r="347" customFormat="false" ht="15" hidden="false" customHeight="false" outlineLevel="0" collapsed="false">
      <c r="A347" s="12"/>
      <c r="B347" s="61"/>
      <c r="C347" s="61"/>
      <c r="D347" s="61"/>
      <c r="E347" s="62"/>
      <c r="F347" s="61"/>
      <c r="G347" s="61"/>
      <c r="H347" s="10"/>
      <c r="I347" s="12"/>
      <c r="J347" s="63"/>
      <c r="K347" s="10"/>
      <c r="L347" s="12"/>
      <c r="M347" s="12"/>
      <c r="N347" s="12"/>
      <c r="O347" s="12"/>
      <c r="P347" s="12"/>
      <c r="Q347" s="12"/>
      <c r="R347" s="12"/>
      <c r="S347" s="12"/>
      <c r="T347" s="12"/>
      <c r="U347" s="12"/>
    </row>
    <row r="348" customFormat="false" ht="15" hidden="false" customHeight="false" outlineLevel="0" collapsed="false">
      <c r="A348" s="12"/>
      <c r="B348" s="61"/>
      <c r="C348" s="61"/>
      <c r="D348" s="61"/>
      <c r="E348" s="62"/>
      <c r="F348" s="61"/>
      <c r="G348" s="61"/>
      <c r="H348" s="10"/>
      <c r="I348" s="12"/>
      <c r="J348" s="63"/>
      <c r="K348" s="10"/>
      <c r="L348" s="12"/>
      <c r="M348" s="12"/>
      <c r="N348" s="12"/>
      <c r="O348" s="12"/>
      <c r="P348" s="12"/>
      <c r="Q348" s="12"/>
      <c r="R348" s="12"/>
      <c r="S348" s="12"/>
      <c r="T348" s="12"/>
      <c r="U348" s="12"/>
    </row>
    <row r="349" customFormat="false" ht="15" hidden="false" customHeight="false" outlineLevel="0" collapsed="false">
      <c r="A349" s="12"/>
      <c r="B349" s="61"/>
      <c r="C349" s="61"/>
      <c r="D349" s="61"/>
      <c r="E349" s="62"/>
      <c r="F349" s="61"/>
      <c r="G349" s="61"/>
      <c r="H349" s="10"/>
      <c r="I349" s="12"/>
      <c r="J349" s="63"/>
      <c r="K349" s="10"/>
      <c r="L349" s="12"/>
      <c r="M349" s="12"/>
      <c r="N349" s="12"/>
      <c r="O349" s="12"/>
      <c r="P349" s="12"/>
      <c r="Q349" s="12"/>
      <c r="R349" s="12"/>
      <c r="S349" s="12"/>
      <c r="T349" s="12"/>
      <c r="U349" s="12"/>
    </row>
    <row r="350" customFormat="false" ht="15" hidden="false" customHeight="false" outlineLevel="0" collapsed="false">
      <c r="A350" s="12"/>
      <c r="B350" s="61"/>
      <c r="C350" s="61"/>
      <c r="D350" s="61"/>
      <c r="E350" s="62"/>
      <c r="F350" s="61"/>
      <c r="G350" s="61"/>
      <c r="H350" s="10"/>
      <c r="I350" s="12"/>
      <c r="J350" s="63"/>
      <c r="K350" s="10"/>
      <c r="L350" s="12"/>
      <c r="M350" s="12"/>
      <c r="N350" s="12"/>
      <c r="O350" s="12"/>
      <c r="P350" s="12"/>
      <c r="Q350" s="12"/>
      <c r="R350" s="12"/>
      <c r="S350" s="12"/>
      <c r="T350" s="12"/>
      <c r="U350" s="12"/>
    </row>
    <row r="351" customFormat="false" ht="15" hidden="false" customHeight="false" outlineLevel="0" collapsed="false">
      <c r="A351" s="12"/>
      <c r="B351" s="61"/>
      <c r="C351" s="61"/>
      <c r="D351" s="61"/>
      <c r="E351" s="62"/>
      <c r="F351" s="61"/>
      <c r="G351" s="61"/>
      <c r="H351" s="10"/>
      <c r="I351" s="12"/>
      <c r="J351" s="63"/>
      <c r="K351" s="10"/>
      <c r="L351" s="12"/>
      <c r="M351" s="12"/>
      <c r="N351" s="12"/>
      <c r="O351" s="12"/>
      <c r="P351" s="12"/>
      <c r="Q351" s="12"/>
      <c r="R351" s="12"/>
      <c r="S351" s="12"/>
      <c r="T351" s="12"/>
      <c r="U351" s="12"/>
    </row>
    <row r="352" customFormat="false" ht="15" hidden="false" customHeight="false" outlineLevel="0" collapsed="false">
      <c r="A352" s="12"/>
      <c r="B352" s="61"/>
      <c r="C352" s="61"/>
      <c r="D352" s="61"/>
      <c r="E352" s="62"/>
      <c r="F352" s="61"/>
      <c r="G352" s="61"/>
      <c r="H352" s="10"/>
      <c r="I352" s="12"/>
      <c r="J352" s="63"/>
      <c r="K352" s="10"/>
      <c r="L352" s="12"/>
      <c r="M352" s="12"/>
      <c r="N352" s="12"/>
      <c r="O352" s="12"/>
      <c r="P352" s="12"/>
      <c r="Q352" s="12"/>
      <c r="R352" s="12"/>
      <c r="S352" s="12"/>
      <c r="T352" s="12"/>
      <c r="U352" s="12"/>
    </row>
    <row r="353" customFormat="false" ht="15" hidden="false" customHeight="false" outlineLevel="0" collapsed="false">
      <c r="A353" s="12"/>
      <c r="B353" s="61"/>
      <c r="C353" s="61"/>
      <c r="D353" s="61"/>
      <c r="E353" s="62"/>
      <c r="F353" s="61"/>
      <c r="G353" s="61"/>
      <c r="H353" s="10"/>
      <c r="I353" s="12"/>
      <c r="J353" s="63"/>
      <c r="K353" s="10"/>
      <c r="L353" s="12"/>
      <c r="M353" s="12"/>
      <c r="N353" s="12"/>
      <c r="O353" s="12"/>
      <c r="P353" s="12"/>
      <c r="Q353" s="12"/>
      <c r="R353" s="12"/>
      <c r="S353" s="12"/>
      <c r="T353" s="12"/>
      <c r="U353" s="12"/>
    </row>
    <row r="354" customFormat="false" ht="15" hidden="false" customHeight="false" outlineLevel="0" collapsed="false">
      <c r="A354" s="12"/>
      <c r="B354" s="61"/>
      <c r="C354" s="61"/>
      <c r="D354" s="61"/>
      <c r="E354" s="62"/>
      <c r="F354" s="61"/>
      <c r="G354" s="61"/>
      <c r="H354" s="10"/>
      <c r="I354" s="12"/>
      <c r="J354" s="63"/>
      <c r="K354" s="10"/>
      <c r="L354" s="12"/>
      <c r="M354" s="12"/>
      <c r="N354" s="12"/>
      <c r="O354" s="12"/>
      <c r="P354" s="12"/>
      <c r="Q354" s="12"/>
      <c r="R354" s="12"/>
      <c r="S354" s="12"/>
      <c r="T354" s="12"/>
      <c r="U354" s="12"/>
    </row>
    <row r="355" customFormat="false" ht="15" hidden="false" customHeight="false" outlineLevel="0" collapsed="false">
      <c r="A355" s="12"/>
      <c r="B355" s="61"/>
      <c r="C355" s="61"/>
      <c r="D355" s="61"/>
      <c r="E355" s="62"/>
      <c r="F355" s="61"/>
      <c r="G355" s="61"/>
      <c r="H355" s="10"/>
      <c r="I355" s="12"/>
      <c r="J355" s="63"/>
      <c r="K355" s="10"/>
      <c r="L355" s="12"/>
      <c r="M355" s="12"/>
      <c r="N355" s="12"/>
      <c r="O355" s="12"/>
      <c r="P355" s="12"/>
      <c r="Q355" s="12"/>
      <c r="R355" s="12"/>
      <c r="S355" s="12"/>
      <c r="T355" s="12"/>
      <c r="U355" s="12"/>
    </row>
    <row r="356" customFormat="false" ht="15" hidden="false" customHeight="false" outlineLevel="0" collapsed="false">
      <c r="A356" s="12"/>
      <c r="B356" s="61"/>
      <c r="C356" s="61"/>
      <c r="D356" s="61"/>
      <c r="E356" s="62"/>
      <c r="F356" s="61"/>
      <c r="G356" s="61"/>
      <c r="H356" s="10"/>
      <c r="I356" s="12"/>
      <c r="J356" s="63"/>
      <c r="K356" s="10"/>
      <c r="L356" s="12"/>
      <c r="M356" s="12"/>
      <c r="N356" s="12"/>
      <c r="O356" s="12"/>
      <c r="P356" s="12"/>
      <c r="Q356" s="12"/>
      <c r="R356" s="12"/>
      <c r="S356" s="12"/>
      <c r="T356" s="12"/>
      <c r="U356" s="12"/>
    </row>
    <row r="357" customFormat="false" ht="15" hidden="false" customHeight="false" outlineLevel="0" collapsed="false">
      <c r="A357" s="12"/>
      <c r="B357" s="61"/>
      <c r="C357" s="61"/>
      <c r="D357" s="61"/>
      <c r="E357" s="62"/>
      <c r="F357" s="61"/>
      <c r="G357" s="61"/>
      <c r="H357" s="10"/>
      <c r="I357" s="12"/>
      <c r="J357" s="63"/>
      <c r="K357" s="10"/>
      <c r="L357" s="12"/>
      <c r="M357" s="12"/>
      <c r="N357" s="12"/>
      <c r="O357" s="12"/>
      <c r="P357" s="12"/>
      <c r="Q357" s="12"/>
      <c r="R357" s="12"/>
      <c r="S357" s="12"/>
      <c r="T357" s="12"/>
      <c r="U357" s="12"/>
    </row>
    <row r="358" customFormat="false" ht="15" hidden="false" customHeight="false" outlineLevel="0" collapsed="false">
      <c r="A358" s="12"/>
      <c r="B358" s="61"/>
      <c r="C358" s="61"/>
      <c r="D358" s="61"/>
      <c r="E358" s="62"/>
      <c r="F358" s="61"/>
      <c r="G358" s="61"/>
      <c r="H358" s="10"/>
      <c r="I358" s="12"/>
      <c r="J358" s="63"/>
      <c r="K358" s="10"/>
      <c r="L358" s="12"/>
      <c r="M358" s="12"/>
      <c r="N358" s="12"/>
      <c r="O358" s="12"/>
      <c r="P358" s="12"/>
      <c r="Q358" s="12"/>
      <c r="R358" s="12"/>
      <c r="S358" s="12"/>
      <c r="T358" s="12"/>
      <c r="U358" s="12"/>
    </row>
    <row r="359" customFormat="false" ht="15" hidden="false" customHeight="false" outlineLevel="0" collapsed="false">
      <c r="A359" s="12"/>
      <c r="B359" s="61"/>
      <c r="C359" s="61"/>
      <c r="D359" s="61"/>
      <c r="E359" s="62"/>
      <c r="F359" s="61"/>
      <c r="G359" s="61"/>
      <c r="H359" s="10"/>
      <c r="I359" s="12"/>
      <c r="J359" s="63"/>
      <c r="K359" s="10"/>
      <c r="L359" s="12"/>
      <c r="M359" s="12"/>
      <c r="N359" s="12"/>
      <c r="O359" s="12"/>
      <c r="P359" s="12"/>
      <c r="Q359" s="12"/>
      <c r="R359" s="12"/>
      <c r="S359" s="12"/>
      <c r="T359" s="12"/>
      <c r="U359" s="12"/>
    </row>
    <row r="360" customFormat="false" ht="15" hidden="false" customHeight="false" outlineLevel="0" collapsed="false">
      <c r="A360" s="12"/>
      <c r="B360" s="61"/>
      <c r="C360" s="61"/>
      <c r="D360" s="61"/>
      <c r="E360" s="62"/>
      <c r="F360" s="61"/>
      <c r="G360" s="61"/>
      <c r="H360" s="10"/>
      <c r="I360" s="12"/>
      <c r="J360" s="63"/>
      <c r="K360" s="10"/>
      <c r="L360" s="12"/>
      <c r="M360" s="12"/>
      <c r="N360" s="12"/>
      <c r="O360" s="12"/>
      <c r="P360" s="12"/>
      <c r="Q360" s="12"/>
      <c r="R360" s="12"/>
      <c r="S360" s="12"/>
      <c r="T360" s="12"/>
      <c r="U360" s="12"/>
    </row>
    <row r="361" customFormat="false" ht="15" hidden="false" customHeight="false" outlineLevel="0" collapsed="false">
      <c r="A361" s="12"/>
      <c r="B361" s="61"/>
      <c r="C361" s="61"/>
      <c r="D361" s="61"/>
      <c r="E361" s="62"/>
      <c r="F361" s="61"/>
      <c r="G361" s="61"/>
      <c r="H361" s="10"/>
      <c r="I361" s="12"/>
      <c r="J361" s="63"/>
      <c r="K361" s="10"/>
      <c r="L361" s="12"/>
      <c r="M361" s="12"/>
      <c r="N361" s="12"/>
      <c r="O361" s="12"/>
      <c r="P361" s="12"/>
      <c r="Q361" s="12"/>
      <c r="R361" s="12"/>
      <c r="S361" s="12"/>
      <c r="T361" s="12"/>
      <c r="U361" s="12"/>
    </row>
    <row r="362" customFormat="false" ht="15" hidden="false" customHeight="false" outlineLevel="0" collapsed="false">
      <c r="A362" s="12"/>
      <c r="B362" s="61"/>
      <c r="C362" s="61"/>
      <c r="D362" s="61"/>
      <c r="E362" s="62"/>
      <c r="F362" s="61"/>
      <c r="G362" s="61"/>
      <c r="H362" s="10"/>
      <c r="I362" s="12"/>
      <c r="J362" s="63"/>
      <c r="K362" s="10"/>
      <c r="L362" s="12"/>
      <c r="M362" s="12"/>
      <c r="N362" s="12"/>
      <c r="O362" s="12"/>
      <c r="P362" s="12"/>
      <c r="Q362" s="12"/>
      <c r="R362" s="12"/>
      <c r="S362" s="12"/>
      <c r="T362" s="12"/>
      <c r="U362" s="12"/>
    </row>
    <row r="363" customFormat="false" ht="15" hidden="false" customHeight="false" outlineLevel="0" collapsed="false">
      <c r="A363" s="12"/>
      <c r="B363" s="61"/>
      <c r="C363" s="61"/>
      <c r="D363" s="61"/>
      <c r="E363" s="62"/>
      <c r="F363" s="61"/>
      <c r="G363" s="61"/>
      <c r="H363" s="10"/>
      <c r="I363" s="12"/>
      <c r="J363" s="63"/>
      <c r="K363" s="10"/>
      <c r="L363" s="12"/>
      <c r="M363" s="12"/>
      <c r="N363" s="12"/>
      <c r="O363" s="12"/>
      <c r="P363" s="12"/>
      <c r="Q363" s="12"/>
      <c r="R363" s="12"/>
      <c r="S363" s="12"/>
      <c r="T363" s="12"/>
      <c r="U363" s="12"/>
    </row>
    <row r="364" customFormat="false" ht="15" hidden="false" customHeight="false" outlineLevel="0" collapsed="false">
      <c r="A364" s="12"/>
      <c r="B364" s="61"/>
      <c r="C364" s="61"/>
      <c r="D364" s="61"/>
      <c r="E364" s="62"/>
      <c r="F364" s="61"/>
      <c r="G364" s="61"/>
      <c r="H364" s="10"/>
      <c r="I364" s="12"/>
      <c r="J364" s="63"/>
      <c r="K364" s="10"/>
      <c r="L364" s="12"/>
      <c r="M364" s="12"/>
      <c r="N364" s="12"/>
      <c r="O364" s="12"/>
      <c r="P364" s="12"/>
      <c r="Q364" s="12"/>
      <c r="R364" s="12"/>
      <c r="S364" s="12"/>
      <c r="T364" s="12"/>
      <c r="U364" s="12"/>
    </row>
    <row r="365" customFormat="false" ht="15" hidden="false" customHeight="false" outlineLevel="0" collapsed="false">
      <c r="A365" s="12"/>
      <c r="B365" s="61"/>
      <c r="C365" s="61"/>
      <c r="D365" s="61"/>
      <c r="E365" s="62"/>
      <c r="F365" s="61"/>
      <c r="G365" s="61"/>
      <c r="H365" s="10"/>
      <c r="I365" s="12"/>
      <c r="J365" s="63"/>
      <c r="K365" s="10"/>
      <c r="L365" s="12"/>
      <c r="M365" s="12"/>
      <c r="N365" s="12"/>
      <c r="O365" s="12"/>
      <c r="P365" s="12"/>
      <c r="Q365" s="12"/>
      <c r="R365" s="12"/>
      <c r="S365" s="12"/>
      <c r="T365" s="12"/>
      <c r="U365" s="12"/>
    </row>
    <row r="366" customFormat="false" ht="15" hidden="false" customHeight="false" outlineLevel="0" collapsed="false">
      <c r="A366" s="12"/>
      <c r="B366" s="61"/>
      <c r="C366" s="61"/>
      <c r="D366" s="61"/>
      <c r="E366" s="62"/>
      <c r="F366" s="61"/>
      <c r="G366" s="61"/>
      <c r="H366" s="10"/>
      <c r="I366" s="12"/>
      <c r="J366" s="63"/>
      <c r="K366" s="10"/>
      <c r="L366" s="12"/>
      <c r="M366" s="12"/>
      <c r="N366" s="12"/>
      <c r="O366" s="12"/>
      <c r="P366" s="12"/>
      <c r="Q366" s="12"/>
      <c r="R366" s="12"/>
      <c r="S366" s="12"/>
      <c r="T366" s="12"/>
      <c r="U366" s="12"/>
    </row>
    <row r="367" customFormat="false" ht="15" hidden="false" customHeight="false" outlineLevel="0" collapsed="false">
      <c r="A367" s="12"/>
      <c r="B367" s="61"/>
      <c r="C367" s="61"/>
      <c r="D367" s="61"/>
      <c r="E367" s="62"/>
      <c r="F367" s="61"/>
      <c r="G367" s="61"/>
      <c r="H367" s="10"/>
      <c r="I367" s="12"/>
      <c r="J367" s="63"/>
      <c r="K367" s="10"/>
      <c r="L367" s="12"/>
      <c r="M367" s="12"/>
      <c r="N367" s="12"/>
      <c r="O367" s="12"/>
      <c r="P367" s="12"/>
      <c r="Q367" s="12"/>
      <c r="R367" s="12"/>
      <c r="S367" s="12"/>
      <c r="T367" s="12"/>
      <c r="U367" s="12"/>
    </row>
    <row r="368" customFormat="false" ht="15" hidden="false" customHeight="false" outlineLevel="0" collapsed="false">
      <c r="A368" s="12"/>
      <c r="B368" s="61"/>
      <c r="C368" s="61"/>
      <c r="D368" s="61"/>
      <c r="E368" s="62"/>
      <c r="F368" s="61"/>
      <c r="G368" s="61"/>
      <c r="H368" s="10"/>
      <c r="I368" s="12"/>
      <c r="J368" s="63"/>
      <c r="K368" s="10"/>
      <c r="L368" s="12"/>
      <c r="M368" s="12"/>
      <c r="N368" s="12"/>
      <c r="O368" s="12"/>
      <c r="P368" s="12"/>
      <c r="Q368" s="12"/>
      <c r="R368" s="12"/>
      <c r="S368" s="12"/>
      <c r="T368" s="12"/>
      <c r="U368" s="12"/>
    </row>
    <row r="369" customFormat="false" ht="15" hidden="false" customHeight="false" outlineLevel="0" collapsed="false">
      <c r="A369" s="12"/>
      <c r="B369" s="61"/>
      <c r="C369" s="61"/>
      <c r="D369" s="61"/>
      <c r="E369" s="62"/>
      <c r="F369" s="61"/>
      <c r="G369" s="61"/>
      <c r="H369" s="10"/>
      <c r="I369" s="12"/>
      <c r="J369" s="63"/>
      <c r="K369" s="10"/>
      <c r="L369" s="12"/>
      <c r="M369" s="12"/>
      <c r="N369" s="12"/>
      <c r="O369" s="12"/>
      <c r="P369" s="12"/>
      <c r="Q369" s="12"/>
      <c r="R369" s="12"/>
      <c r="S369" s="12"/>
      <c r="T369" s="12"/>
      <c r="U369" s="12"/>
    </row>
    <row r="370" customFormat="false" ht="15" hidden="false" customHeight="false" outlineLevel="0" collapsed="false">
      <c r="A370" s="12"/>
      <c r="B370" s="61"/>
      <c r="C370" s="61"/>
      <c r="D370" s="61"/>
      <c r="E370" s="62"/>
      <c r="F370" s="61"/>
      <c r="G370" s="61"/>
      <c r="H370" s="10"/>
      <c r="I370" s="12"/>
      <c r="J370" s="63"/>
      <c r="K370" s="10"/>
      <c r="L370" s="12"/>
      <c r="M370" s="12"/>
      <c r="N370" s="12"/>
      <c r="O370" s="12"/>
      <c r="P370" s="12"/>
      <c r="Q370" s="12"/>
      <c r="R370" s="12"/>
      <c r="S370" s="12"/>
      <c r="T370" s="12"/>
      <c r="U370" s="12"/>
    </row>
    <row r="371" customFormat="false" ht="15" hidden="false" customHeight="false" outlineLevel="0" collapsed="false">
      <c r="A371" s="12"/>
      <c r="B371" s="61"/>
      <c r="C371" s="61"/>
      <c r="D371" s="61"/>
      <c r="E371" s="62"/>
      <c r="F371" s="61"/>
      <c r="G371" s="61"/>
      <c r="H371" s="10"/>
      <c r="I371" s="12"/>
      <c r="J371" s="63"/>
      <c r="K371" s="10"/>
      <c r="L371" s="12"/>
      <c r="M371" s="12"/>
      <c r="N371" s="12"/>
      <c r="O371" s="12"/>
      <c r="P371" s="12"/>
      <c r="Q371" s="12"/>
      <c r="R371" s="12"/>
      <c r="S371" s="12"/>
      <c r="T371" s="12"/>
      <c r="U371" s="12"/>
    </row>
    <row r="372" customFormat="false" ht="15" hidden="false" customHeight="false" outlineLevel="0" collapsed="false">
      <c r="A372" s="12"/>
      <c r="B372" s="61"/>
      <c r="C372" s="61"/>
      <c r="D372" s="61"/>
      <c r="E372" s="62"/>
      <c r="F372" s="61"/>
      <c r="G372" s="61"/>
      <c r="H372" s="10"/>
      <c r="I372" s="12"/>
      <c r="J372" s="63"/>
      <c r="K372" s="10"/>
      <c r="L372" s="12"/>
      <c r="M372" s="12"/>
      <c r="N372" s="12"/>
      <c r="O372" s="12"/>
      <c r="P372" s="12"/>
      <c r="Q372" s="12"/>
      <c r="R372" s="12"/>
      <c r="S372" s="12"/>
      <c r="T372" s="12"/>
      <c r="U372" s="12"/>
    </row>
    <row r="373" customFormat="false" ht="15" hidden="false" customHeight="false" outlineLevel="0" collapsed="false">
      <c r="A373" s="12"/>
      <c r="B373" s="61"/>
      <c r="C373" s="61"/>
      <c r="D373" s="61"/>
      <c r="E373" s="62"/>
      <c r="F373" s="61"/>
      <c r="G373" s="61"/>
      <c r="H373" s="10"/>
      <c r="I373" s="12"/>
      <c r="J373" s="63"/>
      <c r="K373" s="10"/>
      <c r="L373" s="12"/>
      <c r="M373" s="12"/>
      <c r="N373" s="12"/>
      <c r="O373" s="12"/>
      <c r="P373" s="12"/>
      <c r="Q373" s="12"/>
      <c r="R373" s="12"/>
      <c r="S373" s="12"/>
      <c r="T373" s="12"/>
      <c r="U373" s="12"/>
    </row>
    <row r="374" customFormat="false" ht="15" hidden="false" customHeight="false" outlineLevel="0" collapsed="false">
      <c r="A374" s="12"/>
      <c r="B374" s="61"/>
      <c r="C374" s="61"/>
      <c r="D374" s="61"/>
      <c r="E374" s="62"/>
      <c r="F374" s="61"/>
      <c r="G374" s="61"/>
      <c r="H374" s="10"/>
      <c r="I374" s="12"/>
      <c r="J374" s="63"/>
      <c r="K374" s="10"/>
      <c r="L374" s="12"/>
      <c r="M374" s="12"/>
      <c r="N374" s="12"/>
      <c r="O374" s="12"/>
      <c r="P374" s="12"/>
      <c r="Q374" s="12"/>
      <c r="R374" s="12"/>
      <c r="S374" s="12"/>
      <c r="T374" s="12"/>
      <c r="U374" s="12"/>
    </row>
    <row r="375" customFormat="false" ht="15" hidden="false" customHeight="false" outlineLevel="0" collapsed="false">
      <c r="A375" s="12"/>
      <c r="B375" s="61"/>
      <c r="C375" s="61"/>
      <c r="D375" s="61"/>
      <c r="E375" s="62"/>
      <c r="F375" s="61"/>
      <c r="G375" s="61"/>
      <c r="H375" s="10"/>
      <c r="I375" s="12"/>
      <c r="J375" s="63"/>
      <c r="K375" s="10"/>
      <c r="L375" s="12"/>
      <c r="M375" s="12"/>
      <c r="N375" s="12"/>
      <c r="O375" s="12"/>
      <c r="P375" s="12"/>
      <c r="Q375" s="12"/>
      <c r="R375" s="12"/>
      <c r="S375" s="12"/>
      <c r="T375" s="12"/>
      <c r="U375" s="12"/>
    </row>
    <row r="376" customFormat="false" ht="15" hidden="false" customHeight="false" outlineLevel="0" collapsed="false">
      <c r="A376" s="12"/>
      <c r="B376" s="61"/>
      <c r="C376" s="61"/>
      <c r="D376" s="61"/>
      <c r="E376" s="62"/>
      <c r="F376" s="61"/>
      <c r="G376" s="61"/>
      <c r="H376" s="10"/>
      <c r="I376" s="12"/>
      <c r="J376" s="63"/>
      <c r="K376" s="10"/>
      <c r="L376" s="12"/>
      <c r="M376" s="12"/>
      <c r="N376" s="12"/>
      <c r="O376" s="12"/>
      <c r="P376" s="12"/>
      <c r="Q376" s="12"/>
      <c r="R376" s="12"/>
      <c r="S376" s="12"/>
      <c r="T376" s="12"/>
      <c r="U376" s="12"/>
    </row>
    <row r="377" customFormat="false" ht="15" hidden="false" customHeight="false" outlineLevel="0" collapsed="false">
      <c r="A377" s="12"/>
      <c r="B377" s="61"/>
      <c r="C377" s="61"/>
      <c r="D377" s="61"/>
      <c r="E377" s="62"/>
      <c r="F377" s="61"/>
      <c r="G377" s="61"/>
      <c r="H377" s="10"/>
      <c r="I377" s="12"/>
      <c r="J377" s="63"/>
      <c r="K377" s="10"/>
      <c r="L377" s="12"/>
      <c r="M377" s="12"/>
      <c r="N377" s="12"/>
      <c r="O377" s="12"/>
      <c r="P377" s="12"/>
      <c r="Q377" s="12"/>
      <c r="R377" s="12"/>
      <c r="S377" s="12"/>
      <c r="T377" s="12"/>
      <c r="U377" s="12"/>
    </row>
    <row r="378" customFormat="false" ht="15" hidden="false" customHeight="false" outlineLevel="0" collapsed="false">
      <c r="A378" s="12"/>
      <c r="B378" s="61"/>
      <c r="C378" s="61"/>
      <c r="D378" s="61"/>
      <c r="E378" s="62"/>
      <c r="F378" s="61"/>
      <c r="G378" s="61"/>
      <c r="H378" s="10"/>
      <c r="I378" s="12"/>
      <c r="J378" s="63"/>
      <c r="K378" s="10"/>
      <c r="L378" s="12"/>
      <c r="M378" s="12"/>
      <c r="N378" s="12"/>
      <c r="O378" s="12"/>
      <c r="P378" s="12"/>
      <c r="Q378" s="12"/>
      <c r="R378" s="12"/>
      <c r="S378" s="12"/>
      <c r="T378" s="12"/>
      <c r="U378" s="12"/>
    </row>
    <row r="379" customFormat="false" ht="15" hidden="false" customHeight="false" outlineLevel="0" collapsed="false">
      <c r="A379" s="12"/>
      <c r="B379" s="61"/>
      <c r="C379" s="61"/>
      <c r="D379" s="61"/>
      <c r="E379" s="62"/>
      <c r="F379" s="61"/>
      <c r="G379" s="61"/>
      <c r="H379" s="10"/>
      <c r="I379" s="12"/>
      <c r="J379" s="63"/>
      <c r="K379" s="10"/>
      <c r="L379" s="12"/>
      <c r="M379" s="12"/>
      <c r="N379" s="12"/>
      <c r="O379" s="12"/>
      <c r="P379" s="12"/>
      <c r="Q379" s="12"/>
      <c r="R379" s="12"/>
      <c r="S379" s="12"/>
      <c r="T379" s="12"/>
      <c r="U379" s="12"/>
    </row>
    <row r="380" customFormat="false" ht="15" hidden="false" customHeight="false" outlineLevel="0" collapsed="false">
      <c r="A380" s="12"/>
      <c r="B380" s="61"/>
      <c r="C380" s="61"/>
      <c r="D380" s="61"/>
      <c r="E380" s="62"/>
      <c r="F380" s="61"/>
      <c r="G380" s="61"/>
      <c r="H380" s="10"/>
      <c r="I380" s="12"/>
      <c r="J380" s="63"/>
      <c r="K380" s="10"/>
      <c r="L380" s="12"/>
      <c r="M380" s="12"/>
      <c r="N380" s="12"/>
      <c r="O380" s="12"/>
      <c r="P380" s="12"/>
      <c r="Q380" s="12"/>
      <c r="R380" s="12"/>
      <c r="S380" s="12"/>
      <c r="T380" s="12"/>
      <c r="U380" s="12"/>
    </row>
    <row r="381" customFormat="false" ht="15" hidden="false" customHeight="false" outlineLevel="0" collapsed="false">
      <c r="A381" s="12"/>
      <c r="B381" s="61"/>
      <c r="C381" s="61"/>
      <c r="D381" s="61"/>
      <c r="E381" s="62"/>
      <c r="F381" s="61"/>
      <c r="G381" s="61"/>
      <c r="H381" s="10"/>
      <c r="I381" s="12"/>
      <c r="J381" s="63"/>
      <c r="K381" s="10"/>
      <c r="L381" s="12"/>
      <c r="M381" s="12"/>
      <c r="N381" s="12"/>
      <c r="O381" s="12"/>
      <c r="P381" s="12"/>
      <c r="Q381" s="12"/>
      <c r="R381" s="12"/>
      <c r="S381" s="12"/>
      <c r="T381" s="12"/>
      <c r="U381" s="12"/>
    </row>
    <row r="382" customFormat="false" ht="15" hidden="false" customHeight="false" outlineLevel="0" collapsed="false">
      <c r="A382" s="12"/>
      <c r="B382" s="61"/>
      <c r="C382" s="61"/>
      <c r="D382" s="61"/>
      <c r="E382" s="62"/>
      <c r="F382" s="61"/>
      <c r="G382" s="61"/>
      <c r="H382" s="10"/>
      <c r="I382" s="12"/>
      <c r="J382" s="63"/>
      <c r="K382" s="10"/>
      <c r="L382" s="12"/>
      <c r="M382" s="12"/>
      <c r="N382" s="12"/>
      <c r="O382" s="12"/>
      <c r="P382" s="12"/>
      <c r="Q382" s="12"/>
      <c r="R382" s="12"/>
      <c r="S382" s="12"/>
      <c r="T382" s="12"/>
      <c r="U382" s="12"/>
    </row>
    <row r="383" customFormat="false" ht="15" hidden="false" customHeight="false" outlineLevel="0" collapsed="false">
      <c r="A383" s="12"/>
      <c r="B383" s="61"/>
      <c r="C383" s="61"/>
      <c r="D383" s="61"/>
      <c r="E383" s="62"/>
      <c r="F383" s="61"/>
      <c r="G383" s="61"/>
      <c r="H383" s="10"/>
      <c r="I383" s="12"/>
      <c r="J383" s="63"/>
      <c r="K383" s="10"/>
      <c r="L383" s="12"/>
      <c r="M383" s="12"/>
      <c r="N383" s="12"/>
      <c r="O383" s="12"/>
      <c r="P383" s="12"/>
      <c r="Q383" s="12"/>
      <c r="R383" s="12"/>
      <c r="S383" s="12"/>
      <c r="T383" s="12"/>
      <c r="U383" s="12"/>
    </row>
    <row r="384" customFormat="false" ht="15" hidden="false" customHeight="false" outlineLevel="0" collapsed="false">
      <c r="A384" s="12"/>
      <c r="B384" s="61"/>
      <c r="C384" s="61"/>
      <c r="D384" s="61"/>
      <c r="E384" s="62"/>
      <c r="F384" s="61"/>
      <c r="G384" s="61"/>
      <c r="H384" s="10"/>
      <c r="I384" s="12"/>
      <c r="J384" s="63"/>
      <c r="K384" s="10"/>
      <c r="L384" s="12"/>
      <c r="M384" s="12"/>
      <c r="N384" s="12"/>
      <c r="O384" s="12"/>
      <c r="P384" s="12"/>
      <c r="Q384" s="12"/>
      <c r="R384" s="12"/>
      <c r="S384" s="12"/>
      <c r="T384" s="12"/>
      <c r="U384" s="12"/>
    </row>
    <row r="385" customFormat="false" ht="15" hidden="false" customHeight="false" outlineLevel="0" collapsed="false">
      <c r="A385" s="12"/>
      <c r="B385" s="61"/>
      <c r="C385" s="61"/>
      <c r="D385" s="61"/>
      <c r="E385" s="62"/>
      <c r="F385" s="61"/>
      <c r="G385" s="61"/>
      <c r="H385" s="10"/>
      <c r="I385" s="12"/>
      <c r="J385" s="63"/>
      <c r="K385" s="10"/>
      <c r="L385" s="12"/>
      <c r="M385" s="12"/>
      <c r="N385" s="12"/>
      <c r="O385" s="12"/>
      <c r="P385" s="12"/>
      <c r="Q385" s="12"/>
      <c r="R385" s="12"/>
      <c r="S385" s="12"/>
      <c r="T385" s="12"/>
      <c r="U385" s="12"/>
    </row>
    <row r="386" customFormat="false" ht="15" hidden="false" customHeight="false" outlineLevel="0" collapsed="false">
      <c r="A386" s="12"/>
      <c r="B386" s="61"/>
      <c r="C386" s="61"/>
      <c r="D386" s="61"/>
      <c r="E386" s="62"/>
      <c r="F386" s="61"/>
      <c r="G386" s="61"/>
      <c r="H386" s="10"/>
      <c r="I386" s="12"/>
      <c r="J386" s="63"/>
      <c r="K386" s="10"/>
      <c r="L386" s="12"/>
      <c r="M386" s="12"/>
      <c r="N386" s="12"/>
      <c r="O386" s="12"/>
      <c r="P386" s="12"/>
      <c r="Q386" s="12"/>
      <c r="R386" s="12"/>
      <c r="S386" s="12"/>
      <c r="T386" s="12"/>
      <c r="U386" s="12"/>
    </row>
    <row r="387" customFormat="false" ht="15" hidden="false" customHeight="false" outlineLevel="0" collapsed="false">
      <c r="A387" s="12"/>
      <c r="B387" s="61"/>
      <c r="C387" s="61"/>
      <c r="D387" s="61"/>
      <c r="E387" s="62"/>
      <c r="F387" s="61"/>
      <c r="G387" s="61"/>
      <c r="H387" s="10"/>
      <c r="I387" s="12"/>
      <c r="J387" s="63"/>
      <c r="K387" s="10"/>
      <c r="L387" s="12"/>
      <c r="M387" s="12"/>
      <c r="N387" s="12"/>
      <c r="O387" s="12"/>
      <c r="P387" s="12"/>
      <c r="Q387" s="12"/>
      <c r="R387" s="12"/>
      <c r="S387" s="12"/>
      <c r="T387" s="12"/>
      <c r="U387" s="12"/>
    </row>
    <row r="388" customFormat="false" ht="15" hidden="false" customHeight="false" outlineLevel="0" collapsed="false">
      <c r="A388" s="12"/>
      <c r="B388" s="61"/>
      <c r="C388" s="61"/>
      <c r="D388" s="61"/>
      <c r="E388" s="62"/>
      <c r="F388" s="61"/>
      <c r="G388" s="61"/>
      <c r="H388" s="10"/>
      <c r="I388" s="12"/>
      <c r="J388" s="63"/>
      <c r="K388" s="10"/>
      <c r="L388" s="12"/>
      <c r="M388" s="12"/>
      <c r="N388" s="12"/>
      <c r="O388" s="12"/>
      <c r="P388" s="12"/>
      <c r="Q388" s="12"/>
      <c r="R388" s="12"/>
      <c r="S388" s="12"/>
      <c r="T388" s="12"/>
      <c r="U388" s="12"/>
    </row>
    <row r="389" customFormat="false" ht="15" hidden="false" customHeight="false" outlineLevel="0" collapsed="false">
      <c r="A389" s="12"/>
      <c r="B389" s="61"/>
      <c r="C389" s="61"/>
      <c r="D389" s="61"/>
      <c r="E389" s="62"/>
      <c r="F389" s="61"/>
      <c r="G389" s="61"/>
      <c r="H389" s="10"/>
      <c r="I389" s="12"/>
      <c r="J389" s="63"/>
      <c r="K389" s="10"/>
      <c r="L389" s="12"/>
      <c r="M389" s="12"/>
      <c r="N389" s="12"/>
      <c r="O389" s="12"/>
      <c r="P389" s="12"/>
      <c r="Q389" s="12"/>
      <c r="R389" s="12"/>
      <c r="S389" s="12"/>
      <c r="T389" s="12"/>
      <c r="U389" s="12"/>
    </row>
    <row r="390" customFormat="false" ht="15" hidden="false" customHeight="false" outlineLevel="0" collapsed="false">
      <c r="A390" s="12"/>
      <c r="B390" s="61"/>
      <c r="C390" s="61"/>
      <c r="D390" s="61"/>
      <c r="E390" s="62"/>
      <c r="F390" s="61"/>
      <c r="G390" s="61"/>
      <c r="H390" s="10"/>
      <c r="I390" s="12"/>
      <c r="J390" s="63"/>
      <c r="K390" s="10"/>
      <c r="L390" s="12"/>
      <c r="M390" s="12"/>
      <c r="N390" s="12"/>
      <c r="O390" s="12"/>
      <c r="P390" s="12"/>
      <c r="Q390" s="12"/>
      <c r="R390" s="12"/>
      <c r="S390" s="12"/>
      <c r="T390" s="12"/>
      <c r="U390" s="12"/>
    </row>
    <row r="391" customFormat="false" ht="15" hidden="false" customHeight="false" outlineLevel="0" collapsed="false">
      <c r="A391" s="12"/>
      <c r="B391" s="61"/>
      <c r="C391" s="61"/>
      <c r="D391" s="61"/>
      <c r="E391" s="62"/>
      <c r="F391" s="61"/>
      <c r="G391" s="61"/>
      <c r="H391" s="10"/>
      <c r="I391" s="12"/>
      <c r="J391" s="63"/>
      <c r="K391" s="10"/>
      <c r="L391" s="12"/>
      <c r="M391" s="12"/>
      <c r="N391" s="12"/>
      <c r="O391" s="12"/>
      <c r="P391" s="12"/>
      <c r="Q391" s="12"/>
      <c r="R391" s="12"/>
      <c r="S391" s="12"/>
      <c r="T391" s="12"/>
      <c r="U391" s="12"/>
    </row>
    <row r="392" customFormat="false" ht="15" hidden="false" customHeight="false" outlineLevel="0" collapsed="false">
      <c r="A392" s="12"/>
      <c r="B392" s="61"/>
      <c r="C392" s="61"/>
      <c r="D392" s="61"/>
      <c r="E392" s="62"/>
      <c r="F392" s="61"/>
      <c r="G392" s="61"/>
      <c r="H392" s="10"/>
      <c r="I392" s="12"/>
      <c r="J392" s="63"/>
      <c r="K392" s="10"/>
      <c r="L392" s="12"/>
      <c r="M392" s="12"/>
      <c r="N392" s="12"/>
      <c r="O392" s="12"/>
      <c r="P392" s="12"/>
      <c r="Q392" s="12"/>
      <c r="R392" s="12"/>
      <c r="S392" s="12"/>
      <c r="T392" s="12"/>
      <c r="U392" s="12"/>
    </row>
    <row r="393" customFormat="false" ht="15" hidden="false" customHeight="false" outlineLevel="0" collapsed="false">
      <c r="A393" s="12"/>
      <c r="B393" s="61"/>
      <c r="C393" s="61"/>
      <c r="D393" s="61"/>
      <c r="E393" s="62"/>
      <c r="F393" s="61"/>
      <c r="G393" s="61"/>
      <c r="H393" s="10"/>
      <c r="I393" s="12"/>
      <c r="J393" s="63"/>
      <c r="K393" s="10"/>
      <c r="L393" s="12"/>
      <c r="M393" s="12"/>
      <c r="N393" s="12"/>
      <c r="O393" s="12"/>
      <c r="P393" s="12"/>
      <c r="Q393" s="12"/>
      <c r="R393" s="12"/>
      <c r="S393" s="12"/>
      <c r="T393" s="12"/>
      <c r="U393" s="12"/>
    </row>
    <row r="394" customFormat="false" ht="15" hidden="false" customHeight="false" outlineLevel="0" collapsed="false">
      <c r="A394" s="12"/>
      <c r="B394" s="61"/>
      <c r="C394" s="61"/>
      <c r="D394" s="61"/>
      <c r="E394" s="62"/>
      <c r="F394" s="61"/>
      <c r="G394" s="61"/>
      <c r="H394" s="10"/>
      <c r="I394" s="12"/>
      <c r="J394" s="63"/>
      <c r="K394" s="10"/>
      <c r="L394" s="12"/>
      <c r="M394" s="12"/>
      <c r="N394" s="12"/>
      <c r="O394" s="12"/>
      <c r="P394" s="12"/>
      <c r="Q394" s="12"/>
      <c r="R394" s="12"/>
      <c r="S394" s="12"/>
      <c r="T394" s="12"/>
      <c r="U394" s="12"/>
    </row>
    <row r="395" customFormat="false" ht="15" hidden="false" customHeight="false" outlineLevel="0" collapsed="false">
      <c r="A395" s="12"/>
      <c r="B395" s="61"/>
      <c r="C395" s="61"/>
      <c r="D395" s="61"/>
      <c r="E395" s="62"/>
      <c r="F395" s="61"/>
      <c r="G395" s="61"/>
      <c r="H395" s="10"/>
      <c r="I395" s="12"/>
      <c r="J395" s="63"/>
      <c r="K395" s="10"/>
      <c r="L395" s="12"/>
      <c r="M395" s="12"/>
      <c r="N395" s="12"/>
      <c r="O395" s="12"/>
      <c r="P395" s="12"/>
      <c r="Q395" s="12"/>
      <c r="R395" s="12"/>
      <c r="S395" s="12"/>
      <c r="T395" s="12"/>
      <c r="U395" s="12"/>
    </row>
    <row r="396" customFormat="false" ht="15" hidden="false" customHeight="false" outlineLevel="0" collapsed="false">
      <c r="A396" s="12"/>
      <c r="B396" s="61"/>
      <c r="C396" s="61"/>
      <c r="D396" s="61"/>
      <c r="E396" s="62"/>
      <c r="F396" s="61"/>
      <c r="G396" s="61"/>
      <c r="H396" s="10"/>
      <c r="I396" s="12"/>
      <c r="J396" s="63"/>
      <c r="K396" s="10"/>
      <c r="L396" s="12"/>
      <c r="M396" s="12"/>
      <c r="N396" s="12"/>
      <c r="O396" s="12"/>
      <c r="P396" s="12"/>
      <c r="Q396" s="12"/>
      <c r="R396" s="12"/>
      <c r="S396" s="12"/>
      <c r="T396" s="12"/>
      <c r="U396" s="12"/>
    </row>
    <row r="397" customFormat="false" ht="15" hidden="false" customHeight="false" outlineLevel="0" collapsed="false">
      <c r="A397" s="12"/>
      <c r="B397" s="61"/>
      <c r="C397" s="61"/>
      <c r="D397" s="61"/>
      <c r="E397" s="62"/>
      <c r="F397" s="61"/>
      <c r="G397" s="61"/>
      <c r="H397" s="10"/>
      <c r="I397" s="12"/>
      <c r="J397" s="63"/>
      <c r="K397" s="10"/>
      <c r="L397" s="12"/>
      <c r="M397" s="12"/>
      <c r="N397" s="12"/>
      <c r="O397" s="12"/>
      <c r="P397" s="12"/>
      <c r="Q397" s="12"/>
      <c r="R397" s="12"/>
      <c r="S397" s="12"/>
      <c r="T397" s="12"/>
      <c r="U397" s="12"/>
    </row>
    <row r="398" customFormat="false" ht="15" hidden="false" customHeight="false" outlineLevel="0" collapsed="false">
      <c r="A398" s="12"/>
      <c r="B398" s="61"/>
      <c r="C398" s="61"/>
      <c r="D398" s="61"/>
      <c r="E398" s="62"/>
      <c r="F398" s="61"/>
      <c r="G398" s="61"/>
      <c r="H398" s="10"/>
      <c r="I398" s="12"/>
      <c r="J398" s="63"/>
      <c r="K398" s="10"/>
      <c r="L398" s="12"/>
      <c r="M398" s="12"/>
      <c r="N398" s="12"/>
      <c r="O398" s="12"/>
      <c r="P398" s="12"/>
      <c r="Q398" s="12"/>
      <c r="R398" s="12"/>
      <c r="S398" s="12"/>
      <c r="T398" s="12"/>
      <c r="U398" s="12"/>
    </row>
    <row r="399" customFormat="false" ht="15" hidden="false" customHeight="false" outlineLevel="0" collapsed="false">
      <c r="A399" s="12"/>
      <c r="B399" s="61"/>
      <c r="C399" s="61"/>
      <c r="D399" s="61"/>
      <c r="E399" s="62"/>
      <c r="F399" s="61"/>
      <c r="G399" s="61"/>
      <c r="H399" s="10"/>
      <c r="I399" s="12"/>
      <c r="J399" s="63"/>
      <c r="K399" s="10"/>
      <c r="L399" s="12"/>
      <c r="M399" s="12"/>
      <c r="N399" s="12"/>
      <c r="O399" s="12"/>
      <c r="P399" s="12"/>
      <c r="Q399" s="12"/>
      <c r="R399" s="12"/>
      <c r="S399" s="12"/>
      <c r="T399" s="12"/>
      <c r="U399" s="12"/>
    </row>
    <row r="400" customFormat="false" ht="15" hidden="false" customHeight="false" outlineLevel="0" collapsed="false">
      <c r="A400" s="12"/>
      <c r="B400" s="61"/>
      <c r="C400" s="61"/>
      <c r="D400" s="61"/>
      <c r="E400" s="62"/>
      <c r="F400" s="61"/>
      <c r="G400" s="61"/>
      <c r="H400" s="10"/>
      <c r="I400" s="12"/>
      <c r="J400" s="63"/>
      <c r="K400" s="10"/>
      <c r="L400" s="12"/>
      <c r="M400" s="12"/>
      <c r="N400" s="12"/>
      <c r="O400" s="12"/>
      <c r="P400" s="12"/>
      <c r="Q400" s="12"/>
      <c r="R400" s="12"/>
      <c r="S400" s="12"/>
      <c r="T400" s="12"/>
      <c r="U400" s="12"/>
    </row>
    <row r="401" customFormat="false" ht="15" hidden="false" customHeight="false" outlineLevel="0" collapsed="false">
      <c r="A401" s="12"/>
      <c r="B401" s="61"/>
      <c r="C401" s="61"/>
      <c r="D401" s="61"/>
      <c r="E401" s="62"/>
      <c r="F401" s="61"/>
      <c r="G401" s="61"/>
      <c r="H401" s="10"/>
      <c r="I401" s="12"/>
      <c r="J401" s="63"/>
      <c r="K401" s="10"/>
      <c r="L401" s="12"/>
      <c r="M401" s="12"/>
      <c r="N401" s="12"/>
      <c r="O401" s="12"/>
      <c r="P401" s="12"/>
      <c r="Q401" s="12"/>
      <c r="R401" s="12"/>
      <c r="S401" s="12"/>
      <c r="T401" s="12"/>
      <c r="U401" s="12"/>
    </row>
    <row r="402" customFormat="false" ht="15" hidden="false" customHeight="false" outlineLevel="0" collapsed="false">
      <c r="A402" s="12"/>
      <c r="B402" s="61"/>
      <c r="C402" s="61"/>
      <c r="D402" s="61"/>
      <c r="E402" s="62"/>
      <c r="F402" s="61"/>
      <c r="G402" s="61"/>
      <c r="H402" s="10"/>
      <c r="I402" s="12"/>
      <c r="J402" s="63"/>
      <c r="K402" s="10"/>
      <c r="L402" s="12"/>
      <c r="M402" s="12"/>
      <c r="N402" s="12"/>
      <c r="O402" s="12"/>
      <c r="P402" s="12"/>
      <c r="Q402" s="12"/>
      <c r="R402" s="12"/>
      <c r="S402" s="12"/>
      <c r="T402" s="12"/>
      <c r="U402" s="12"/>
    </row>
    <row r="403" customFormat="false" ht="15" hidden="false" customHeight="false" outlineLevel="0" collapsed="false">
      <c r="A403" s="12"/>
      <c r="B403" s="61"/>
      <c r="C403" s="61"/>
      <c r="D403" s="61"/>
      <c r="E403" s="62"/>
      <c r="F403" s="61"/>
      <c r="G403" s="61"/>
      <c r="H403" s="10"/>
      <c r="I403" s="12"/>
      <c r="J403" s="63"/>
      <c r="K403" s="10"/>
      <c r="L403" s="12"/>
      <c r="M403" s="12"/>
      <c r="N403" s="12"/>
      <c r="O403" s="12"/>
      <c r="P403" s="12"/>
      <c r="Q403" s="12"/>
      <c r="R403" s="12"/>
      <c r="S403" s="12"/>
      <c r="T403" s="12"/>
      <c r="U403" s="12"/>
    </row>
    <row r="404" customFormat="false" ht="15" hidden="false" customHeight="false" outlineLevel="0" collapsed="false">
      <c r="A404" s="12"/>
      <c r="B404" s="61"/>
      <c r="C404" s="61"/>
      <c r="D404" s="61"/>
      <c r="E404" s="62"/>
      <c r="F404" s="61"/>
      <c r="G404" s="61"/>
      <c r="H404" s="10"/>
      <c r="I404" s="12"/>
      <c r="J404" s="63"/>
      <c r="K404" s="10"/>
      <c r="L404" s="12"/>
      <c r="M404" s="12"/>
      <c r="N404" s="12"/>
      <c r="O404" s="12"/>
      <c r="P404" s="12"/>
      <c r="Q404" s="12"/>
      <c r="R404" s="12"/>
      <c r="S404" s="12"/>
      <c r="T404" s="12"/>
      <c r="U404" s="12"/>
    </row>
    <row r="405" customFormat="false" ht="15" hidden="false" customHeight="false" outlineLevel="0" collapsed="false">
      <c r="A405" s="12"/>
      <c r="B405" s="61"/>
      <c r="C405" s="61"/>
      <c r="D405" s="61"/>
      <c r="E405" s="62"/>
      <c r="F405" s="61"/>
      <c r="G405" s="61"/>
      <c r="H405" s="10"/>
      <c r="I405" s="12"/>
      <c r="J405" s="63"/>
      <c r="K405" s="10"/>
      <c r="L405" s="12"/>
      <c r="M405" s="12"/>
      <c r="N405" s="12"/>
      <c r="O405" s="12"/>
      <c r="P405" s="12"/>
      <c r="Q405" s="12"/>
      <c r="R405" s="12"/>
      <c r="S405" s="12"/>
      <c r="T405" s="12"/>
      <c r="U405" s="12"/>
    </row>
    <row r="406" customFormat="false" ht="15" hidden="false" customHeight="false" outlineLevel="0" collapsed="false">
      <c r="A406" s="12"/>
      <c r="B406" s="61"/>
      <c r="C406" s="61"/>
      <c r="D406" s="61"/>
      <c r="E406" s="62"/>
      <c r="F406" s="61"/>
      <c r="G406" s="61"/>
      <c r="H406" s="10"/>
      <c r="I406" s="12"/>
      <c r="J406" s="63"/>
      <c r="K406" s="10"/>
      <c r="L406" s="12"/>
      <c r="M406" s="12"/>
      <c r="N406" s="12"/>
      <c r="O406" s="12"/>
      <c r="P406" s="12"/>
      <c r="Q406" s="12"/>
      <c r="R406" s="12"/>
      <c r="S406" s="12"/>
      <c r="T406" s="12"/>
      <c r="U406" s="12"/>
    </row>
    <row r="407" customFormat="false" ht="15" hidden="false" customHeight="false" outlineLevel="0" collapsed="false">
      <c r="A407" s="12"/>
      <c r="B407" s="61"/>
      <c r="C407" s="61"/>
      <c r="D407" s="61"/>
      <c r="E407" s="62"/>
      <c r="F407" s="61"/>
      <c r="G407" s="61"/>
      <c r="H407" s="10"/>
      <c r="I407" s="12"/>
      <c r="J407" s="63"/>
      <c r="K407" s="10"/>
      <c r="L407" s="12"/>
      <c r="M407" s="12"/>
      <c r="N407" s="12"/>
      <c r="O407" s="12"/>
      <c r="P407" s="12"/>
      <c r="Q407" s="12"/>
      <c r="R407" s="12"/>
      <c r="S407" s="12"/>
      <c r="T407" s="12"/>
      <c r="U407" s="12"/>
    </row>
    <row r="408" customFormat="false" ht="15" hidden="false" customHeight="false" outlineLevel="0" collapsed="false">
      <c r="A408" s="12"/>
      <c r="B408" s="61"/>
      <c r="C408" s="61"/>
      <c r="D408" s="61"/>
      <c r="E408" s="62"/>
      <c r="F408" s="61"/>
      <c r="G408" s="61"/>
      <c r="H408" s="10"/>
      <c r="I408" s="12"/>
      <c r="J408" s="63"/>
      <c r="K408" s="10"/>
      <c r="L408" s="12"/>
      <c r="M408" s="12"/>
      <c r="N408" s="12"/>
      <c r="O408" s="12"/>
      <c r="P408" s="12"/>
      <c r="Q408" s="12"/>
      <c r="R408" s="12"/>
      <c r="S408" s="12"/>
      <c r="T408" s="12"/>
      <c r="U408" s="12"/>
    </row>
    <row r="409" customFormat="false" ht="15" hidden="false" customHeight="false" outlineLevel="0" collapsed="false">
      <c r="A409" s="12"/>
      <c r="B409" s="61"/>
      <c r="C409" s="61"/>
      <c r="D409" s="61"/>
      <c r="E409" s="62"/>
      <c r="F409" s="61"/>
      <c r="G409" s="61"/>
      <c r="H409" s="10"/>
      <c r="I409" s="12"/>
      <c r="J409" s="63"/>
      <c r="K409" s="10"/>
      <c r="L409" s="12"/>
      <c r="M409" s="12"/>
      <c r="N409" s="12"/>
      <c r="O409" s="12"/>
      <c r="P409" s="12"/>
      <c r="Q409" s="12"/>
      <c r="R409" s="12"/>
      <c r="S409" s="12"/>
      <c r="T409" s="12"/>
      <c r="U409" s="12"/>
    </row>
    <row r="410" customFormat="false" ht="15" hidden="false" customHeight="false" outlineLevel="0" collapsed="false">
      <c r="A410" s="12"/>
      <c r="B410" s="61"/>
      <c r="C410" s="61"/>
      <c r="D410" s="61"/>
      <c r="E410" s="62"/>
      <c r="F410" s="61"/>
      <c r="G410" s="61"/>
      <c r="H410" s="10"/>
      <c r="I410" s="12"/>
      <c r="J410" s="63"/>
      <c r="K410" s="10"/>
      <c r="L410" s="12"/>
      <c r="M410" s="12"/>
      <c r="N410" s="12"/>
      <c r="O410" s="12"/>
      <c r="P410" s="12"/>
      <c r="Q410" s="12"/>
      <c r="R410" s="12"/>
      <c r="S410" s="12"/>
      <c r="T410" s="12"/>
      <c r="U410" s="12"/>
    </row>
    <row r="411" customFormat="false" ht="15" hidden="false" customHeight="false" outlineLevel="0" collapsed="false">
      <c r="A411" s="12"/>
      <c r="B411" s="61"/>
      <c r="C411" s="61"/>
      <c r="D411" s="61"/>
      <c r="E411" s="62"/>
      <c r="F411" s="61"/>
      <c r="G411" s="61"/>
      <c r="H411" s="10"/>
      <c r="I411" s="12"/>
      <c r="J411" s="63"/>
      <c r="K411" s="10"/>
      <c r="L411" s="12"/>
      <c r="M411" s="12"/>
      <c r="N411" s="12"/>
      <c r="O411" s="12"/>
      <c r="P411" s="12"/>
      <c r="Q411" s="12"/>
      <c r="R411" s="12"/>
      <c r="S411" s="12"/>
      <c r="T411" s="12"/>
      <c r="U411" s="12"/>
    </row>
    <row r="412" customFormat="false" ht="15" hidden="false" customHeight="false" outlineLevel="0" collapsed="false">
      <c r="A412" s="12"/>
      <c r="B412" s="61"/>
      <c r="C412" s="61"/>
      <c r="D412" s="61"/>
      <c r="E412" s="62"/>
      <c r="F412" s="61"/>
      <c r="G412" s="61"/>
      <c r="H412" s="10"/>
      <c r="I412" s="12"/>
      <c r="J412" s="63"/>
      <c r="K412" s="10"/>
      <c r="L412" s="12"/>
      <c r="M412" s="12"/>
      <c r="N412" s="12"/>
      <c r="O412" s="12"/>
      <c r="P412" s="12"/>
      <c r="Q412" s="12"/>
      <c r="R412" s="12"/>
      <c r="S412" s="12"/>
      <c r="T412" s="12"/>
      <c r="U412" s="12"/>
    </row>
    <row r="413" customFormat="false" ht="15" hidden="false" customHeight="false" outlineLevel="0" collapsed="false">
      <c r="A413" s="12"/>
      <c r="B413" s="61"/>
      <c r="C413" s="61"/>
      <c r="D413" s="61"/>
      <c r="E413" s="62"/>
      <c r="F413" s="61"/>
      <c r="G413" s="61"/>
      <c r="H413" s="10"/>
      <c r="I413" s="12"/>
      <c r="J413" s="63"/>
      <c r="K413" s="10"/>
      <c r="L413" s="12"/>
      <c r="M413" s="12"/>
      <c r="N413" s="12"/>
      <c r="O413" s="12"/>
      <c r="P413" s="12"/>
      <c r="Q413" s="12"/>
      <c r="R413" s="12"/>
      <c r="S413" s="12"/>
      <c r="T413" s="12"/>
      <c r="U413" s="12"/>
    </row>
    <row r="414" customFormat="false" ht="15" hidden="false" customHeight="false" outlineLevel="0" collapsed="false">
      <c r="A414" s="12"/>
      <c r="B414" s="61"/>
      <c r="C414" s="61"/>
      <c r="D414" s="61"/>
      <c r="E414" s="62"/>
      <c r="F414" s="61"/>
      <c r="G414" s="61"/>
      <c r="H414" s="10"/>
      <c r="I414" s="12"/>
      <c r="J414" s="63"/>
      <c r="K414" s="10"/>
      <c r="L414" s="12"/>
      <c r="M414" s="12"/>
      <c r="N414" s="12"/>
      <c r="O414" s="12"/>
      <c r="P414" s="12"/>
      <c r="Q414" s="12"/>
      <c r="R414" s="12"/>
      <c r="S414" s="12"/>
      <c r="T414" s="12"/>
      <c r="U414" s="12"/>
    </row>
    <row r="415" customFormat="false" ht="15" hidden="false" customHeight="false" outlineLevel="0" collapsed="false">
      <c r="A415" s="12"/>
      <c r="B415" s="61"/>
      <c r="C415" s="61"/>
      <c r="D415" s="61"/>
      <c r="E415" s="62"/>
      <c r="F415" s="61"/>
      <c r="G415" s="61"/>
      <c r="H415" s="10"/>
      <c r="I415" s="12"/>
      <c r="J415" s="63"/>
      <c r="K415" s="10"/>
      <c r="L415" s="12"/>
      <c r="M415" s="12"/>
      <c r="N415" s="12"/>
      <c r="O415" s="12"/>
      <c r="P415" s="12"/>
      <c r="Q415" s="12"/>
      <c r="R415" s="12"/>
      <c r="S415" s="12"/>
      <c r="T415" s="12"/>
      <c r="U415" s="12"/>
    </row>
    <row r="416" customFormat="false" ht="15" hidden="false" customHeight="false" outlineLevel="0" collapsed="false">
      <c r="A416" s="12"/>
      <c r="B416" s="61"/>
      <c r="C416" s="61"/>
      <c r="D416" s="61"/>
      <c r="E416" s="62"/>
      <c r="F416" s="61"/>
      <c r="G416" s="61"/>
      <c r="H416" s="10"/>
      <c r="I416" s="12"/>
      <c r="J416" s="63"/>
      <c r="K416" s="10"/>
      <c r="L416" s="12"/>
      <c r="M416" s="12"/>
      <c r="N416" s="12"/>
      <c r="O416" s="12"/>
      <c r="P416" s="12"/>
      <c r="Q416" s="12"/>
      <c r="R416" s="12"/>
      <c r="S416" s="12"/>
      <c r="T416" s="12"/>
      <c r="U416" s="12"/>
    </row>
    <row r="417" customFormat="false" ht="15" hidden="false" customHeight="false" outlineLevel="0" collapsed="false">
      <c r="A417" s="12"/>
      <c r="B417" s="61"/>
      <c r="C417" s="61"/>
      <c r="D417" s="61"/>
      <c r="E417" s="62"/>
      <c r="F417" s="61"/>
      <c r="G417" s="61"/>
      <c r="H417" s="10"/>
      <c r="I417" s="12"/>
      <c r="J417" s="63"/>
      <c r="K417" s="10"/>
      <c r="L417" s="12"/>
      <c r="M417" s="12"/>
      <c r="N417" s="12"/>
      <c r="O417" s="12"/>
      <c r="P417" s="12"/>
      <c r="Q417" s="12"/>
      <c r="R417" s="12"/>
      <c r="S417" s="12"/>
      <c r="T417" s="12"/>
      <c r="U417" s="12"/>
    </row>
    <row r="418" customFormat="false" ht="15" hidden="false" customHeight="false" outlineLevel="0" collapsed="false">
      <c r="A418" s="12"/>
      <c r="B418" s="61"/>
      <c r="C418" s="61"/>
      <c r="D418" s="61"/>
      <c r="E418" s="62"/>
      <c r="F418" s="61"/>
      <c r="G418" s="61"/>
      <c r="H418" s="10"/>
      <c r="I418" s="12"/>
      <c r="J418" s="63"/>
      <c r="K418" s="10"/>
      <c r="L418" s="12"/>
      <c r="M418" s="12"/>
      <c r="N418" s="12"/>
      <c r="O418" s="12"/>
      <c r="P418" s="12"/>
      <c r="Q418" s="12"/>
      <c r="R418" s="12"/>
      <c r="S418" s="12"/>
      <c r="T418" s="12"/>
      <c r="U418" s="12"/>
    </row>
    <row r="419" customFormat="false" ht="15" hidden="false" customHeight="false" outlineLevel="0" collapsed="false">
      <c r="A419" s="12"/>
      <c r="B419" s="61"/>
      <c r="C419" s="61"/>
      <c r="D419" s="61"/>
      <c r="E419" s="62"/>
      <c r="F419" s="61"/>
      <c r="G419" s="61"/>
      <c r="H419" s="10"/>
      <c r="I419" s="12"/>
      <c r="J419" s="63"/>
      <c r="K419" s="10"/>
      <c r="L419" s="12"/>
      <c r="M419" s="12"/>
      <c r="N419" s="12"/>
      <c r="O419" s="12"/>
      <c r="P419" s="12"/>
      <c r="Q419" s="12"/>
      <c r="R419" s="12"/>
      <c r="S419" s="12"/>
      <c r="T419" s="12"/>
      <c r="U419" s="12"/>
    </row>
    <row r="420" customFormat="false" ht="15" hidden="false" customHeight="false" outlineLevel="0" collapsed="false">
      <c r="A420" s="12"/>
      <c r="B420" s="61"/>
      <c r="C420" s="61"/>
      <c r="D420" s="61"/>
      <c r="E420" s="62"/>
      <c r="F420" s="61"/>
      <c r="G420" s="61"/>
      <c r="H420" s="10"/>
      <c r="I420" s="12"/>
      <c r="J420" s="63"/>
      <c r="K420" s="10"/>
      <c r="L420" s="12"/>
      <c r="M420" s="12"/>
      <c r="N420" s="12"/>
      <c r="O420" s="12"/>
      <c r="P420" s="12"/>
      <c r="Q420" s="12"/>
      <c r="R420" s="12"/>
      <c r="S420" s="12"/>
      <c r="T420" s="12"/>
      <c r="U420" s="12"/>
    </row>
    <row r="421" customFormat="false" ht="15" hidden="false" customHeight="false" outlineLevel="0" collapsed="false">
      <c r="A421" s="12"/>
      <c r="B421" s="61"/>
      <c r="C421" s="61"/>
      <c r="D421" s="61"/>
      <c r="E421" s="62"/>
      <c r="F421" s="61"/>
      <c r="G421" s="61"/>
      <c r="H421" s="10"/>
      <c r="I421" s="12"/>
      <c r="J421" s="63"/>
      <c r="K421" s="10"/>
      <c r="L421" s="12"/>
      <c r="M421" s="12"/>
      <c r="N421" s="12"/>
      <c r="O421" s="12"/>
      <c r="P421" s="12"/>
      <c r="Q421" s="12"/>
      <c r="R421" s="12"/>
      <c r="S421" s="12"/>
      <c r="T421" s="12"/>
      <c r="U421" s="12"/>
    </row>
    <row r="422" customFormat="false" ht="15" hidden="false" customHeight="false" outlineLevel="0" collapsed="false">
      <c r="A422" s="12"/>
      <c r="B422" s="61"/>
      <c r="C422" s="61"/>
      <c r="D422" s="61"/>
      <c r="E422" s="62"/>
      <c r="F422" s="61"/>
      <c r="G422" s="61"/>
      <c r="H422" s="10"/>
      <c r="I422" s="12"/>
      <c r="J422" s="63"/>
      <c r="K422" s="10"/>
      <c r="L422" s="12"/>
      <c r="M422" s="12"/>
      <c r="N422" s="12"/>
      <c r="O422" s="12"/>
      <c r="P422" s="12"/>
      <c r="Q422" s="12"/>
      <c r="R422" s="12"/>
      <c r="S422" s="12"/>
      <c r="T422" s="12"/>
      <c r="U422" s="12"/>
    </row>
    <row r="423" customFormat="false" ht="15" hidden="false" customHeight="false" outlineLevel="0" collapsed="false">
      <c r="A423" s="12"/>
      <c r="B423" s="61"/>
      <c r="C423" s="61"/>
      <c r="D423" s="61"/>
      <c r="E423" s="62"/>
      <c r="F423" s="61"/>
      <c r="G423" s="61"/>
      <c r="H423" s="10"/>
      <c r="I423" s="12"/>
      <c r="J423" s="63"/>
      <c r="K423" s="10"/>
      <c r="L423" s="12"/>
      <c r="M423" s="12"/>
      <c r="N423" s="12"/>
      <c r="O423" s="12"/>
      <c r="P423" s="12"/>
      <c r="Q423" s="12"/>
      <c r="R423" s="12"/>
      <c r="S423" s="12"/>
      <c r="T423" s="12"/>
      <c r="U423" s="12"/>
    </row>
    <row r="424" customFormat="false" ht="15" hidden="false" customHeight="false" outlineLevel="0" collapsed="false">
      <c r="A424" s="12"/>
      <c r="B424" s="61"/>
      <c r="C424" s="61"/>
      <c r="D424" s="61"/>
      <c r="E424" s="62"/>
      <c r="F424" s="61"/>
      <c r="G424" s="61"/>
      <c r="H424" s="10"/>
      <c r="I424" s="12"/>
      <c r="J424" s="63"/>
      <c r="K424" s="10"/>
      <c r="L424" s="12"/>
      <c r="M424" s="12"/>
      <c r="N424" s="12"/>
      <c r="O424" s="12"/>
      <c r="P424" s="12"/>
      <c r="Q424" s="12"/>
      <c r="R424" s="12"/>
      <c r="S424" s="12"/>
      <c r="T424" s="12"/>
      <c r="U424" s="12"/>
    </row>
    <row r="425" customFormat="false" ht="15" hidden="false" customHeight="false" outlineLevel="0" collapsed="false">
      <c r="A425" s="12"/>
      <c r="B425" s="61"/>
      <c r="C425" s="61"/>
      <c r="D425" s="61"/>
      <c r="E425" s="62"/>
      <c r="F425" s="61"/>
      <c r="G425" s="61"/>
      <c r="H425" s="10"/>
      <c r="I425" s="12"/>
      <c r="J425" s="63"/>
      <c r="K425" s="10"/>
      <c r="L425" s="12"/>
      <c r="M425" s="12"/>
      <c r="N425" s="12"/>
      <c r="O425" s="12"/>
      <c r="P425" s="12"/>
      <c r="Q425" s="12"/>
      <c r="R425" s="12"/>
      <c r="S425" s="12"/>
      <c r="T425" s="12"/>
      <c r="U425" s="12"/>
    </row>
    <row r="426" customFormat="false" ht="15" hidden="false" customHeight="false" outlineLevel="0" collapsed="false">
      <c r="A426" s="12"/>
      <c r="B426" s="61"/>
      <c r="C426" s="61"/>
      <c r="D426" s="61"/>
      <c r="E426" s="62"/>
      <c r="F426" s="61"/>
      <c r="G426" s="61"/>
      <c r="H426" s="10"/>
      <c r="I426" s="12"/>
      <c r="J426" s="63"/>
      <c r="K426" s="10"/>
      <c r="L426" s="12"/>
      <c r="M426" s="12"/>
      <c r="N426" s="12"/>
      <c r="O426" s="12"/>
      <c r="P426" s="12"/>
      <c r="Q426" s="12"/>
      <c r="R426" s="12"/>
      <c r="S426" s="12"/>
      <c r="T426" s="12"/>
      <c r="U426" s="12"/>
    </row>
    <row r="427" customFormat="false" ht="15" hidden="false" customHeight="false" outlineLevel="0" collapsed="false">
      <c r="A427" s="12"/>
      <c r="B427" s="61"/>
      <c r="C427" s="61"/>
      <c r="D427" s="61"/>
      <c r="E427" s="62"/>
      <c r="F427" s="61"/>
      <c r="G427" s="61"/>
      <c r="H427" s="10"/>
      <c r="I427" s="12"/>
      <c r="J427" s="63"/>
      <c r="K427" s="10"/>
      <c r="L427" s="12"/>
      <c r="M427" s="12"/>
      <c r="N427" s="12"/>
      <c r="O427" s="12"/>
      <c r="P427" s="12"/>
      <c r="Q427" s="12"/>
      <c r="R427" s="12"/>
      <c r="S427" s="12"/>
      <c r="T427" s="12"/>
      <c r="U427" s="12"/>
    </row>
    <row r="428" customFormat="false" ht="15" hidden="false" customHeight="false" outlineLevel="0" collapsed="false">
      <c r="A428" s="12"/>
      <c r="B428" s="61"/>
      <c r="C428" s="61"/>
      <c r="D428" s="61"/>
      <c r="E428" s="62"/>
      <c r="F428" s="61"/>
      <c r="G428" s="61"/>
      <c r="H428" s="10"/>
      <c r="I428" s="12"/>
      <c r="J428" s="63"/>
      <c r="K428" s="10"/>
      <c r="L428" s="12"/>
      <c r="M428" s="12"/>
      <c r="N428" s="12"/>
      <c r="O428" s="12"/>
      <c r="P428" s="12"/>
      <c r="Q428" s="12"/>
      <c r="R428" s="12"/>
      <c r="S428" s="12"/>
      <c r="T428" s="12"/>
      <c r="U428" s="12"/>
    </row>
    <row r="429" customFormat="false" ht="15" hidden="false" customHeight="false" outlineLevel="0" collapsed="false">
      <c r="A429" s="12"/>
      <c r="B429" s="61"/>
      <c r="C429" s="61"/>
      <c r="D429" s="61"/>
      <c r="E429" s="62"/>
      <c r="F429" s="61"/>
      <c r="G429" s="61"/>
      <c r="H429" s="10"/>
      <c r="I429" s="12"/>
      <c r="J429" s="63"/>
      <c r="K429" s="10"/>
      <c r="L429" s="12"/>
      <c r="M429" s="12"/>
      <c r="N429" s="12"/>
      <c r="O429" s="12"/>
      <c r="P429" s="12"/>
      <c r="Q429" s="12"/>
      <c r="R429" s="12"/>
      <c r="S429" s="12"/>
      <c r="T429" s="12"/>
      <c r="U429" s="12"/>
    </row>
    <row r="430" customFormat="false" ht="15" hidden="false" customHeight="false" outlineLevel="0" collapsed="false">
      <c r="A430" s="12"/>
      <c r="B430" s="61"/>
      <c r="C430" s="61"/>
      <c r="D430" s="61"/>
      <c r="E430" s="62"/>
      <c r="F430" s="61"/>
      <c r="G430" s="61"/>
      <c r="H430" s="10"/>
      <c r="I430" s="12"/>
      <c r="J430" s="63"/>
      <c r="K430" s="10"/>
      <c r="L430" s="12"/>
      <c r="M430" s="12"/>
      <c r="N430" s="12"/>
      <c r="O430" s="12"/>
      <c r="P430" s="12"/>
      <c r="Q430" s="12"/>
      <c r="R430" s="12"/>
      <c r="S430" s="12"/>
      <c r="T430" s="12"/>
      <c r="U430" s="12"/>
    </row>
    <row r="431" customFormat="false" ht="15" hidden="false" customHeight="false" outlineLevel="0" collapsed="false">
      <c r="A431" s="12"/>
      <c r="B431" s="61"/>
      <c r="C431" s="61"/>
      <c r="D431" s="61"/>
      <c r="E431" s="62"/>
      <c r="F431" s="61"/>
      <c r="G431" s="61"/>
      <c r="H431" s="10"/>
      <c r="I431" s="12"/>
      <c r="J431" s="63"/>
      <c r="K431" s="10"/>
      <c r="L431" s="12"/>
      <c r="M431" s="12"/>
      <c r="N431" s="12"/>
      <c r="O431" s="12"/>
      <c r="P431" s="12"/>
      <c r="Q431" s="12"/>
      <c r="R431" s="12"/>
      <c r="S431" s="12"/>
      <c r="T431" s="12"/>
      <c r="U431" s="12"/>
    </row>
    <row r="432" customFormat="false" ht="15" hidden="false" customHeight="false" outlineLevel="0" collapsed="false">
      <c r="A432" s="12"/>
      <c r="B432" s="61"/>
      <c r="C432" s="61"/>
      <c r="D432" s="61"/>
      <c r="E432" s="62"/>
      <c r="F432" s="61"/>
      <c r="G432" s="61"/>
      <c r="H432" s="10"/>
      <c r="I432" s="12"/>
      <c r="J432" s="63"/>
      <c r="K432" s="10"/>
      <c r="L432" s="12"/>
      <c r="M432" s="12"/>
      <c r="N432" s="12"/>
      <c r="O432" s="12"/>
      <c r="P432" s="12"/>
      <c r="Q432" s="12"/>
      <c r="R432" s="12"/>
      <c r="S432" s="12"/>
      <c r="T432" s="12"/>
      <c r="U432" s="12"/>
    </row>
    <row r="433" customFormat="false" ht="15" hidden="false" customHeight="false" outlineLevel="0" collapsed="false">
      <c r="A433" s="12"/>
      <c r="B433" s="61"/>
      <c r="C433" s="61"/>
      <c r="D433" s="61"/>
      <c r="E433" s="62"/>
      <c r="F433" s="61"/>
      <c r="G433" s="61"/>
      <c r="H433" s="10"/>
      <c r="I433" s="12"/>
      <c r="J433" s="63"/>
      <c r="K433" s="10"/>
      <c r="L433" s="12"/>
      <c r="M433" s="12"/>
      <c r="N433" s="12"/>
      <c r="O433" s="12"/>
      <c r="P433" s="12"/>
      <c r="Q433" s="12"/>
      <c r="R433" s="12"/>
      <c r="S433" s="12"/>
      <c r="T433" s="12"/>
      <c r="U433" s="12"/>
    </row>
    <row r="434" customFormat="false" ht="15" hidden="false" customHeight="false" outlineLevel="0" collapsed="false">
      <c r="A434" s="12"/>
      <c r="B434" s="61"/>
      <c r="C434" s="61"/>
      <c r="D434" s="61"/>
      <c r="E434" s="62"/>
      <c r="F434" s="61"/>
      <c r="G434" s="61"/>
      <c r="H434" s="10"/>
      <c r="I434" s="12"/>
      <c r="J434" s="63"/>
      <c r="K434" s="10"/>
      <c r="L434" s="12"/>
      <c r="M434" s="12"/>
      <c r="N434" s="12"/>
      <c r="O434" s="12"/>
      <c r="P434" s="12"/>
      <c r="Q434" s="12"/>
      <c r="R434" s="12"/>
      <c r="S434" s="12"/>
      <c r="T434" s="12"/>
      <c r="U434" s="12"/>
    </row>
    <row r="435" customFormat="false" ht="15" hidden="false" customHeight="false" outlineLevel="0" collapsed="false">
      <c r="A435" s="12"/>
      <c r="B435" s="61"/>
      <c r="C435" s="61"/>
      <c r="D435" s="61"/>
      <c r="E435" s="62"/>
      <c r="F435" s="61"/>
      <c r="G435" s="61"/>
      <c r="H435" s="10"/>
      <c r="I435" s="12"/>
      <c r="J435" s="63"/>
      <c r="K435" s="10"/>
      <c r="L435" s="12"/>
      <c r="M435" s="12"/>
      <c r="N435" s="12"/>
      <c r="O435" s="12"/>
      <c r="P435" s="12"/>
      <c r="Q435" s="12"/>
      <c r="R435" s="12"/>
      <c r="S435" s="12"/>
      <c r="T435" s="12"/>
      <c r="U435" s="12"/>
    </row>
    <row r="436" customFormat="false" ht="15" hidden="false" customHeight="false" outlineLevel="0" collapsed="false">
      <c r="A436" s="12"/>
      <c r="B436" s="61"/>
      <c r="C436" s="61"/>
      <c r="D436" s="61"/>
      <c r="E436" s="62"/>
      <c r="F436" s="61"/>
      <c r="G436" s="61"/>
      <c r="H436" s="10"/>
      <c r="I436" s="12"/>
      <c r="J436" s="63"/>
      <c r="K436" s="10"/>
      <c r="L436" s="12"/>
      <c r="M436" s="12"/>
      <c r="N436" s="12"/>
      <c r="O436" s="12"/>
      <c r="P436" s="12"/>
      <c r="Q436" s="12"/>
      <c r="R436" s="12"/>
      <c r="S436" s="12"/>
      <c r="T436" s="12"/>
      <c r="U436" s="12"/>
    </row>
    <row r="437" customFormat="false" ht="15" hidden="false" customHeight="false" outlineLevel="0" collapsed="false">
      <c r="A437" s="12"/>
      <c r="B437" s="61"/>
      <c r="C437" s="61"/>
      <c r="D437" s="61"/>
      <c r="E437" s="62"/>
      <c r="F437" s="61"/>
      <c r="G437" s="61"/>
      <c r="H437" s="10"/>
      <c r="I437" s="12"/>
      <c r="J437" s="63"/>
      <c r="K437" s="10"/>
      <c r="L437" s="12"/>
      <c r="M437" s="12"/>
      <c r="N437" s="12"/>
      <c r="O437" s="12"/>
      <c r="P437" s="12"/>
      <c r="Q437" s="12"/>
      <c r="R437" s="12"/>
      <c r="S437" s="12"/>
      <c r="T437" s="12"/>
      <c r="U437" s="12"/>
    </row>
    <row r="438" customFormat="false" ht="15" hidden="false" customHeight="false" outlineLevel="0" collapsed="false">
      <c r="A438" s="12"/>
      <c r="B438" s="61"/>
      <c r="C438" s="61"/>
      <c r="D438" s="61"/>
      <c r="E438" s="62"/>
      <c r="F438" s="61"/>
      <c r="G438" s="61"/>
      <c r="H438" s="10"/>
      <c r="I438" s="12"/>
      <c r="J438" s="63"/>
      <c r="K438" s="10"/>
      <c r="L438" s="12"/>
      <c r="M438" s="12"/>
      <c r="N438" s="12"/>
      <c r="O438" s="12"/>
      <c r="P438" s="12"/>
      <c r="Q438" s="12"/>
      <c r="R438" s="12"/>
      <c r="S438" s="12"/>
      <c r="T438" s="12"/>
      <c r="U438" s="12"/>
    </row>
    <row r="439" customFormat="false" ht="15" hidden="false" customHeight="false" outlineLevel="0" collapsed="false">
      <c r="A439" s="12"/>
      <c r="B439" s="61"/>
      <c r="C439" s="61"/>
      <c r="D439" s="61"/>
      <c r="E439" s="62"/>
      <c r="F439" s="61"/>
      <c r="G439" s="61"/>
      <c r="H439" s="10"/>
      <c r="I439" s="12"/>
      <c r="J439" s="63"/>
      <c r="K439" s="10"/>
      <c r="L439" s="12"/>
      <c r="M439" s="12"/>
      <c r="N439" s="12"/>
      <c r="O439" s="12"/>
      <c r="P439" s="12"/>
      <c r="Q439" s="12"/>
      <c r="R439" s="12"/>
      <c r="S439" s="12"/>
      <c r="T439" s="12"/>
      <c r="U439" s="12"/>
    </row>
    <row r="440" customFormat="false" ht="15" hidden="false" customHeight="false" outlineLevel="0" collapsed="false">
      <c r="A440" s="12"/>
      <c r="B440" s="61"/>
      <c r="C440" s="61"/>
      <c r="D440" s="61"/>
      <c r="E440" s="62"/>
      <c r="F440" s="61"/>
      <c r="G440" s="61"/>
      <c r="H440" s="10"/>
      <c r="I440" s="12"/>
      <c r="J440" s="63"/>
      <c r="K440" s="10"/>
      <c r="L440" s="12"/>
      <c r="M440" s="12"/>
      <c r="N440" s="12"/>
      <c r="O440" s="12"/>
      <c r="P440" s="12"/>
      <c r="Q440" s="12"/>
      <c r="R440" s="12"/>
      <c r="S440" s="12"/>
      <c r="T440" s="12"/>
      <c r="U440" s="12"/>
    </row>
    <row r="441" customFormat="false" ht="15" hidden="false" customHeight="false" outlineLevel="0" collapsed="false">
      <c r="A441" s="12"/>
      <c r="B441" s="61"/>
      <c r="C441" s="61"/>
      <c r="D441" s="61"/>
      <c r="E441" s="62"/>
      <c r="F441" s="61"/>
      <c r="G441" s="61"/>
      <c r="H441" s="10"/>
      <c r="I441" s="12"/>
      <c r="J441" s="63"/>
      <c r="K441" s="10"/>
      <c r="L441" s="12"/>
      <c r="M441" s="12"/>
      <c r="N441" s="12"/>
      <c r="O441" s="12"/>
      <c r="P441" s="12"/>
      <c r="Q441" s="12"/>
      <c r="R441" s="12"/>
      <c r="S441" s="12"/>
      <c r="T441" s="12"/>
      <c r="U441" s="12"/>
    </row>
    <row r="442" customFormat="false" ht="15" hidden="false" customHeight="false" outlineLevel="0" collapsed="false">
      <c r="A442" s="12"/>
      <c r="B442" s="61"/>
      <c r="C442" s="61"/>
      <c r="D442" s="61"/>
      <c r="E442" s="62"/>
      <c r="F442" s="61"/>
      <c r="G442" s="61"/>
      <c r="H442" s="10"/>
      <c r="I442" s="12"/>
      <c r="J442" s="63"/>
      <c r="K442" s="10"/>
      <c r="L442" s="12"/>
      <c r="M442" s="12"/>
      <c r="N442" s="12"/>
      <c r="O442" s="12"/>
      <c r="P442" s="12"/>
      <c r="Q442" s="12"/>
      <c r="R442" s="12"/>
      <c r="S442" s="12"/>
      <c r="T442" s="12"/>
      <c r="U442" s="12"/>
    </row>
    <row r="443" customFormat="false" ht="15" hidden="false" customHeight="false" outlineLevel="0" collapsed="false">
      <c r="A443" s="12"/>
      <c r="B443" s="61"/>
      <c r="C443" s="61"/>
      <c r="D443" s="61"/>
      <c r="E443" s="62"/>
      <c r="F443" s="61"/>
      <c r="G443" s="61"/>
      <c r="H443" s="10"/>
      <c r="I443" s="12"/>
      <c r="J443" s="63"/>
      <c r="K443" s="10"/>
      <c r="L443" s="12"/>
      <c r="M443" s="12"/>
      <c r="N443" s="12"/>
      <c r="O443" s="12"/>
      <c r="P443" s="12"/>
      <c r="Q443" s="12"/>
      <c r="R443" s="12"/>
      <c r="S443" s="12"/>
      <c r="T443" s="12"/>
      <c r="U443" s="12"/>
    </row>
    <row r="444" customFormat="false" ht="15" hidden="false" customHeight="false" outlineLevel="0" collapsed="false">
      <c r="A444" s="12"/>
      <c r="B444" s="61"/>
      <c r="C444" s="61"/>
      <c r="D444" s="61"/>
      <c r="E444" s="62"/>
      <c r="F444" s="61"/>
      <c r="G444" s="61"/>
      <c r="H444" s="10"/>
      <c r="I444" s="12"/>
      <c r="J444" s="63"/>
      <c r="K444" s="10"/>
      <c r="L444" s="12"/>
      <c r="M444" s="12"/>
      <c r="N444" s="12"/>
      <c r="O444" s="12"/>
      <c r="P444" s="12"/>
      <c r="Q444" s="12"/>
      <c r="R444" s="12"/>
      <c r="S444" s="12"/>
      <c r="T444" s="12"/>
      <c r="U444" s="12"/>
    </row>
    <row r="445" customFormat="false" ht="15" hidden="false" customHeight="false" outlineLevel="0" collapsed="false">
      <c r="A445" s="12"/>
      <c r="B445" s="61"/>
      <c r="C445" s="61"/>
      <c r="D445" s="61"/>
      <c r="E445" s="62"/>
      <c r="F445" s="61"/>
      <c r="G445" s="61"/>
      <c r="H445" s="10"/>
      <c r="I445" s="12"/>
      <c r="J445" s="63"/>
      <c r="K445" s="10"/>
      <c r="L445" s="12"/>
      <c r="M445" s="12"/>
      <c r="N445" s="12"/>
      <c r="O445" s="12"/>
      <c r="P445" s="12"/>
      <c r="Q445" s="12"/>
      <c r="R445" s="12"/>
      <c r="S445" s="12"/>
      <c r="T445" s="12"/>
      <c r="U445" s="12"/>
    </row>
    <row r="446" customFormat="false" ht="15" hidden="false" customHeight="false" outlineLevel="0" collapsed="false">
      <c r="A446" s="12"/>
      <c r="B446" s="61"/>
      <c r="C446" s="61"/>
      <c r="D446" s="61"/>
      <c r="E446" s="62"/>
      <c r="F446" s="61"/>
      <c r="G446" s="61"/>
      <c r="H446" s="10"/>
      <c r="I446" s="12"/>
      <c r="J446" s="63"/>
      <c r="K446" s="10"/>
      <c r="L446" s="12"/>
      <c r="M446" s="12"/>
      <c r="N446" s="12"/>
      <c r="O446" s="12"/>
      <c r="P446" s="12"/>
      <c r="Q446" s="12"/>
      <c r="R446" s="12"/>
      <c r="S446" s="12"/>
      <c r="T446" s="12"/>
      <c r="U446" s="12"/>
    </row>
    <row r="447" customFormat="false" ht="15" hidden="false" customHeight="false" outlineLevel="0" collapsed="false">
      <c r="A447" s="12"/>
      <c r="B447" s="61"/>
      <c r="C447" s="61"/>
      <c r="D447" s="61"/>
      <c r="E447" s="62"/>
      <c r="F447" s="61"/>
      <c r="G447" s="61"/>
      <c r="H447" s="10"/>
      <c r="I447" s="12"/>
      <c r="J447" s="63"/>
      <c r="K447" s="10"/>
      <c r="L447" s="12"/>
      <c r="M447" s="12"/>
      <c r="N447" s="12"/>
      <c r="O447" s="12"/>
      <c r="P447" s="12"/>
      <c r="Q447" s="12"/>
      <c r="R447" s="12"/>
      <c r="S447" s="12"/>
      <c r="T447" s="12"/>
      <c r="U447" s="12"/>
    </row>
    <row r="448" customFormat="false" ht="15" hidden="false" customHeight="false" outlineLevel="0" collapsed="false">
      <c r="A448" s="12"/>
      <c r="B448" s="61"/>
      <c r="C448" s="61"/>
      <c r="D448" s="61"/>
      <c r="E448" s="62"/>
      <c r="F448" s="61"/>
      <c r="G448" s="61"/>
      <c r="H448" s="10"/>
      <c r="I448" s="12"/>
      <c r="J448" s="63"/>
      <c r="K448" s="10"/>
      <c r="L448" s="12"/>
      <c r="M448" s="12"/>
      <c r="N448" s="12"/>
      <c r="O448" s="12"/>
      <c r="P448" s="12"/>
      <c r="Q448" s="12"/>
      <c r="R448" s="12"/>
      <c r="S448" s="12"/>
      <c r="T448" s="12"/>
      <c r="U448" s="12"/>
    </row>
    <row r="449" customFormat="false" ht="15" hidden="false" customHeight="false" outlineLevel="0" collapsed="false">
      <c r="A449" s="12"/>
      <c r="B449" s="61"/>
      <c r="C449" s="61"/>
      <c r="D449" s="61"/>
      <c r="E449" s="62"/>
      <c r="F449" s="61"/>
      <c r="G449" s="61"/>
      <c r="H449" s="10"/>
      <c r="I449" s="12"/>
      <c r="J449" s="63"/>
      <c r="K449" s="10"/>
      <c r="L449" s="12"/>
      <c r="M449" s="12"/>
      <c r="N449" s="12"/>
      <c r="O449" s="12"/>
      <c r="P449" s="12"/>
      <c r="Q449" s="12"/>
      <c r="R449" s="12"/>
      <c r="S449" s="12"/>
      <c r="T449" s="12"/>
      <c r="U449" s="12"/>
    </row>
    <row r="450" customFormat="false" ht="15" hidden="false" customHeight="false" outlineLevel="0" collapsed="false">
      <c r="A450" s="12"/>
      <c r="B450" s="61"/>
      <c r="C450" s="61"/>
      <c r="D450" s="61"/>
      <c r="E450" s="62"/>
      <c r="F450" s="61"/>
      <c r="G450" s="61"/>
      <c r="H450" s="10"/>
      <c r="I450" s="12"/>
      <c r="J450" s="63"/>
      <c r="K450" s="10"/>
      <c r="L450" s="12"/>
      <c r="M450" s="12"/>
      <c r="N450" s="12"/>
      <c r="O450" s="12"/>
      <c r="P450" s="12"/>
      <c r="Q450" s="12"/>
      <c r="R450" s="12"/>
      <c r="S450" s="12"/>
      <c r="T450" s="12"/>
      <c r="U450" s="12"/>
    </row>
    <row r="451" customFormat="false" ht="15" hidden="false" customHeight="false" outlineLevel="0" collapsed="false">
      <c r="A451" s="12"/>
      <c r="B451" s="61"/>
      <c r="C451" s="61"/>
      <c r="D451" s="61"/>
      <c r="E451" s="62"/>
      <c r="F451" s="61"/>
      <c r="G451" s="61"/>
      <c r="H451" s="10"/>
      <c r="I451" s="12"/>
      <c r="J451" s="63"/>
      <c r="K451" s="10"/>
      <c r="L451" s="12"/>
      <c r="M451" s="12"/>
      <c r="N451" s="12"/>
      <c r="O451" s="12"/>
      <c r="P451" s="12"/>
      <c r="Q451" s="12"/>
      <c r="R451" s="12"/>
      <c r="S451" s="12"/>
      <c r="T451" s="12"/>
      <c r="U451" s="12"/>
    </row>
    <row r="452" customFormat="false" ht="15" hidden="false" customHeight="false" outlineLevel="0" collapsed="false">
      <c r="A452" s="12"/>
      <c r="B452" s="61"/>
      <c r="C452" s="61"/>
      <c r="D452" s="61"/>
      <c r="E452" s="62"/>
      <c r="F452" s="61"/>
      <c r="G452" s="61"/>
      <c r="H452" s="10"/>
      <c r="I452" s="12"/>
      <c r="J452" s="63"/>
      <c r="K452" s="10"/>
      <c r="L452" s="12"/>
      <c r="M452" s="12"/>
      <c r="N452" s="12"/>
      <c r="O452" s="12"/>
      <c r="P452" s="12"/>
      <c r="Q452" s="12"/>
      <c r="R452" s="12"/>
      <c r="S452" s="12"/>
      <c r="T452" s="12"/>
      <c r="U452" s="12"/>
    </row>
    <row r="453" customFormat="false" ht="15" hidden="false" customHeight="false" outlineLevel="0" collapsed="false">
      <c r="A453" s="12"/>
      <c r="B453" s="61"/>
      <c r="C453" s="61"/>
      <c r="D453" s="61"/>
      <c r="E453" s="62"/>
      <c r="F453" s="61"/>
      <c r="G453" s="61"/>
      <c r="H453" s="10"/>
      <c r="I453" s="12"/>
      <c r="J453" s="63"/>
      <c r="K453" s="10"/>
      <c r="L453" s="12"/>
      <c r="M453" s="12"/>
      <c r="N453" s="12"/>
      <c r="O453" s="12"/>
      <c r="P453" s="12"/>
      <c r="Q453" s="12"/>
      <c r="R453" s="12"/>
      <c r="S453" s="12"/>
      <c r="T453" s="12"/>
      <c r="U453" s="12"/>
    </row>
    <row r="454" customFormat="false" ht="15" hidden="false" customHeight="false" outlineLevel="0" collapsed="false">
      <c r="A454" s="12"/>
      <c r="B454" s="61"/>
      <c r="C454" s="61"/>
      <c r="D454" s="61"/>
      <c r="E454" s="62"/>
      <c r="F454" s="61"/>
      <c r="G454" s="61"/>
      <c r="H454" s="10"/>
      <c r="I454" s="12"/>
      <c r="J454" s="63"/>
      <c r="K454" s="10"/>
      <c r="L454" s="12"/>
      <c r="M454" s="12"/>
      <c r="N454" s="12"/>
      <c r="O454" s="12"/>
      <c r="P454" s="12"/>
      <c r="Q454" s="12"/>
      <c r="R454" s="12"/>
      <c r="S454" s="12"/>
      <c r="T454" s="12"/>
      <c r="U454" s="12"/>
    </row>
    <row r="455" customFormat="false" ht="15" hidden="false" customHeight="false" outlineLevel="0" collapsed="false">
      <c r="A455" s="12"/>
      <c r="B455" s="61"/>
      <c r="C455" s="61"/>
      <c r="D455" s="61"/>
      <c r="E455" s="62"/>
      <c r="F455" s="61"/>
      <c r="G455" s="61"/>
      <c r="H455" s="10"/>
      <c r="I455" s="12"/>
      <c r="J455" s="63"/>
      <c r="K455" s="10"/>
      <c r="L455" s="12"/>
      <c r="M455" s="12"/>
      <c r="N455" s="12"/>
      <c r="O455" s="12"/>
      <c r="P455" s="12"/>
      <c r="Q455" s="12"/>
      <c r="R455" s="12"/>
      <c r="S455" s="12"/>
      <c r="T455" s="12"/>
      <c r="U455" s="12"/>
    </row>
    <row r="456" customFormat="false" ht="15" hidden="false" customHeight="false" outlineLevel="0" collapsed="false">
      <c r="A456" s="12"/>
      <c r="B456" s="61"/>
      <c r="C456" s="61"/>
      <c r="D456" s="61"/>
      <c r="E456" s="62"/>
      <c r="F456" s="61"/>
      <c r="G456" s="61"/>
      <c r="H456" s="10"/>
      <c r="I456" s="12"/>
      <c r="J456" s="63"/>
      <c r="K456" s="10"/>
      <c r="L456" s="12"/>
      <c r="M456" s="12"/>
      <c r="N456" s="12"/>
      <c r="O456" s="12"/>
      <c r="P456" s="12"/>
      <c r="Q456" s="12"/>
      <c r="R456" s="12"/>
      <c r="S456" s="12"/>
      <c r="T456" s="12"/>
      <c r="U456" s="12"/>
    </row>
    <row r="457" customFormat="false" ht="15" hidden="false" customHeight="false" outlineLevel="0" collapsed="false">
      <c r="A457" s="12"/>
      <c r="B457" s="61"/>
      <c r="C457" s="61"/>
      <c r="D457" s="61"/>
      <c r="E457" s="62"/>
      <c r="F457" s="61"/>
      <c r="G457" s="61"/>
      <c r="H457" s="10"/>
      <c r="I457" s="12"/>
      <c r="J457" s="63"/>
      <c r="K457" s="10"/>
      <c r="L457" s="12"/>
      <c r="M457" s="12"/>
      <c r="N457" s="12"/>
      <c r="O457" s="12"/>
      <c r="P457" s="12"/>
      <c r="Q457" s="12"/>
      <c r="R457" s="12"/>
      <c r="S457" s="12"/>
      <c r="T457" s="12"/>
      <c r="U457" s="12"/>
    </row>
    <row r="458" customFormat="false" ht="15" hidden="false" customHeight="false" outlineLevel="0" collapsed="false">
      <c r="A458" s="12"/>
      <c r="B458" s="61"/>
      <c r="C458" s="61"/>
      <c r="D458" s="61"/>
      <c r="E458" s="62"/>
      <c r="F458" s="61"/>
      <c r="G458" s="61"/>
      <c r="H458" s="10"/>
      <c r="I458" s="12"/>
      <c r="J458" s="63"/>
      <c r="K458" s="10"/>
      <c r="L458" s="12"/>
      <c r="M458" s="12"/>
      <c r="N458" s="12"/>
      <c r="O458" s="12"/>
      <c r="P458" s="12"/>
      <c r="Q458" s="12"/>
      <c r="R458" s="12"/>
      <c r="S458" s="12"/>
      <c r="T458" s="12"/>
      <c r="U458" s="12"/>
    </row>
    <row r="459" customFormat="false" ht="15" hidden="false" customHeight="false" outlineLevel="0" collapsed="false">
      <c r="A459" s="12"/>
      <c r="B459" s="61"/>
      <c r="C459" s="61"/>
      <c r="D459" s="61"/>
      <c r="E459" s="62"/>
      <c r="F459" s="61"/>
      <c r="G459" s="61"/>
      <c r="H459" s="10"/>
      <c r="I459" s="12"/>
      <c r="J459" s="63"/>
      <c r="K459" s="10"/>
      <c r="L459" s="12"/>
      <c r="M459" s="12"/>
      <c r="N459" s="12"/>
      <c r="O459" s="12"/>
      <c r="P459" s="12"/>
      <c r="Q459" s="12"/>
      <c r="R459" s="12"/>
      <c r="S459" s="12"/>
      <c r="T459" s="12"/>
      <c r="U459" s="12"/>
    </row>
    <row r="460" customFormat="false" ht="15" hidden="false" customHeight="false" outlineLevel="0" collapsed="false">
      <c r="A460" s="12"/>
      <c r="B460" s="61"/>
      <c r="C460" s="61"/>
      <c r="D460" s="61"/>
      <c r="E460" s="62"/>
      <c r="F460" s="61"/>
      <c r="G460" s="61"/>
      <c r="H460" s="10"/>
      <c r="I460" s="12"/>
      <c r="J460" s="63"/>
      <c r="K460" s="10"/>
      <c r="L460" s="12"/>
      <c r="M460" s="12"/>
      <c r="N460" s="12"/>
      <c r="O460" s="12"/>
      <c r="P460" s="12"/>
      <c r="Q460" s="12"/>
      <c r="R460" s="12"/>
      <c r="S460" s="12"/>
      <c r="T460" s="12"/>
      <c r="U460" s="12"/>
    </row>
    <row r="461" customFormat="false" ht="15" hidden="false" customHeight="false" outlineLevel="0" collapsed="false">
      <c r="A461" s="12"/>
      <c r="B461" s="61"/>
      <c r="C461" s="61"/>
      <c r="D461" s="61"/>
      <c r="E461" s="62"/>
      <c r="F461" s="61"/>
      <c r="G461" s="61"/>
      <c r="H461" s="10"/>
      <c r="I461" s="12"/>
      <c r="J461" s="63"/>
      <c r="K461" s="10"/>
      <c r="L461" s="12"/>
      <c r="M461" s="12"/>
      <c r="N461" s="12"/>
      <c r="O461" s="12"/>
      <c r="P461" s="12"/>
      <c r="Q461" s="12"/>
      <c r="R461" s="12"/>
      <c r="S461" s="12"/>
      <c r="T461" s="12"/>
      <c r="U461" s="12"/>
    </row>
    <row r="462" customFormat="false" ht="15" hidden="false" customHeight="false" outlineLevel="0" collapsed="false">
      <c r="A462" s="12"/>
      <c r="B462" s="61"/>
      <c r="C462" s="61"/>
      <c r="D462" s="61"/>
      <c r="E462" s="62"/>
      <c r="F462" s="61"/>
      <c r="G462" s="61"/>
      <c r="H462" s="10"/>
      <c r="I462" s="12"/>
      <c r="J462" s="63"/>
      <c r="K462" s="10"/>
      <c r="L462" s="12"/>
      <c r="M462" s="12"/>
      <c r="N462" s="12"/>
      <c r="O462" s="12"/>
      <c r="P462" s="12"/>
      <c r="Q462" s="12"/>
      <c r="R462" s="12"/>
      <c r="S462" s="12"/>
      <c r="T462" s="12"/>
      <c r="U462" s="12"/>
    </row>
    <row r="463" customFormat="false" ht="15" hidden="false" customHeight="false" outlineLevel="0" collapsed="false">
      <c r="A463" s="12"/>
      <c r="B463" s="61"/>
      <c r="C463" s="61"/>
      <c r="D463" s="61"/>
      <c r="E463" s="62"/>
      <c r="F463" s="61"/>
      <c r="G463" s="61"/>
      <c r="H463" s="10"/>
      <c r="I463" s="12"/>
      <c r="J463" s="63"/>
      <c r="K463" s="10"/>
      <c r="L463" s="12"/>
      <c r="M463" s="12"/>
      <c r="N463" s="12"/>
      <c r="O463" s="12"/>
      <c r="P463" s="12"/>
      <c r="Q463" s="12"/>
      <c r="R463" s="12"/>
      <c r="S463" s="12"/>
      <c r="T463" s="12"/>
      <c r="U463" s="12"/>
    </row>
    <row r="464" customFormat="false" ht="15" hidden="false" customHeight="false" outlineLevel="0" collapsed="false">
      <c r="A464" s="12"/>
      <c r="B464" s="61"/>
      <c r="C464" s="61"/>
      <c r="D464" s="61"/>
      <c r="E464" s="62"/>
      <c r="F464" s="61"/>
      <c r="G464" s="61"/>
      <c r="H464" s="10"/>
      <c r="I464" s="12"/>
      <c r="J464" s="63"/>
      <c r="K464" s="10"/>
      <c r="L464" s="12"/>
      <c r="M464" s="12"/>
      <c r="N464" s="12"/>
      <c r="O464" s="12"/>
      <c r="P464" s="12"/>
      <c r="Q464" s="12"/>
      <c r="R464" s="12"/>
      <c r="S464" s="12"/>
      <c r="T464" s="12"/>
      <c r="U464" s="12"/>
    </row>
    <row r="465" customFormat="false" ht="15" hidden="false" customHeight="false" outlineLevel="0" collapsed="false">
      <c r="A465" s="12"/>
      <c r="B465" s="61"/>
      <c r="C465" s="61"/>
      <c r="D465" s="61"/>
      <c r="E465" s="62"/>
      <c r="F465" s="61"/>
      <c r="G465" s="61"/>
      <c r="H465" s="10"/>
      <c r="I465" s="12"/>
      <c r="J465" s="63"/>
      <c r="K465" s="10"/>
      <c r="L465" s="12"/>
      <c r="M465" s="12"/>
      <c r="N465" s="12"/>
      <c r="O465" s="12"/>
      <c r="P465" s="12"/>
      <c r="Q465" s="12"/>
      <c r="R465" s="12"/>
      <c r="S465" s="12"/>
      <c r="T465" s="12"/>
      <c r="U465" s="12"/>
    </row>
    <row r="466" customFormat="false" ht="15" hidden="false" customHeight="false" outlineLevel="0" collapsed="false">
      <c r="A466" s="12"/>
      <c r="B466" s="61"/>
      <c r="C466" s="61"/>
      <c r="D466" s="61"/>
      <c r="E466" s="62"/>
      <c r="F466" s="61"/>
      <c r="G466" s="61"/>
      <c r="H466" s="10"/>
      <c r="I466" s="12"/>
      <c r="J466" s="63"/>
      <c r="K466" s="10"/>
      <c r="L466" s="12"/>
      <c r="M466" s="12"/>
      <c r="N466" s="12"/>
      <c r="O466" s="12"/>
      <c r="P466" s="12"/>
      <c r="Q466" s="12"/>
      <c r="R466" s="12"/>
      <c r="S466" s="12"/>
      <c r="T466" s="12"/>
      <c r="U466" s="12"/>
    </row>
    <row r="467" customFormat="false" ht="15" hidden="false" customHeight="false" outlineLevel="0" collapsed="false">
      <c r="A467" s="12"/>
      <c r="B467" s="61"/>
      <c r="C467" s="61"/>
      <c r="D467" s="61"/>
      <c r="E467" s="62"/>
      <c r="F467" s="61"/>
      <c r="G467" s="61"/>
      <c r="H467" s="10"/>
      <c r="I467" s="12"/>
      <c r="J467" s="63"/>
      <c r="K467" s="10"/>
      <c r="L467" s="12"/>
      <c r="M467" s="12"/>
      <c r="N467" s="12"/>
      <c r="O467" s="12"/>
      <c r="P467" s="12"/>
      <c r="Q467" s="12"/>
      <c r="R467" s="12"/>
      <c r="S467" s="12"/>
      <c r="T467" s="12"/>
      <c r="U467" s="12"/>
    </row>
    <row r="468" customFormat="false" ht="15" hidden="false" customHeight="false" outlineLevel="0" collapsed="false">
      <c r="A468" s="12"/>
      <c r="B468" s="61"/>
      <c r="C468" s="61"/>
      <c r="D468" s="61"/>
      <c r="E468" s="62"/>
      <c r="F468" s="61"/>
      <c r="G468" s="61"/>
      <c r="H468" s="10"/>
      <c r="I468" s="12"/>
      <c r="J468" s="63"/>
      <c r="K468" s="10"/>
      <c r="L468" s="12"/>
      <c r="M468" s="12"/>
      <c r="N468" s="12"/>
      <c r="O468" s="12"/>
      <c r="P468" s="12"/>
      <c r="Q468" s="12"/>
      <c r="R468" s="12"/>
      <c r="S468" s="12"/>
      <c r="T468" s="12"/>
      <c r="U468" s="12"/>
    </row>
    <row r="469" customFormat="false" ht="15" hidden="false" customHeight="false" outlineLevel="0" collapsed="false">
      <c r="A469" s="12"/>
      <c r="B469" s="61"/>
      <c r="C469" s="61"/>
      <c r="D469" s="61"/>
      <c r="E469" s="62"/>
      <c r="F469" s="61"/>
      <c r="G469" s="61"/>
      <c r="H469" s="10"/>
      <c r="I469" s="12"/>
      <c r="J469" s="63"/>
      <c r="K469" s="10"/>
      <c r="L469" s="12"/>
      <c r="M469" s="12"/>
      <c r="N469" s="12"/>
      <c r="O469" s="12"/>
      <c r="P469" s="12"/>
      <c r="Q469" s="12"/>
      <c r="R469" s="12"/>
      <c r="S469" s="12"/>
      <c r="T469" s="12"/>
      <c r="U469" s="12"/>
    </row>
    <row r="470" customFormat="false" ht="15" hidden="false" customHeight="false" outlineLevel="0" collapsed="false">
      <c r="A470" s="12"/>
      <c r="B470" s="61"/>
      <c r="C470" s="61"/>
      <c r="D470" s="61"/>
      <c r="E470" s="62"/>
      <c r="F470" s="61"/>
      <c r="G470" s="61"/>
      <c r="H470" s="10"/>
      <c r="I470" s="12"/>
      <c r="J470" s="63"/>
      <c r="K470" s="10"/>
      <c r="L470" s="12"/>
      <c r="M470" s="12"/>
      <c r="N470" s="12"/>
      <c r="O470" s="12"/>
      <c r="P470" s="12"/>
      <c r="Q470" s="12"/>
      <c r="R470" s="12"/>
      <c r="S470" s="12"/>
      <c r="T470" s="12"/>
      <c r="U470" s="12"/>
    </row>
    <row r="471" customFormat="false" ht="15" hidden="false" customHeight="false" outlineLevel="0" collapsed="false">
      <c r="A471" s="12"/>
      <c r="B471" s="61"/>
      <c r="C471" s="61"/>
      <c r="D471" s="61"/>
      <c r="E471" s="62"/>
      <c r="F471" s="61"/>
      <c r="G471" s="61"/>
      <c r="H471" s="10"/>
      <c r="I471" s="12"/>
      <c r="J471" s="63"/>
      <c r="K471" s="10"/>
      <c r="L471" s="12"/>
      <c r="M471" s="12"/>
      <c r="N471" s="12"/>
      <c r="O471" s="12"/>
      <c r="P471" s="12"/>
      <c r="Q471" s="12"/>
      <c r="R471" s="12"/>
      <c r="S471" s="12"/>
      <c r="T471" s="12"/>
      <c r="U471" s="12"/>
    </row>
    <row r="472" customFormat="false" ht="15" hidden="false" customHeight="false" outlineLevel="0" collapsed="false">
      <c r="A472" s="12"/>
      <c r="B472" s="61"/>
      <c r="C472" s="61"/>
      <c r="D472" s="61"/>
      <c r="E472" s="62"/>
      <c r="F472" s="61"/>
      <c r="G472" s="61"/>
      <c r="H472" s="10"/>
      <c r="I472" s="12"/>
      <c r="J472" s="63"/>
      <c r="K472" s="10"/>
      <c r="L472" s="12"/>
      <c r="M472" s="12"/>
      <c r="N472" s="12"/>
      <c r="O472" s="12"/>
      <c r="P472" s="12"/>
      <c r="Q472" s="12"/>
      <c r="R472" s="12"/>
      <c r="S472" s="12"/>
      <c r="T472" s="12"/>
      <c r="U472" s="12"/>
    </row>
    <row r="473" customFormat="false" ht="15" hidden="false" customHeight="false" outlineLevel="0" collapsed="false">
      <c r="A473" s="12"/>
      <c r="B473" s="61"/>
      <c r="C473" s="61"/>
      <c r="D473" s="61"/>
      <c r="E473" s="62"/>
      <c r="F473" s="61"/>
      <c r="G473" s="61"/>
      <c r="H473" s="10"/>
      <c r="I473" s="12"/>
      <c r="J473" s="63"/>
      <c r="K473" s="10"/>
      <c r="L473" s="12"/>
      <c r="M473" s="12"/>
      <c r="N473" s="12"/>
      <c r="O473" s="12"/>
      <c r="P473" s="12"/>
      <c r="Q473" s="12"/>
      <c r="R473" s="12"/>
      <c r="S473" s="12"/>
      <c r="T473" s="12"/>
      <c r="U473" s="12"/>
    </row>
    <row r="474" customFormat="false" ht="15" hidden="false" customHeight="false" outlineLevel="0" collapsed="false">
      <c r="A474" s="12"/>
      <c r="B474" s="61"/>
      <c r="C474" s="61"/>
      <c r="D474" s="61"/>
      <c r="E474" s="62"/>
      <c r="F474" s="61"/>
      <c r="G474" s="61"/>
      <c r="H474" s="10"/>
      <c r="I474" s="12"/>
      <c r="J474" s="63"/>
      <c r="K474" s="10"/>
      <c r="L474" s="12"/>
      <c r="M474" s="12"/>
      <c r="N474" s="12"/>
      <c r="O474" s="12"/>
      <c r="P474" s="12"/>
      <c r="Q474" s="12"/>
      <c r="R474" s="12"/>
      <c r="S474" s="12"/>
      <c r="T474" s="12"/>
      <c r="U474" s="12"/>
    </row>
    <row r="475" customFormat="false" ht="15" hidden="false" customHeight="false" outlineLevel="0" collapsed="false">
      <c r="A475" s="12"/>
      <c r="B475" s="61"/>
      <c r="C475" s="61"/>
      <c r="D475" s="61"/>
      <c r="E475" s="62"/>
      <c r="F475" s="61"/>
      <c r="G475" s="61"/>
      <c r="H475" s="10"/>
      <c r="I475" s="12"/>
      <c r="J475" s="63"/>
      <c r="K475" s="10"/>
      <c r="L475" s="12"/>
      <c r="M475" s="12"/>
      <c r="N475" s="12"/>
      <c r="O475" s="12"/>
      <c r="P475" s="12"/>
      <c r="Q475" s="12"/>
      <c r="R475" s="12"/>
      <c r="S475" s="12"/>
      <c r="T475" s="12"/>
      <c r="U475" s="12"/>
    </row>
    <row r="476" customFormat="false" ht="15" hidden="false" customHeight="false" outlineLevel="0" collapsed="false">
      <c r="A476" s="12"/>
      <c r="B476" s="61"/>
      <c r="C476" s="61"/>
      <c r="D476" s="61"/>
      <c r="E476" s="62"/>
      <c r="F476" s="61"/>
      <c r="G476" s="61"/>
      <c r="H476" s="10"/>
      <c r="I476" s="12"/>
      <c r="J476" s="63"/>
      <c r="K476" s="10"/>
      <c r="L476" s="12"/>
      <c r="M476" s="12"/>
      <c r="N476" s="12"/>
      <c r="O476" s="12"/>
      <c r="P476" s="12"/>
      <c r="Q476" s="12"/>
      <c r="R476" s="12"/>
      <c r="S476" s="12"/>
      <c r="T476" s="12"/>
      <c r="U476" s="12"/>
    </row>
    <row r="477" customFormat="false" ht="15" hidden="false" customHeight="false" outlineLevel="0" collapsed="false">
      <c r="A477" s="12"/>
      <c r="B477" s="61"/>
      <c r="C477" s="61"/>
      <c r="D477" s="61"/>
      <c r="E477" s="62"/>
      <c r="F477" s="61"/>
      <c r="G477" s="61"/>
      <c r="H477" s="10"/>
      <c r="I477" s="12"/>
      <c r="J477" s="63"/>
      <c r="K477" s="10"/>
      <c r="L477" s="12"/>
      <c r="M477" s="12"/>
      <c r="N477" s="12"/>
      <c r="O477" s="12"/>
      <c r="P477" s="12"/>
      <c r="Q477" s="12"/>
      <c r="R477" s="12"/>
      <c r="S477" s="12"/>
      <c r="T477" s="12"/>
      <c r="U477" s="12"/>
    </row>
    <row r="478" customFormat="false" ht="15" hidden="false" customHeight="false" outlineLevel="0" collapsed="false">
      <c r="A478" s="12"/>
      <c r="B478" s="61"/>
      <c r="C478" s="61"/>
      <c r="D478" s="61"/>
      <c r="E478" s="62"/>
      <c r="F478" s="61"/>
      <c r="G478" s="61"/>
      <c r="H478" s="10"/>
      <c r="I478" s="12"/>
      <c r="J478" s="63"/>
      <c r="K478" s="10"/>
      <c r="L478" s="12"/>
      <c r="M478" s="12"/>
      <c r="N478" s="12"/>
      <c r="O478" s="12"/>
      <c r="P478" s="12"/>
      <c r="Q478" s="12"/>
      <c r="R478" s="12"/>
      <c r="S478" s="12"/>
      <c r="T478" s="12"/>
      <c r="U478" s="12"/>
    </row>
    <row r="479" customFormat="false" ht="15" hidden="false" customHeight="false" outlineLevel="0" collapsed="false">
      <c r="A479" s="12"/>
      <c r="B479" s="61"/>
      <c r="C479" s="61"/>
      <c r="D479" s="61"/>
      <c r="E479" s="62"/>
      <c r="F479" s="61"/>
      <c r="G479" s="61"/>
      <c r="H479" s="10"/>
      <c r="I479" s="12"/>
      <c r="J479" s="63"/>
      <c r="K479" s="10"/>
      <c r="L479" s="12"/>
      <c r="M479" s="12"/>
      <c r="N479" s="12"/>
      <c r="O479" s="12"/>
      <c r="P479" s="12"/>
      <c r="Q479" s="12"/>
      <c r="R479" s="12"/>
      <c r="S479" s="12"/>
      <c r="T479" s="12"/>
      <c r="U479" s="12"/>
    </row>
    <row r="480" customFormat="false" ht="15" hidden="false" customHeight="false" outlineLevel="0" collapsed="false">
      <c r="A480" s="12"/>
      <c r="B480" s="61"/>
      <c r="C480" s="61"/>
      <c r="D480" s="61"/>
      <c r="E480" s="62"/>
      <c r="F480" s="61"/>
      <c r="G480" s="61"/>
      <c r="H480" s="10"/>
      <c r="I480" s="12"/>
      <c r="J480" s="63"/>
      <c r="K480" s="10"/>
      <c r="L480" s="12"/>
      <c r="M480" s="12"/>
      <c r="N480" s="12"/>
      <c r="O480" s="12"/>
      <c r="P480" s="12"/>
      <c r="Q480" s="12"/>
      <c r="R480" s="12"/>
      <c r="S480" s="12"/>
      <c r="T480" s="12"/>
      <c r="U480" s="12"/>
    </row>
    <row r="481" customFormat="false" ht="15" hidden="false" customHeight="false" outlineLevel="0" collapsed="false">
      <c r="A481" s="12"/>
      <c r="B481" s="61"/>
      <c r="C481" s="61"/>
      <c r="D481" s="61"/>
      <c r="E481" s="62"/>
      <c r="F481" s="61"/>
      <c r="G481" s="61"/>
      <c r="H481" s="10"/>
      <c r="I481" s="12"/>
      <c r="J481" s="63"/>
      <c r="K481" s="10"/>
      <c r="L481" s="12"/>
      <c r="M481" s="12"/>
      <c r="N481" s="12"/>
      <c r="O481" s="12"/>
      <c r="P481" s="12"/>
      <c r="Q481" s="12"/>
      <c r="R481" s="12"/>
      <c r="S481" s="12"/>
      <c r="T481" s="12"/>
      <c r="U481" s="12"/>
    </row>
    <row r="482" customFormat="false" ht="15" hidden="false" customHeight="false" outlineLevel="0" collapsed="false">
      <c r="A482" s="12"/>
      <c r="B482" s="61"/>
      <c r="C482" s="61"/>
      <c r="D482" s="61"/>
      <c r="E482" s="62"/>
      <c r="F482" s="61"/>
      <c r="G482" s="61"/>
      <c r="H482" s="10"/>
      <c r="I482" s="12"/>
      <c r="J482" s="63"/>
      <c r="K482" s="10"/>
      <c r="L482" s="12"/>
      <c r="M482" s="12"/>
      <c r="N482" s="12"/>
      <c r="O482" s="12"/>
      <c r="P482" s="12"/>
      <c r="Q482" s="12"/>
      <c r="R482" s="12"/>
      <c r="S482" s="12"/>
      <c r="T482" s="12"/>
      <c r="U482" s="12"/>
    </row>
    <row r="483" customFormat="false" ht="15" hidden="false" customHeight="false" outlineLevel="0" collapsed="false">
      <c r="A483" s="12"/>
      <c r="B483" s="61"/>
      <c r="C483" s="61"/>
      <c r="D483" s="61"/>
      <c r="E483" s="62"/>
      <c r="F483" s="61"/>
      <c r="G483" s="61"/>
      <c r="H483" s="10"/>
      <c r="I483" s="12"/>
      <c r="J483" s="63"/>
      <c r="K483" s="10"/>
      <c r="L483" s="12"/>
      <c r="M483" s="12"/>
      <c r="N483" s="12"/>
      <c r="O483" s="12"/>
      <c r="P483" s="12"/>
      <c r="Q483" s="12"/>
      <c r="R483" s="12"/>
      <c r="S483" s="12"/>
      <c r="T483" s="12"/>
      <c r="U483" s="12"/>
    </row>
    <row r="484" customFormat="false" ht="15" hidden="false" customHeight="false" outlineLevel="0" collapsed="false">
      <c r="A484" s="12"/>
      <c r="B484" s="61"/>
      <c r="C484" s="61"/>
      <c r="D484" s="61"/>
      <c r="E484" s="62"/>
      <c r="F484" s="61"/>
      <c r="G484" s="61"/>
      <c r="H484" s="10"/>
      <c r="I484" s="12"/>
      <c r="J484" s="63"/>
      <c r="K484" s="10"/>
      <c r="L484" s="12"/>
      <c r="M484" s="12"/>
      <c r="N484" s="12"/>
      <c r="O484" s="12"/>
      <c r="P484" s="12"/>
      <c r="Q484" s="12"/>
      <c r="R484" s="12"/>
      <c r="S484" s="12"/>
      <c r="T484" s="12"/>
      <c r="U484" s="12"/>
    </row>
    <row r="485" customFormat="false" ht="15" hidden="false" customHeight="false" outlineLevel="0" collapsed="false">
      <c r="A485" s="12"/>
      <c r="B485" s="61"/>
      <c r="C485" s="61"/>
      <c r="D485" s="61"/>
      <c r="E485" s="62"/>
      <c r="F485" s="61"/>
      <c r="G485" s="61"/>
      <c r="H485" s="10"/>
      <c r="I485" s="12"/>
      <c r="J485" s="63"/>
      <c r="K485" s="10"/>
      <c r="L485" s="12"/>
      <c r="M485" s="12"/>
      <c r="N485" s="12"/>
      <c r="O485" s="12"/>
      <c r="P485" s="12"/>
      <c r="Q485" s="12"/>
      <c r="R485" s="12"/>
      <c r="S485" s="12"/>
      <c r="T485" s="12"/>
      <c r="U485" s="12"/>
    </row>
    <row r="486" customFormat="false" ht="15" hidden="false" customHeight="false" outlineLevel="0" collapsed="false">
      <c r="A486" s="12"/>
      <c r="B486" s="61"/>
      <c r="C486" s="61"/>
      <c r="D486" s="61"/>
      <c r="E486" s="62"/>
      <c r="F486" s="61"/>
      <c r="G486" s="61"/>
      <c r="H486" s="10"/>
      <c r="I486" s="12"/>
      <c r="J486" s="63"/>
      <c r="K486" s="10"/>
      <c r="L486" s="12"/>
      <c r="M486" s="12"/>
      <c r="N486" s="12"/>
      <c r="O486" s="12"/>
      <c r="P486" s="12"/>
      <c r="Q486" s="12"/>
      <c r="R486" s="12"/>
      <c r="S486" s="12"/>
      <c r="T486" s="12"/>
      <c r="U486" s="12"/>
    </row>
    <row r="487" customFormat="false" ht="15" hidden="false" customHeight="false" outlineLevel="0" collapsed="false">
      <c r="A487" s="12"/>
      <c r="B487" s="61"/>
      <c r="C487" s="61"/>
      <c r="D487" s="61"/>
      <c r="E487" s="62"/>
      <c r="F487" s="61"/>
      <c r="G487" s="61"/>
      <c r="H487" s="10"/>
      <c r="I487" s="12"/>
      <c r="J487" s="63"/>
      <c r="K487" s="10"/>
      <c r="L487" s="12"/>
      <c r="M487" s="12"/>
      <c r="N487" s="12"/>
      <c r="O487" s="12"/>
      <c r="P487" s="12"/>
      <c r="Q487" s="12"/>
      <c r="R487" s="12"/>
      <c r="S487" s="12"/>
      <c r="T487" s="12"/>
      <c r="U487" s="12"/>
    </row>
    <row r="488" customFormat="false" ht="15" hidden="false" customHeight="false" outlineLevel="0" collapsed="false">
      <c r="A488" s="12"/>
      <c r="B488" s="61"/>
      <c r="C488" s="61"/>
      <c r="D488" s="61"/>
      <c r="E488" s="62"/>
      <c r="F488" s="61"/>
      <c r="G488" s="61"/>
      <c r="H488" s="10"/>
      <c r="I488" s="12"/>
      <c r="J488" s="63"/>
      <c r="K488" s="10"/>
      <c r="L488" s="12"/>
      <c r="M488" s="12"/>
      <c r="N488" s="12"/>
      <c r="O488" s="12"/>
      <c r="P488" s="12"/>
      <c r="Q488" s="12"/>
      <c r="R488" s="12"/>
      <c r="S488" s="12"/>
      <c r="T488" s="12"/>
      <c r="U488" s="12"/>
    </row>
    <row r="489" customFormat="false" ht="15" hidden="false" customHeight="false" outlineLevel="0" collapsed="false">
      <c r="A489" s="12"/>
      <c r="B489" s="61"/>
      <c r="C489" s="61"/>
      <c r="D489" s="61"/>
      <c r="E489" s="62"/>
      <c r="F489" s="61"/>
      <c r="G489" s="61"/>
      <c r="H489" s="10"/>
      <c r="I489" s="12"/>
      <c r="J489" s="63"/>
      <c r="K489" s="10"/>
      <c r="L489" s="12"/>
      <c r="M489" s="12"/>
      <c r="N489" s="12"/>
      <c r="O489" s="12"/>
      <c r="P489" s="12"/>
      <c r="Q489" s="12"/>
      <c r="R489" s="12"/>
      <c r="S489" s="12"/>
      <c r="T489" s="12"/>
      <c r="U489" s="12"/>
    </row>
    <row r="490" customFormat="false" ht="15" hidden="false" customHeight="false" outlineLevel="0" collapsed="false">
      <c r="A490" s="12"/>
      <c r="B490" s="61"/>
      <c r="C490" s="61"/>
      <c r="D490" s="61"/>
      <c r="E490" s="62"/>
      <c r="F490" s="61"/>
      <c r="G490" s="61"/>
      <c r="H490" s="10"/>
      <c r="I490" s="12"/>
      <c r="J490" s="63"/>
      <c r="K490" s="10"/>
      <c r="L490" s="12"/>
      <c r="M490" s="12"/>
      <c r="N490" s="12"/>
      <c r="O490" s="12"/>
      <c r="P490" s="12"/>
      <c r="Q490" s="12"/>
      <c r="R490" s="12"/>
      <c r="S490" s="12"/>
      <c r="T490" s="12"/>
      <c r="U490" s="12"/>
    </row>
    <row r="491" customFormat="false" ht="15" hidden="false" customHeight="false" outlineLevel="0" collapsed="false">
      <c r="A491" s="12"/>
      <c r="B491" s="61"/>
      <c r="C491" s="61"/>
      <c r="D491" s="61"/>
      <c r="E491" s="62"/>
      <c r="F491" s="61"/>
      <c r="G491" s="61"/>
      <c r="H491" s="10"/>
      <c r="I491" s="12"/>
      <c r="J491" s="63"/>
      <c r="K491" s="10"/>
      <c r="L491" s="12"/>
      <c r="M491" s="12"/>
      <c r="N491" s="12"/>
      <c r="O491" s="12"/>
      <c r="P491" s="12"/>
      <c r="Q491" s="12"/>
      <c r="R491" s="12"/>
      <c r="S491" s="12"/>
      <c r="T491" s="12"/>
      <c r="U491" s="12"/>
    </row>
    <row r="492" customFormat="false" ht="15" hidden="false" customHeight="false" outlineLevel="0" collapsed="false">
      <c r="A492" s="12"/>
      <c r="B492" s="61"/>
      <c r="C492" s="61"/>
      <c r="D492" s="61"/>
      <c r="E492" s="62"/>
      <c r="F492" s="61"/>
      <c r="G492" s="61"/>
      <c r="H492" s="10"/>
      <c r="I492" s="12"/>
      <c r="J492" s="63"/>
      <c r="K492" s="10"/>
      <c r="L492" s="12"/>
      <c r="M492" s="12"/>
      <c r="N492" s="12"/>
      <c r="O492" s="12"/>
      <c r="P492" s="12"/>
      <c r="Q492" s="12"/>
      <c r="R492" s="12"/>
      <c r="S492" s="12"/>
      <c r="T492" s="12"/>
      <c r="U492" s="12"/>
    </row>
    <row r="493" customFormat="false" ht="15" hidden="false" customHeight="false" outlineLevel="0" collapsed="false">
      <c r="A493" s="12"/>
      <c r="B493" s="61"/>
      <c r="C493" s="61"/>
      <c r="D493" s="61"/>
      <c r="E493" s="62"/>
      <c r="F493" s="61"/>
      <c r="G493" s="61"/>
      <c r="H493" s="10"/>
      <c r="I493" s="12"/>
      <c r="J493" s="63"/>
      <c r="K493" s="10"/>
      <c r="L493" s="12"/>
      <c r="M493" s="12"/>
      <c r="N493" s="12"/>
      <c r="O493" s="12"/>
      <c r="P493" s="12"/>
      <c r="Q493" s="12"/>
      <c r="R493" s="12"/>
      <c r="S493" s="12"/>
      <c r="T493" s="12"/>
      <c r="U493" s="12"/>
    </row>
    <row r="494" customFormat="false" ht="15" hidden="false" customHeight="false" outlineLevel="0" collapsed="false">
      <c r="A494" s="12"/>
      <c r="B494" s="61"/>
      <c r="C494" s="61"/>
      <c r="D494" s="61"/>
      <c r="E494" s="62"/>
      <c r="F494" s="61"/>
      <c r="G494" s="61"/>
      <c r="H494" s="10"/>
      <c r="I494" s="12"/>
      <c r="J494" s="63"/>
      <c r="K494" s="10"/>
      <c r="L494" s="12"/>
      <c r="M494" s="12"/>
      <c r="N494" s="12"/>
      <c r="O494" s="12"/>
      <c r="P494" s="12"/>
      <c r="Q494" s="12"/>
      <c r="R494" s="12"/>
      <c r="S494" s="12"/>
      <c r="T494" s="12"/>
      <c r="U494" s="12"/>
    </row>
    <row r="495" customFormat="false" ht="15" hidden="false" customHeight="false" outlineLevel="0" collapsed="false">
      <c r="A495" s="12"/>
      <c r="B495" s="61"/>
      <c r="C495" s="61"/>
      <c r="D495" s="61"/>
      <c r="E495" s="62"/>
      <c r="F495" s="61"/>
      <c r="G495" s="61"/>
      <c r="H495" s="10"/>
      <c r="I495" s="12"/>
      <c r="J495" s="63"/>
      <c r="K495" s="10"/>
      <c r="L495" s="12"/>
      <c r="M495" s="12"/>
      <c r="N495" s="12"/>
      <c r="O495" s="12"/>
      <c r="P495" s="12"/>
      <c r="Q495" s="12"/>
      <c r="R495" s="12"/>
      <c r="S495" s="12"/>
      <c r="T495" s="12"/>
      <c r="U495" s="12"/>
    </row>
    <row r="496" customFormat="false" ht="15" hidden="false" customHeight="false" outlineLevel="0" collapsed="false">
      <c r="A496" s="12"/>
      <c r="B496" s="61"/>
      <c r="C496" s="61"/>
      <c r="D496" s="61"/>
      <c r="E496" s="62"/>
      <c r="F496" s="61"/>
      <c r="G496" s="61"/>
      <c r="H496" s="10"/>
      <c r="I496" s="12"/>
      <c r="J496" s="63"/>
      <c r="K496" s="10"/>
      <c r="L496" s="12"/>
      <c r="M496" s="12"/>
      <c r="N496" s="12"/>
      <c r="O496" s="12"/>
      <c r="P496" s="12"/>
      <c r="Q496" s="12"/>
      <c r="R496" s="12"/>
      <c r="S496" s="12"/>
      <c r="T496" s="12"/>
      <c r="U496" s="12"/>
    </row>
    <row r="497" customFormat="false" ht="15" hidden="false" customHeight="false" outlineLevel="0" collapsed="false">
      <c r="A497" s="12"/>
      <c r="B497" s="61"/>
      <c r="C497" s="61"/>
      <c r="D497" s="61"/>
      <c r="E497" s="62"/>
      <c r="F497" s="61"/>
      <c r="G497" s="61"/>
      <c r="H497" s="10"/>
      <c r="I497" s="12"/>
      <c r="J497" s="63"/>
      <c r="K497" s="10"/>
      <c r="L497" s="12"/>
      <c r="M497" s="12"/>
      <c r="N497" s="12"/>
      <c r="O497" s="12"/>
      <c r="P497" s="12"/>
      <c r="Q497" s="12"/>
      <c r="R497" s="12"/>
      <c r="S497" s="12"/>
      <c r="T497" s="12"/>
      <c r="U497" s="12"/>
    </row>
    <row r="498" customFormat="false" ht="15" hidden="false" customHeight="false" outlineLevel="0" collapsed="false">
      <c r="A498" s="12"/>
      <c r="B498" s="61"/>
      <c r="C498" s="61"/>
      <c r="D498" s="61"/>
      <c r="E498" s="62"/>
      <c r="F498" s="61"/>
      <c r="G498" s="61"/>
      <c r="H498" s="10"/>
      <c r="I498" s="12"/>
      <c r="J498" s="63"/>
      <c r="K498" s="10"/>
      <c r="L498" s="12"/>
      <c r="M498" s="12"/>
      <c r="N498" s="12"/>
      <c r="O498" s="12"/>
      <c r="P498" s="12"/>
      <c r="Q498" s="12"/>
      <c r="R498" s="12"/>
      <c r="S498" s="12"/>
      <c r="T498" s="12"/>
      <c r="U498" s="12"/>
    </row>
    <row r="499" customFormat="false" ht="15" hidden="false" customHeight="false" outlineLevel="0" collapsed="false">
      <c r="A499" s="12"/>
      <c r="B499" s="61"/>
      <c r="C499" s="61"/>
      <c r="D499" s="61"/>
      <c r="E499" s="62"/>
      <c r="F499" s="61"/>
      <c r="G499" s="61"/>
      <c r="H499" s="10"/>
      <c r="I499" s="12"/>
      <c r="J499" s="63"/>
      <c r="K499" s="10"/>
      <c r="L499" s="12"/>
      <c r="M499" s="12"/>
      <c r="N499" s="12"/>
      <c r="O499" s="12"/>
      <c r="P499" s="12"/>
      <c r="Q499" s="12"/>
      <c r="R499" s="12"/>
      <c r="S499" s="12"/>
      <c r="T499" s="12"/>
      <c r="U499" s="12"/>
    </row>
    <row r="500" customFormat="false" ht="15" hidden="false" customHeight="false" outlineLevel="0" collapsed="false">
      <c r="A500" s="12"/>
      <c r="B500" s="61"/>
      <c r="C500" s="61"/>
      <c r="D500" s="61"/>
      <c r="E500" s="62"/>
      <c r="F500" s="61"/>
      <c r="G500" s="61"/>
      <c r="H500" s="10"/>
      <c r="I500" s="12"/>
      <c r="J500" s="63"/>
      <c r="K500" s="10"/>
      <c r="L500" s="12"/>
      <c r="M500" s="12"/>
      <c r="N500" s="12"/>
      <c r="O500" s="12"/>
      <c r="P500" s="12"/>
      <c r="Q500" s="12"/>
      <c r="R500" s="12"/>
      <c r="S500" s="12"/>
      <c r="T500" s="12"/>
      <c r="U500" s="12"/>
    </row>
    <row r="501" customFormat="false" ht="15" hidden="false" customHeight="false" outlineLevel="0" collapsed="false">
      <c r="A501" s="12"/>
      <c r="B501" s="61"/>
      <c r="C501" s="61"/>
      <c r="D501" s="61"/>
      <c r="E501" s="62"/>
      <c r="F501" s="61"/>
      <c r="G501" s="61"/>
      <c r="H501" s="10"/>
      <c r="I501" s="12"/>
      <c r="J501" s="63"/>
      <c r="K501" s="10"/>
      <c r="L501" s="12"/>
      <c r="M501" s="12"/>
      <c r="N501" s="12"/>
      <c r="O501" s="12"/>
      <c r="P501" s="12"/>
      <c r="Q501" s="12"/>
      <c r="R501" s="12"/>
      <c r="S501" s="12"/>
      <c r="T501" s="12"/>
      <c r="U501" s="12"/>
    </row>
    <row r="502" customFormat="false" ht="15" hidden="false" customHeight="false" outlineLevel="0" collapsed="false">
      <c r="A502" s="12"/>
      <c r="B502" s="61"/>
      <c r="C502" s="61"/>
      <c r="D502" s="61"/>
      <c r="E502" s="62"/>
      <c r="F502" s="61"/>
      <c r="G502" s="61"/>
      <c r="H502" s="10"/>
      <c r="I502" s="12"/>
      <c r="J502" s="63"/>
      <c r="K502" s="10"/>
      <c r="L502" s="12"/>
      <c r="M502" s="12"/>
      <c r="N502" s="12"/>
      <c r="O502" s="12"/>
      <c r="P502" s="12"/>
      <c r="Q502" s="12"/>
      <c r="R502" s="12"/>
      <c r="S502" s="12"/>
      <c r="T502" s="12"/>
      <c r="U502" s="12"/>
    </row>
    <row r="503" customFormat="false" ht="15" hidden="false" customHeight="false" outlineLevel="0" collapsed="false">
      <c r="A503" s="12"/>
      <c r="B503" s="61"/>
      <c r="C503" s="61"/>
      <c r="D503" s="61"/>
      <c r="E503" s="62"/>
      <c r="F503" s="61"/>
      <c r="G503" s="61"/>
      <c r="H503" s="10"/>
      <c r="I503" s="12"/>
      <c r="J503" s="63"/>
      <c r="K503" s="10"/>
      <c r="L503" s="12"/>
      <c r="M503" s="12"/>
      <c r="N503" s="12"/>
      <c r="O503" s="12"/>
      <c r="P503" s="12"/>
      <c r="Q503" s="12"/>
      <c r="R503" s="12"/>
      <c r="S503" s="12"/>
      <c r="T503" s="12"/>
      <c r="U503" s="12"/>
    </row>
    <row r="504" customFormat="false" ht="15" hidden="false" customHeight="false" outlineLevel="0" collapsed="false">
      <c r="A504" s="12"/>
      <c r="B504" s="61"/>
      <c r="C504" s="61"/>
      <c r="D504" s="61"/>
      <c r="E504" s="62"/>
      <c r="F504" s="61"/>
      <c r="G504" s="61"/>
      <c r="H504" s="10"/>
      <c r="I504" s="12"/>
      <c r="J504" s="63"/>
      <c r="K504" s="10"/>
      <c r="L504" s="12"/>
      <c r="M504" s="12"/>
      <c r="N504" s="12"/>
      <c r="O504" s="12"/>
      <c r="P504" s="12"/>
      <c r="Q504" s="12"/>
      <c r="R504" s="12"/>
      <c r="S504" s="12"/>
      <c r="T504" s="12"/>
      <c r="U504" s="12"/>
    </row>
    <row r="505" customFormat="false" ht="15" hidden="false" customHeight="false" outlineLevel="0" collapsed="false">
      <c r="A505" s="12"/>
      <c r="B505" s="61"/>
      <c r="C505" s="61"/>
      <c r="D505" s="61"/>
      <c r="E505" s="62"/>
      <c r="F505" s="61"/>
      <c r="G505" s="61"/>
      <c r="H505" s="10"/>
      <c r="I505" s="12"/>
      <c r="J505" s="63"/>
      <c r="K505" s="10"/>
      <c r="L505" s="12"/>
      <c r="M505" s="12"/>
      <c r="N505" s="12"/>
      <c r="O505" s="12"/>
      <c r="P505" s="12"/>
      <c r="Q505" s="12"/>
      <c r="R505" s="12"/>
      <c r="S505" s="12"/>
      <c r="T505" s="12"/>
      <c r="U505" s="12"/>
    </row>
    <row r="506" customFormat="false" ht="15" hidden="false" customHeight="false" outlineLevel="0" collapsed="false">
      <c r="A506" s="12"/>
      <c r="B506" s="61"/>
      <c r="C506" s="61"/>
      <c r="D506" s="61"/>
      <c r="E506" s="62"/>
      <c r="F506" s="61"/>
      <c r="G506" s="61"/>
      <c r="H506" s="10"/>
      <c r="I506" s="12"/>
      <c r="J506" s="63"/>
      <c r="K506" s="10"/>
      <c r="L506" s="12"/>
      <c r="M506" s="12"/>
      <c r="N506" s="12"/>
      <c r="O506" s="12"/>
      <c r="P506" s="12"/>
      <c r="Q506" s="12"/>
      <c r="R506" s="12"/>
      <c r="S506" s="12"/>
      <c r="T506" s="12"/>
      <c r="U506" s="12"/>
    </row>
    <row r="507" customFormat="false" ht="15" hidden="false" customHeight="false" outlineLevel="0" collapsed="false">
      <c r="A507" s="12"/>
      <c r="B507" s="61"/>
      <c r="C507" s="61"/>
      <c r="D507" s="61"/>
      <c r="E507" s="62"/>
      <c r="F507" s="61"/>
      <c r="G507" s="61"/>
      <c r="H507" s="10"/>
      <c r="I507" s="12"/>
      <c r="J507" s="63"/>
      <c r="K507" s="10"/>
      <c r="L507" s="12"/>
      <c r="M507" s="12"/>
      <c r="N507" s="12"/>
      <c r="O507" s="12"/>
      <c r="P507" s="12"/>
      <c r="Q507" s="12"/>
      <c r="R507" s="12"/>
      <c r="S507" s="12"/>
      <c r="T507" s="12"/>
      <c r="U507" s="12"/>
    </row>
    <row r="508" customFormat="false" ht="15" hidden="false" customHeight="false" outlineLevel="0" collapsed="false">
      <c r="A508" s="12"/>
      <c r="B508" s="61"/>
      <c r="C508" s="61"/>
      <c r="D508" s="61"/>
      <c r="E508" s="62"/>
      <c r="F508" s="61"/>
      <c r="G508" s="61"/>
      <c r="H508" s="10"/>
      <c r="I508" s="12"/>
      <c r="J508" s="63"/>
      <c r="K508" s="10"/>
      <c r="L508" s="12"/>
      <c r="M508" s="12"/>
      <c r="N508" s="12"/>
      <c r="O508" s="12"/>
      <c r="P508" s="12"/>
      <c r="Q508" s="12"/>
      <c r="R508" s="12"/>
      <c r="S508" s="12"/>
      <c r="T508" s="12"/>
      <c r="U508" s="12"/>
    </row>
    <row r="509" customFormat="false" ht="15" hidden="false" customHeight="false" outlineLevel="0" collapsed="false">
      <c r="A509" s="12"/>
      <c r="B509" s="61"/>
      <c r="C509" s="61"/>
      <c r="D509" s="61"/>
      <c r="E509" s="62"/>
      <c r="F509" s="61"/>
      <c r="G509" s="61"/>
      <c r="H509" s="10"/>
      <c r="I509" s="12"/>
      <c r="J509" s="63"/>
      <c r="K509" s="10"/>
      <c r="L509" s="12"/>
      <c r="M509" s="12"/>
      <c r="N509" s="12"/>
      <c r="O509" s="12"/>
      <c r="P509" s="12"/>
      <c r="Q509" s="12"/>
      <c r="R509" s="12"/>
      <c r="S509" s="12"/>
      <c r="T509" s="12"/>
      <c r="U509" s="12"/>
    </row>
    <row r="510" customFormat="false" ht="15" hidden="false" customHeight="false" outlineLevel="0" collapsed="false">
      <c r="A510" s="12"/>
      <c r="B510" s="61"/>
      <c r="C510" s="61"/>
      <c r="D510" s="61"/>
      <c r="E510" s="62"/>
      <c r="F510" s="61"/>
      <c r="G510" s="61"/>
      <c r="H510" s="10"/>
      <c r="I510" s="12"/>
      <c r="J510" s="63"/>
      <c r="K510" s="10"/>
      <c r="L510" s="12"/>
      <c r="M510" s="12"/>
      <c r="N510" s="12"/>
      <c r="O510" s="12"/>
      <c r="P510" s="12"/>
      <c r="Q510" s="12"/>
      <c r="R510" s="12"/>
      <c r="S510" s="12"/>
      <c r="T510" s="12"/>
      <c r="U510" s="12"/>
    </row>
    <row r="511" customFormat="false" ht="15" hidden="false" customHeight="false" outlineLevel="0" collapsed="false">
      <c r="A511" s="12"/>
      <c r="B511" s="61"/>
      <c r="C511" s="61"/>
      <c r="D511" s="61"/>
      <c r="E511" s="62"/>
      <c r="F511" s="61"/>
      <c r="G511" s="61"/>
      <c r="H511" s="10"/>
      <c r="I511" s="12"/>
      <c r="J511" s="63"/>
      <c r="K511" s="10"/>
      <c r="L511" s="12"/>
      <c r="M511" s="12"/>
      <c r="N511" s="12"/>
      <c r="O511" s="12"/>
      <c r="P511" s="12"/>
      <c r="Q511" s="12"/>
      <c r="R511" s="12"/>
      <c r="S511" s="12"/>
      <c r="T511" s="12"/>
      <c r="U511" s="12"/>
    </row>
    <row r="512" customFormat="false" ht="15" hidden="false" customHeight="false" outlineLevel="0" collapsed="false">
      <c r="A512" s="12"/>
      <c r="B512" s="61"/>
      <c r="C512" s="61"/>
      <c r="D512" s="61"/>
      <c r="E512" s="62"/>
      <c r="F512" s="61"/>
      <c r="G512" s="61"/>
      <c r="H512" s="10"/>
      <c r="I512" s="12"/>
      <c r="J512" s="63"/>
      <c r="K512" s="10"/>
      <c r="L512" s="12"/>
      <c r="M512" s="12"/>
      <c r="N512" s="12"/>
      <c r="O512" s="12"/>
      <c r="P512" s="12"/>
      <c r="Q512" s="12"/>
      <c r="R512" s="12"/>
      <c r="S512" s="12"/>
      <c r="T512" s="12"/>
      <c r="U512" s="12"/>
    </row>
    <row r="513" customFormat="false" ht="15" hidden="false" customHeight="false" outlineLevel="0" collapsed="false">
      <c r="A513" s="12"/>
      <c r="B513" s="61"/>
      <c r="C513" s="61"/>
      <c r="D513" s="61"/>
      <c r="E513" s="62"/>
      <c r="F513" s="61"/>
      <c r="G513" s="61"/>
      <c r="H513" s="10"/>
      <c r="I513" s="12"/>
      <c r="J513" s="63"/>
      <c r="K513" s="10"/>
      <c r="L513" s="12"/>
      <c r="M513" s="12"/>
      <c r="N513" s="12"/>
      <c r="O513" s="12"/>
      <c r="P513" s="12"/>
      <c r="Q513" s="12"/>
      <c r="R513" s="12"/>
      <c r="S513" s="12"/>
      <c r="T513" s="12"/>
      <c r="U513" s="12"/>
    </row>
    <row r="514" customFormat="false" ht="15" hidden="false" customHeight="false" outlineLevel="0" collapsed="false">
      <c r="A514" s="12"/>
      <c r="B514" s="61"/>
      <c r="C514" s="61"/>
      <c r="D514" s="61"/>
      <c r="E514" s="62"/>
      <c r="F514" s="61"/>
      <c r="G514" s="61"/>
      <c r="H514" s="10"/>
      <c r="I514" s="12"/>
      <c r="J514" s="63"/>
      <c r="K514" s="10"/>
      <c r="L514" s="12"/>
      <c r="M514" s="12"/>
      <c r="N514" s="12"/>
      <c r="O514" s="12"/>
      <c r="P514" s="12"/>
      <c r="Q514" s="12"/>
      <c r="R514" s="12"/>
      <c r="S514" s="12"/>
      <c r="T514" s="12"/>
      <c r="U514" s="12"/>
    </row>
    <row r="515" customFormat="false" ht="15" hidden="false" customHeight="false" outlineLevel="0" collapsed="false">
      <c r="A515" s="12"/>
      <c r="B515" s="61"/>
      <c r="C515" s="61"/>
      <c r="D515" s="61"/>
      <c r="E515" s="62"/>
      <c r="F515" s="61"/>
      <c r="G515" s="61"/>
      <c r="H515" s="10"/>
      <c r="I515" s="12"/>
      <c r="J515" s="63"/>
      <c r="K515" s="10"/>
      <c r="L515" s="12"/>
      <c r="M515" s="12"/>
      <c r="N515" s="12"/>
      <c r="O515" s="12"/>
      <c r="P515" s="12"/>
      <c r="Q515" s="12"/>
      <c r="R515" s="12"/>
      <c r="S515" s="12"/>
      <c r="T515" s="12"/>
      <c r="U515" s="12"/>
    </row>
    <row r="516" customFormat="false" ht="15" hidden="false" customHeight="false" outlineLevel="0" collapsed="false">
      <c r="A516" s="12"/>
      <c r="B516" s="61"/>
      <c r="C516" s="61"/>
      <c r="D516" s="61"/>
      <c r="E516" s="62"/>
      <c r="F516" s="61"/>
      <c r="G516" s="61"/>
      <c r="H516" s="10"/>
      <c r="I516" s="12"/>
      <c r="J516" s="63"/>
      <c r="K516" s="10"/>
      <c r="L516" s="12"/>
      <c r="M516" s="12"/>
      <c r="N516" s="12"/>
      <c r="O516" s="12"/>
      <c r="P516" s="12"/>
      <c r="Q516" s="12"/>
      <c r="R516" s="12"/>
      <c r="S516" s="12"/>
      <c r="T516" s="12"/>
      <c r="U516" s="12"/>
    </row>
    <row r="517" customFormat="false" ht="15" hidden="false" customHeight="false" outlineLevel="0" collapsed="false">
      <c r="A517" s="12"/>
      <c r="B517" s="61"/>
      <c r="C517" s="61"/>
      <c r="D517" s="61"/>
      <c r="E517" s="62"/>
      <c r="F517" s="61"/>
      <c r="G517" s="61"/>
      <c r="H517" s="10"/>
      <c r="I517" s="12"/>
      <c r="J517" s="63"/>
      <c r="K517" s="10"/>
      <c r="L517" s="12"/>
      <c r="M517" s="12"/>
      <c r="N517" s="12"/>
      <c r="O517" s="12"/>
      <c r="P517" s="12"/>
      <c r="Q517" s="12"/>
      <c r="R517" s="12"/>
      <c r="S517" s="12"/>
      <c r="T517" s="12"/>
      <c r="U517" s="12"/>
    </row>
    <row r="518" customFormat="false" ht="15" hidden="false" customHeight="false" outlineLevel="0" collapsed="false">
      <c r="A518" s="12"/>
      <c r="B518" s="61"/>
      <c r="C518" s="61"/>
      <c r="D518" s="61"/>
      <c r="E518" s="62"/>
      <c r="F518" s="61"/>
      <c r="G518" s="61"/>
      <c r="H518" s="10"/>
      <c r="I518" s="12"/>
      <c r="J518" s="63"/>
      <c r="K518" s="10"/>
      <c r="L518" s="12"/>
      <c r="M518" s="12"/>
      <c r="N518" s="12"/>
      <c r="O518" s="12"/>
      <c r="P518" s="12"/>
      <c r="Q518" s="12"/>
      <c r="R518" s="12"/>
      <c r="S518" s="12"/>
      <c r="T518" s="12"/>
      <c r="U518" s="12"/>
    </row>
    <row r="519" customFormat="false" ht="15" hidden="false" customHeight="false" outlineLevel="0" collapsed="false">
      <c r="A519" s="12"/>
      <c r="B519" s="61"/>
      <c r="C519" s="61"/>
      <c r="D519" s="61"/>
      <c r="E519" s="62"/>
      <c r="F519" s="61"/>
      <c r="G519" s="61"/>
      <c r="H519" s="10"/>
      <c r="I519" s="12"/>
      <c r="J519" s="63"/>
      <c r="K519" s="10"/>
      <c r="L519" s="12"/>
      <c r="M519" s="12"/>
      <c r="N519" s="12"/>
      <c r="O519" s="12"/>
      <c r="P519" s="12"/>
      <c r="Q519" s="12"/>
      <c r="R519" s="12"/>
      <c r="S519" s="12"/>
      <c r="T519" s="12"/>
      <c r="U519" s="12"/>
    </row>
    <row r="520" customFormat="false" ht="15" hidden="false" customHeight="false" outlineLevel="0" collapsed="false">
      <c r="A520" s="12"/>
      <c r="B520" s="61"/>
      <c r="C520" s="61"/>
      <c r="D520" s="61"/>
      <c r="E520" s="62"/>
      <c r="F520" s="61"/>
      <c r="G520" s="61"/>
      <c r="H520" s="10"/>
      <c r="I520" s="12"/>
      <c r="J520" s="63"/>
      <c r="K520" s="10"/>
      <c r="L520" s="12"/>
      <c r="M520" s="12"/>
      <c r="N520" s="12"/>
      <c r="O520" s="12"/>
      <c r="P520" s="12"/>
      <c r="Q520" s="12"/>
      <c r="R520" s="12"/>
      <c r="S520" s="12"/>
      <c r="T520" s="12"/>
      <c r="U520" s="12"/>
    </row>
    <row r="521" customFormat="false" ht="15" hidden="false" customHeight="false" outlineLevel="0" collapsed="false">
      <c r="A521" s="12"/>
      <c r="B521" s="61"/>
      <c r="C521" s="61"/>
      <c r="D521" s="61"/>
      <c r="E521" s="62"/>
      <c r="F521" s="61"/>
      <c r="G521" s="61"/>
      <c r="H521" s="10"/>
      <c r="I521" s="12"/>
      <c r="J521" s="63"/>
      <c r="K521" s="10"/>
      <c r="L521" s="12"/>
      <c r="M521" s="12"/>
      <c r="N521" s="12"/>
      <c r="O521" s="12"/>
      <c r="P521" s="12"/>
      <c r="Q521" s="12"/>
      <c r="R521" s="12"/>
      <c r="S521" s="12"/>
      <c r="T521" s="12"/>
      <c r="U521" s="12"/>
    </row>
    <row r="522" customFormat="false" ht="15" hidden="false" customHeight="false" outlineLevel="0" collapsed="false">
      <c r="A522" s="12"/>
      <c r="B522" s="61"/>
      <c r="C522" s="61"/>
      <c r="D522" s="61"/>
      <c r="E522" s="62"/>
      <c r="F522" s="61"/>
      <c r="G522" s="61"/>
      <c r="H522" s="10"/>
      <c r="I522" s="12"/>
      <c r="J522" s="63"/>
      <c r="K522" s="10"/>
      <c r="L522" s="12"/>
      <c r="M522" s="12"/>
      <c r="N522" s="12"/>
      <c r="O522" s="12"/>
      <c r="P522" s="12"/>
      <c r="Q522" s="12"/>
      <c r="R522" s="12"/>
      <c r="S522" s="12"/>
      <c r="T522" s="12"/>
      <c r="U522" s="12"/>
    </row>
    <row r="523" customFormat="false" ht="15" hidden="false" customHeight="false" outlineLevel="0" collapsed="false">
      <c r="A523" s="12"/>
      <c r="B523" s="61"/>
      <c r="C523" s="61"/>
      <c r="D523" s="61"/>
      <c r="E523" s="62"/>
      <c r="F523" s="61"/>
      <c r="G523" s="61"/>
      <c r="H523" s="10"/>
      <c r="I523" s="12"/>
      <c r="J523" s="63"/>
      <c r="K523" s="10"/>
      <c r="L523" s="12"/>
      <c r="M523" s="12"/>
      <c r="N523" s="12"/>
      <c r="O523" s="12"/>
      <c r="P523" s="12"/>
      <c r="Q523" s="12"/>
      <c r="R523" s="12"/>
      <c r="S523" s="12"/>
      <c r="T523" s="12"/>
      <c r="U523" s="12"/>
    </row>
    <row r="524" customFormat="false" ht="15" hidden="false" customHeight="false" outlineLevel="0" collapsed="false">
      <c r="A524" s="12"/>
      <c r="B524" s="61"/>
      <c r="C524" s="61"/>
      <c r="D524" s="61"/>
      <c r="E524" s="62"/>
      <c r="F524" s="61"/>
      <c r="G524" s="61"/>
      <c r="H524" s="10"/>
      <c r="I524" s="12"/>
      <c r="J524" s="63"/>
      <c r="K524" s="10"/>
      <c r="L524" s="12"/>
      <c r="M524" s="12"/>
      <c r="N524" s="12"/>
      <c r="O524" s="12"/>
      <c r="P524" s="12"/>
      <c r="Q524" s="12"/>
      <c r="R524" s="12"/>
      <c r="S524" s="12"/>
      <c r="T524" s="12"/>
      <c r="U524" s="12"/>
    </row>
    <row r="525" customFormat="false" ht="15" hidden="false" customHeight="false" outlineLevel="0" collapsed="false">
      <c r="A525" s="12"/>
      <c r="B525" s="61"/>
      <c r="C525" s="61"/>
      <c r="D525" s="61"/>
      <c r="E525" s="62"/>
      <c r="F525" s="61"/>
      <c r="G525" s="61"/>
      <c r="H525" s="10"/>
      <c r="I525" s="12"/>
      <c r="J525" s="63"/>
      <c r="K525" s="10"/>
      <c r="L525" s="12"/>
      <c r="M525" s="12"/>
      <c r="N525" s="12"/>
      <c r="O525" s="12"/>
      <c r="P525" s="12"/>
      <c r="Q525" s="12"/>
      <c r="R525" s="12"/>
      <c r="S525" s="12"/>
      <c r="T525" s="12"/>
      <c r="U525" s="12"/>
    </row>
    <row r="526" customFormat="false" ht="15" hidden="false" customHeight="false" outlineLevel="0" collapsed="false">
      <c r="A526" s="12"/>
      <c r="B526" s="61"/>
      <c r="C526" s="61"/>
      <c r="D526" s="61"/>
      <c r="E526" s="62"/>
      <c r="F526" s="61"/>
      <c r="G526" s="61"/>
      <c r="H526" s="10"/>
      <c r="I526" s="12"/>
      <c r="J526" s="63"/>
      <c r="K526" s="10"/>
      <c r="L526" s="12"/>
      <c r="M526" s="12"/>
      <c r="N526" s="12"/>
      <c r="O526" s="12"/>
      <c r="P526" s="12"/>
      <c r="Q526" s="12"/>
      <c r="R526" s="12"/>
      <c r="S526" s="12"/>
      <c r="T526" s="12"/>
      <c r="U526" s="12"/>
    </row>
    <row r="527" customFormat="false" ht="15" hidden="false" customHeight="false" outlineLevel="0" collapsed="false">
      <c r="A527" s="12"/>
      <c r="B527" s="61"/>
      <c r="C527" s="61"/>
      <c r="D527" s="61"/>
      <c r="E527" s="62"/>
      <c r="F527" s="61"/>
      <c r="G527" s="61"/>
      <c r="H527" s="10"/>
      <c r="I527" s="12"/>
      <c r="J527" s="63"/>
      <c r="K527" s="10"/>
      <c r="L527" s="12"/>
      <c r="M527" s="12"/>
      <c r="N527" s="12"/>
      <c r="O527" s="12"/>
      <c r="P527" s="12"/>
      <c r="Q527" s="12"/>
      <c r="R527" s="12"/>
      <c r="S527" s="12"/>
      <c r="T527" s="12"/>
      <c r="U527" s="12"/>
    </row>
    <row r="528" customFormat="false" ht="15" hidden="false" customHeight="false" outlineLevel="0" collapsed="false">
      <c r="A528" s="12"/>
      <c r="B528" s="61"/>
      <c r="C528" s="61"/>
      <c r="D528" s="61"/>
      <c r="E528" s="62"/>
      <c r="F528" s="61"/>
      <c r="G528" s="61"/>
      <c r="H528" s="10"/>
      <c r="I528" s="12"/>
      <c r="J528" s="63"/>
      <c r="K528" s="10"/>
      <c r="L528" s="12"/>
      <c r="M528" s="12"/>
      <c r="N528" s="12"/>
      <c r="O528" s="12"/>
      <c r="P528" s="12"/>
      <c r="Q528" s="12"/>
      <c r="R528" s="12"/>
      <c r="S528" s="12"/>
      <c r="T528" s="12"/>
      <c r="U528" s="12"/>
    </row>
    <row r="529" customFormat="false" ht="15" hidden="false" customHeight="false" outlineLevel="0" collapsed="false">
      <c r="A529" s="12"/>
      <c r="B529" s="61"/>
      <c r="C529" s="61"/>
      <c r="D529" s="61"/>
      <c r="E529" s="62"/>
      <c r="F529" s="61"/>
      <c r="G529" s="61"/>
      <c r="H529" s="10"/>
      <c r="I529" s="12"/>
      <c r="J529" s="63"/>
      <c r="K529" s="10"/>
      <c r="L529" s="12"/>
      <c r="M529" s="12"/>
      <c r="N529" s="12"/>
      <c r="O529" s="12"/>
      <c r="P529" s="12"/>
      <c r="Q529" s="12"/>
      <c r="R529" s="12"/>
      <c r="S529" s="12"/>
      <c r="T529" s="12"/>
      <c r="U529" s="12"/>
    </row>
    <row r="530" customFormat="false" ht="15" hidden="false" customHeight="false" outlineLevel="0" collapsed="false">
      <c r="A530" s="12"/>
      <c r="B530" s="61"/>
      <c r="C530" s="61"/>
      <c r="D530" s="61"/>
      <c r="E530" s="62"/>
      <c r="F530" s="61"/>
      <c r="G530" s="61"/>
      <c r="H530" s="10"/>
      <c r="I530" s="12"/>
      <c r="J530" s="63"/>
      <c r="K530" s="10"/>
      <c r="L530" s="12"/>
      <c r="M530" s="12"/>
      <c r="N530" s="12"/>
      <c r="O530" s="12"/>
      <c r="P530" s="12"/>
      <c r="Q530" s="12"/>
      <c r="R530" s="12"/>
      <c r="S530" s="12"/>
      <c r="T530" s="12"/>
      <c r="U530" s="12"/>
    </row>
    <row r="531" customFormat="false" ht="15" hidden="false" customHeight="false" outlineLevel="0" collapsed="false">
      <c r="A531" s="12"/>
      <c r="B531" s="61"/>
      <c r="C531" s="61"/>
      <c r="D531" s="61"/>
      <c r="E531" s="62"/>
      <c r="F531" s="61"/>
      <c r="G531" s="61"/>
      <c r="H531" s="10"/>
      <c r="I531" s="12"/>
      <c r="J531" s="63"/>
      <c r="K531" s="10"/>
      <c r="L531" s="12"/>
      <c r="M531" s="12"/>
      <c r="N531" s="12"/>
      <c r="O531" s="12"/>
      <c r="P531" s="12"/>
      <c r="Q531" s="12"/>
      <c r="R531" s="12"/>
      <c r="S531" s="12"/>
      <c r="T531" s="12"/>
      <c r="U531" s="12"/>
    </row>
    <row r="532" customFormat="false" ht="15" hidden="false" customHeight="false" outlineLevel="0" collapsed="false">
      <c r="A532" s="12"/>
      <c r="B532" s="61"/>
      <c r="C532" s="61"/>
      <c r="D532" s="61"/>
      <c r="E532" s="62"/>
      <c r="F532" s="61"/>
      <c r="G532" s="61"/>
      <c r="H532" s="10"/>
      <c r="I532" s="12"/>
      <c r="J532" s="63"/>
      <c r="K532" s="10"/>
      <c r="L532" s="12"/>
      <c r="M532" s="12"/>
      <c r="N532" s="12"/>
      <c r="O532" s="12"/>
      <c r="P532" s="12"/>
      <c r="Q532" s="12"/>
      <c r="R532" s="12"/>
      <c r="S532" s="12"/>
      <c r="T532" s="12"/>
      <c r="U532" s="12"/>
    </row>
    <row r="533" customFormat="false" ht="15" hidden="false" customHeight="false" outlineLevel="0" collapsed="false">
      <c r="A533" s="12"/>
      <c r="B533" s="61"/>
      <c r="C533" s="61"/>
      <c r="D533" s="61"/>
      <c r="E533" s="62"/>
      <c r="F533" s="61"/>
      <c r="G533" s="61"/>
      <c r="H533" s="10"/>
      <c r="I533" s="12"/>
      <c r="J533" s="63"/>
      <c r="K533" s="10"/>
      <c r="L533" s="12"/>
      <c r="M533" s="12"/>
      <c r="N533" s="12"/>
      <c r="O533" s="12"/>
      <c r="P533" s="12"/>
      <c r="Q533" s="12"/>
      <c r="R533" s="12"/>
      <c r="S533" s="12"/>
      <c r="T533" s="12"/>
      <c r="U533" s="12"/>
    </row>
    <row r="534" customFormat="false" ht="15" hidden="false" customHeight="false" outlineLevel="0" collapsed="false">
      <c r="A534" s="12"/>
      <c r="B534" s="61"/>
      <c r="C534" s="61"/>
      <c r="D534" s="61"/>
      <c r="E534" s="62"/>
      <c r="F534" s="61"/>
      <c r="G534" s="61"/>
      <c r="H534" s="10"/>
      <c r="I534" s="12"/>
      <c r="J534" s="63"/>
      <c r="K534" s="10"/>
      <c r="L534" s="12"/>
      <c r="M534" s="12"/>
      <c r="N534" s="12"/>
      <c r="O534" s="12"/>
      <c r="P534" s="12"/>
      <c r="Q534" s="12"/>
      <c r="R534" s="12"/>
      <c r="S534" s="12"/>
      <c r="T534" s="12"/>
      <c r="U534" s="12"/>
    </row>
    <row r="535" customFormat="false" ht="15" hidden="false" customHeight="false" outlineLevel="0" collapsed="false">
      <c r="A535" s="12"/>
      <c r="B535" s="61"/>
      <c r="C535" s="61"/>
      <c r="D535" s="61"/>
      <c r="E535" s="62"/>
      <c r="F535" s="61"/>
      <c r="G535" s="61"/>
      <c r="H535" s="10"/>
      <c r="I535" s="12"/>
      <c r="J535" s="63"/>
      <c r="K535" s="10"/>
      <c r="L535" s="12"/>
      <c r="M535" s="12"/>
      <c r="N535" s="12"/>
      <c r="O535" s="12"/>
      <c r="P535" s="12"/>
      <c r="Q535" s="12"/>
      <c r="R535" s="12"/>
      <c r="S535" s="12"/>
      <c r="T535" s="12"/>
      <c r="U535" s="12"/>
    </row>
    <row r="536" customFormat="false" ht="15" hidden="false" customHeight="false" outlineLevel="0" collapsed="false">
      <c r="A536" s="12"/>
      <c r="B536" s="61"/>
      <c r="C536" s="61"/>
      <c r="D536" s="61"/>
      <c r="E536" s="62"/>
      <c r="F536" s="61"/>
      <c r="G536" s="61"/>
      <c r="H536" s="10"/>
      <c r="I536" s="12"/>
      <c r="J536" s="63"/>
      <c r="K536" s="10"/>
      <c r="L536" s="12"/>
      <c r="M536" s="12"/>
      <c r="N536" s="12"/>
      <c r="O536" s="12"/>
      <c r="P536" s="12"/>
      <c r="Q536" s="12"/>
      <c r="R536" s="12"/>
      <c r="S536" s="12"/>
      <c r="T536" s="12"/>
      <c r="U536" s="12"/>
    </row>
    <row r="537" customFormat="false" ht="15" hidden="false" customHeight="false" outlineLevel="0" collapsed="false">
      <c r="A537" s="12"/>
      <c r="B537" s="61"/>
      <c r="C537" s="61"/>
      <c r="D537" s="61"/>
      <c r="E537" s="62"/>
      <c r="F537" s="61"/>
      <c r="G537" s="61"/>
      <c r="H537" s="10"/>
      <c r="I537" s="12"/>
      <c r="J537" s="63"/>
      <c r="K537" s="10"/>
      <c r="L537" s="12"/>
      <c r="M537" s="12"/>
      <c r="N537" s="12"/>
      <c r="O537" s="12"/>
      <c r="P537" s="12"/>
      <c r="Q537" s="12"/>
      <c r="R537" s="12"/>
      <c r="S537" s="12"/>
      <c r="T537" s="12"/>
      <c r="U537" s="12"/>
    </row>
    <row r="538" customFormat="false" ht="15" hidden="false" customHeight="false" outlineLevel="0" collapsed="false">
      <c r="A538" s="12"/>
      <c r="B538" s="61"/>
      <c r="C538" s="61"/>
      <c r="D538" s="61"/>
      <c r="E538" s="62"/>
      <c r="F538" s="61"/>
      <c r="G538" s="61"/>
      <c r="H538" s="10"/>
      <c r="I538" s="12"/>
      <c r="J538" s="63"/>
      <c r="K538" s="10"/>
      <c r="L538" s="12"/>
      <c r="M538" s="12"/>
      <c r="N538" s="12"/>
      <c r="O538" s="12"/>
      <c r="P538" s="12"/>
      <c r="Q538" s="12"/>
      <c r="R538" s="12"/>
      <c r="S538" s="12"/>
      <c r="T538" s="12"/>
      <c r="U538" s="12"/>
    </row>
    <row r="539" customFormat="false" ht="15" hidden="false" customHeight="false" outlineLevel="0" collapsed="false">
      <c r="A539" s="12"/>
      <c r="B539" s="61"/>
      <c r="C539" s="61"/>
      <c r="D539" s="61"/>
      <c r="E539" s="62"/>
      <c r="F539" s="61"/>
      <c r="G539" s="61"/>
      <c r="H539" s="10"/>
      <c r="I539" s="12"/>
      <c r="J539" s="63"/>
      <c r="K539" s="10"/>
      <c r="L539" s="12"/>
      <c r="M539" s="12"/>
      <c r="N539" s="12"/>
      <c r="O539" s="12"/>
      <c r="P539" s="12"/>
      <c r="Q539" s="12"/>
      <c r="R539" s="12"/>
      <c r="S539" s="12"/>
      <c r="T539" s="12"/>
      <c r="U539" s="12"/>
    </row>
    <row r="540" customFormat="false" ht="15" hidden="false" customHeight="false" outlineLevel="0" collapsed="false">
      <c r="A540" s="12"/>
      <c r="B540" s="61"/>
      <c r="C540" s="61"/>
      <c r="D540" s="61"/>
      <c r="E540" s="62"/>
      <c r="F540" s="61"/>
      <c r="G540" s="61"/>
      <c r="H540" s="10"/>
      <c r="I540" s="12"/>
      <c r="J540" s="63"/>
      <c r="K540" s="10"/>
      <c r="L540" s="12"/>
      <c r="M540" s="12"/>
      <c r="N540" s="12"/>
      <c r="O540" s="12"/>
      <c r="P540" s="12"/>
      <c r="Q540" s="12"/>
      <c r="R540" s="12"/>
      <c r="S540" s="12"/>
      <c r="T540" s="12"/>
      <c r="U540" s="12"/>
    </row>
    <row r="541" customFormat="false" ht="15" hidden="false" customHeight="false" outlineLevel="0" collapsed="false">
      <c r="A541" s="12"/>
      <c r="B541" s="61"/>
      <c r="C541" s="61"/>
      <c r="D541" s="61"/>
      <c r="E541" s="62"/>
      <c r="F541" s="61"/>
      <c r="G541" s="61"/>
      <c r="H541" s="10"/>
      <c r="I541" s="12"/>
      <c r="J541" s="63"/>
      <c r="K541" s="10"/>
      <c r="L541" s="12"/>
      <c r="M541" s="12"/>
      <c r="N541" s="12"/>
      <c r="O541" s="12"/>
      <c r="P541" s="12"/>
      <c r="Q541" s="12"/>
      <c r="R541" s="12"/>
      <c r="S541" s="12"/>
      <c r="T541" s="12"/>
      <c r="U541" s="12"/>
    </row>
    <row r="542" customFormat="false" ht="15" hidden="false" customHeight="false" outlineLevel="0" collapsed="false">
      <c r="A542" s="12"/>
      <c r="B542" s="61"/>
      <c r="C542" s="61"/>
      <c r="D542" s="61"/>
      <c r="E542" s="62"/>
      <c r="F542" s="61"/>
      <c r="G542" s="61"/>
      <c r="H542" s="10"/>
      <c r="I542" s="12"/>
      <c r="J542" s="63"/>
      <c r="K542" s="10"/>
      <c r="L542" s="12"/>
      <c r="M542" s="12"/>
      <c r="N542" s="12"/>
      <c r="O542" s="12"/>
      <c r="P542" s="12"/>
      <c r="Q542" s="12"/>
      <c r="R542" s="12"/>
      <c r="S542" s="12"/>
      <c r="T542" s="12"/>
      <c r="U542" s="12"/>
    </row>
    <row r="543" customFormat="false" ht="15" hidden="false" customHeight="false" outlineLevel="0" collapsed="false">
      <c r="A543" s="12"/>
      <c r="B543" s="61"/>
      <c r="C543" s="61"/>
      <c r="D543" s="61"/>
      <c r="E543" s="62"/>
      <c r="F543" s="61"/>
      <c r="G543" s="61"/>
      <c r="H543" s="10"/>
      <c r="I543" s="12"/>
      <c r="J543" s="63"/>
      <c r="K543" s="10"/>
      <c r="L543" s="12"/>
      <c r="M543" s="12"/>
      <c r="N543" s="12"/>
      <c r="O543" s="12"/>
      <c r="P543" s="12"/>
      <c r="Q543" s="12"/>
      <c r="R543" s="12"/>
      <c r="S543" s="12"/>
      <c r="T543" s="12"/>
      <c r="U543" s="12"/>
    </row>
    <row r="544" customFormat="false" ht="15" hidden="false" customHeight="false" outlineLevel="0" collapsed="false">
      <c r="A544" s="12"/>
      <c r="B544" s="61"/>
      <c r="C544" s="61"/>
      <c r="D544" s="61"/>
      <c r="E544" s="62"/>
      <c r="F544" s="61"/>
      <c r="G544" s="61"/>
      <c r="H544" s="10"/>
      <c r="I544" s="12"/>
      <c r="J544" s="63"/>
      <c r="K544" s="10"/>
      <c r="L544" s="12"/>
      <c r="M544" s="12"/>
      <c r="N544" s="12"/>
      <c r="O544" s="12"/>
      <c r="P544" s="12"/>
      <c r="Q544" s="12"/>
      <c r="R544" s="12"/>
      <c r="S544" s="12"/>
      <c r="T544" s="12"/>
      <c r="U544" s="12"/>
    </row>
    <row r="545" customFormat="false" ht="15" hidden="false" customHeight="false" outlineLevel="0" collapsed="false">
      <c r="A545" s="12"/>
      <c r="B545" s="61"/>
      <c r="C545" s="61"/>
      <c r="D545" s="61"/>
      <c r="E545" s="62"/>
      <c r="F545" s="61"/>
      <c r="G545" s="61"/>
      <c r="H545" s="10"/>
      <c r="I545" s="12"/>
      <c r="J545" s="63"/>
      <c r="K545" s="10"/>
      <c r="L545" s="12"/>
      <c r="M545" s="12"/>
      <c r="N545" s="12"/>
      <c r="O545" s="12"/>
      <c r="P545" s="12"/>
      <c r="Q545" s="12"/>
      <c r="R545" s="12"/>
      <c r="S545" s="12"/>
      <c r="T545" s="12"/>
      <c r="U545" s="12"/>
    </row>
    <row r="546" customFormat="false" ht="15" hidden="false" customHeight="false" outlineLevel="0" collapsed="false">
      <c r="A546" s="12"/>
      <c r="B546" s="61"/>
      <c r="C546" s="61"/>
      <c r="D546" s="61"/>
      <c r="E546" s="62"/>
      <c r="F546" s="61"/>
      <c r="G546" s="61"/>
      <c r="H546" s="10"/>
      <c r="I546" s="12"/>
      <c r="J546" s="63"/>
      <c r="K546" s="10"/>
      <c r="L546" s="12"/>
      <c r="M546" s="12"/>
      <c r="N546" s="12"/>
      <c r="O546" s="12"/>
      <c r="P546" s="12"/>
      <c r="Q546" s="12"/>
      <c r="R546" s="12"/>
      <c r="S546" s="12"/>
      <c r="T546" s="12"/>
      <c r="U546" s="12"/>
    </row>
    <row r="547" customFormat="false" ht="15" hidden="false" customHeight="false" outlineLevel="0" collapsed="false">
      <c r="A547" s="12"/>
      <c r="B547" s="61"/>
      <c r="C547" s="61"/>
      <c r="D547" s="61"/>
      <c r="E547" s="62"/>
      <c r="F547" s="61"/>
      <c r="G547" s="61"/>
      <c r="H547" s="10"/>
      <c r="I547" s="12"/>
      <c r="J547" s="63"/>
      <c r="K547" s="10"/>
      <c r="L547" s="12"/>
      <c r="M547" s="12"/>
      <c r="N547" s="12"/>
      <c r="O547" s="12"/>
      <c r="P547" s="12"/>
      <c r="Q547" s="12"/>
      <c r="R547" s="12"/>
      <c r="S547" s="12"/>
      <c r="T547" s="12"/>
      <c r="U547" s="12"/>
    </row>
    <row r="548" customFormat="false" ht="15" hidden="false" customHeight="false" outlineLevel="0" collapsed="false">
      <c r="A548" s="12"/>
      <c r="B548" s="61"/>
      <c r="C548" s="61"/>
      <c r="D548" s="61"/>
      <c r="E548" s="62"/>
      <c r="F548" s="61"/>
      <c r="G548" s="61"/>
      <c r="H548" s="10"/>
      <c r="I548" s="12"/>
      <c r="J548" s="63"/>
      <c r="K548" s="10"/>
      <c r="L548" s="12"/>
      <c r="M548" s="12"/>
      <c r="N548" s="12"/>
      <c r="O548" s="12"/>
      <c r="P548" s="12"/>
      <c r="Q548" s="12"/>
      <c r="R548" s="12"/>
      <c r="S548" s="12"/>
      <c r="T548" s="12"/>
      <c r="U548" s="12"/>
    </row>
    <row r="549" customFormat="false" ht="15" hidden="false" customHeight="false" outlineLevel="0" collapsed="false">
      <c r="A549" s="12"/>
      <c r="B549" s="61"/>
      <c r="C549" s="61"/>
      <c r="D549" s="61"/>
      <c r="E549" s="62"/>
      <c r="F549" s="61"/>
      <c r="G549" s="61"/>
      <c r="H549" s="10"/>
      <c r="I549" s="12"/>
      <c r="J549" s="63"/>
      <c r="K549" s="10"/>
      <c r="L549" s="12"/>
      <c r="M549" s="12"/>
      <c r="N549" s="12"/>
      <c r="O549" s="12"/>
      <c r="P549" s="12"/>
      <c r="Q549" s="12"/>
      <c r="R549" s="12"/>
      <c r="S549" s="12"/>
      <c r="T549" s="12"/>
      <c r="U549" s="12"/>
    </row>
    <row r="550" customFormat="false" ht="15" hidden="false" customHeight="false" outlineLevel="0" collapsed="false">
      <c r="A550" s="12"/>
      <c r="B550" s="61"/>
      <c r="C550" s="61"/>
      <c r="D550" s="61"/>
      <c r="E550" s="62"/>
      <c r="F550" s="61"/>
      <c r="G550" s="61"/>
      <c r="H550" s="10"/>
      <c r="I550" s="12"/>
      <c r="J550" s="63"/>
      <c r="K550" s="10"/>
      <c r="L550" s="12"/>
      <c r="M550" s="12"/>
      <c r="N550" s="12"/>
      <c r="O550" s="12"/>
      <c r="P550" s="12"/>
      <c r="Q550" s="12"/>
      <c r="R550" s="12"/>
      <c r="S550" s="12"/>
      <c r="T550" s="12"/>
      <c r="U550" s="12"/>
    </row>
    <row r="551" customFormat="false" ht="15" hidden="false" customHeight="false" outlineLevel="0" collapsed="false">
      <c r="A551" s="12"/>
      <c r="B551" s="61"/>
      <c r="C551" s="61"/>
      <c r="D551" s="61"/>
      <c r="E551" s="62"/>
      <c r="F551" s="61"/>
      <c r="G551" s="61"/>
      <c r="H551" s="10"/>
      <c r="I551" s="12"/>
      <c r="J551" s="63"/>
      <c r="K551" s="10"/>
      <c r="L551" s="12"/>
      <c r="M551" s="12"/>
      <c r="N551" s="12"/>
      <c r="O551" s="12"/>
      <c r="P551" s="12"/>
      <c r="Q551" s="12"/>
      <c r="R551" s="12"/>
      <c r="S551" s="12"/>
      <c r="T551" s="12"/>
      <c r="U551" s="12"/>
    </row>
    <row r="552" customFormat="false" ht="15" hidden="false" customHeight="false" outlineLevel="0" collapsed="false">
      <c r="A552" s="12"/>
      <c r="B552" s="61"/>
      <c r="C552" s="61"/>
      <c r="D552" s="61"/>
      <c r="E552" s="62"/>
      <c r="F552" s="61"/>
      <c r="G552" s="61"/>
      <c r="H552" s="10"/>
      <c r="I552" s="12"/>
      <c r="J552" s="63"/>
      <c r="K552" s="10"/>
      <c r="L552" s="12"/>
      <c r="M552" s="12"/>
      <c r="N552" s="12"/>
      <c r="O552" s="12"/>
      <c r="P552" s="12"/>
      <c r="Q552" s="12"/>
      <c r="R552" s="12"/>
      <c r="S552" s="12"/>
      <c r="T552" s="12"/>
      <c r="U552" s="12"/>
    </row>
    <row r="553" customFormat="false" ht="15" hidden="false" customHeight="false" outlineLevel="0" collapsed="false">
      <c r="A553" s="12"/>
      <c r="B553" s="61"/>
      <c r="C553" s="61"/>
      <c r="D553" s="61"/>
      <c r="E553" s="62"/>
      <c r="F553" s="61"/>
      <c r="G553" s="61"/>
      <c r="H553" s="10"/>
      <c r="I553" s="12"/>
      <c r="J553" s="63"/>
      <c r="K553" s="10"/>
      <c r="L553" s="12"/>
      <c r="M553" s="12"/>
      <c r="N553" s="12"/>
      <c r="O553" s="12"/>
      <c r="P553" s="12"/>
      <c r="Q553" s="12"/>
      <c r="R553" s="12"/>
      <c r="S553" s="12"/>
      <c r="T553" s="12"/>
      <c r="U553" s="12"/>
    </row>
    <row r="554" customFormat="false" ht="15" hidden="false" customHeight="false" outlineLevel="0" collapsed="false">
      <c r="A554" s="12"/>
      <c r="B554" s="61"/>
      <c r="C554" s="61"/>
      <c r="D554" s="61"/>
      <c r="E554" s="62"/>
      <c r="F554" s="61"/>
      <c r="G554" s="61"/>
      <c r="H554" s="10"/>
      <c r="I554" s="12"/>
      <c r="J554" s="63"/>
      <c r="K554" s="10"/>
      <c r="L554" s="12"/>
      <c r="M554" s="12"/>
      <c r="N554" s="12"/>
      <c r="O554" s="12"/>
      <c r="P554" s="12"/>
      <c r="Q554" s="12"/>
      <c r="R554" s="12"/>
      <c r="S554" s="12"/>
      <c r="T554" s="12"/>
      <c r="U554" s="12"/>
    </row>
    <row r="555" customFormat="false" ht="15" hidden="false" customHeight="false" outlineLevel="0" collapsed="false">
      <c r="A555" s="12"/>
      <c r="B555" s="61"/>
      <c r="C555" s="61"/>
      <c r="D555" s="61"/>
      <c r="E555" s="62"/>
      <c r="F555" s="61"/>
      <c r="G555" s="61"/>
      <c r="H555" s="10"/>
      <c r="I555" s="12"/>
      <c r="J555" s="63"/>
      <c r="K555" s="10"/>
      <c r="L555" s="12"/>
      <c r="M555" s="12"/>
      <c r="N555" s="12"/>
      <c r="O555" s="12"/>
      <c r="P555" s="12"/>
      <c r="Q555" s="12"/>
      <c r="R555" s="12"/>
      <c r="S555" s="12"/>
      <c r="T555" s="12"/>
      <c r="U555" s="12"/>
    </row>
    <row r="556" customFormat="false" ht="15" hidden="false" customHeight="false" outlineLevel="0" collapsed="false">
      <c r="A556" s="12"/>
      <c r="B556" s="61"/>
      <c r="C556" s="61"/>
      <c r="D556" s="61"/>
      <c r="E556" s="62"/>
      <c r="F556" s="61"/>
      <c r="G556" s="61"/>
      <c r="H556" s="10"/>
      <c r="I556" s="12"/>
      <c r="J556" s="63"/>
      <c r="K556" s="10"/>
      <c r="L556" s="12"/>
      <c r="M556" s="12"/>
      <c r="N556" s="12"/>
      <c r="O556" s="12"/>
      <c r="P556" s="12"/>
      <c r="Q556" s="12"/>
      <c r="R556" s="12"/>
      <c r="S556" s="12"/>
      <c r="T556" s="12"/>
      <c r="U556" s="12"/>
    </row>
    <row r="557" customFormat="false" ht="15" hidden="false" customHeight="false" outlineLevel="0" collapsed="false">
      <c r="A557" s="12"/>
      <c r="B557" s="61"/>
      <c r="C557" s="61"/>
      <c r="D557" s="61"/>
      <c r="E557" s="62"/>
      <c r="F557" s="61"/>
      <c r="G557" s="61"/>
      <c r="H557" s="10"/>
      <c r="I557" s="12"/>
      <c r="J557" s="63"/>
      <c r="K557" s="10"/>
      <c r="L557" s="12"/>
      <c r="M557" s="12"/>
      <c r="N557" s="12"/>
      <c r="O557" s="12"/>
      <c r="P557" s="12"/>
      <c r="Q557" s="12"/>
      <c r="R557" s="12"/>
      <c r="S557" s="12"/>
      <c r="T557" s="12"/>
      <c r="U557" s="12"/>
    </row>
    <row r="558" customFormat="false" ht="15" hidden="false" customHeight="false" outlineLevel="0" collapsed="false">
      <c r="A558" s="12"/>
      <c r="B558" s="61"/>
      <c r="C558" s="61"/>
      <c r="D558" s="61"/>
      <c r="E558" s="62"/>
      <c r="F558" s="61"/>
      <c r="G558" s="61"/>
      <c r="H558" s="10"/>
      <c r="I558" s="12"/>
      <c r="J558" s="63"/>
      <c r="K558" s="10"/>
      <c r="L558" s="12"/>
      <c r="M558" s="12"/>
      <c r="N558" s="12"/>
      <c r="O558" s="12"/>
      <c r="P558" s="12"/>
      <c r="Q558" s="12"/>
      <c r="R558" s="12"/>
      <c r="S558" s="12"/>
      <c r="T558" s="12"/>
      <c r="U558" s="12"/>
    </row>
    <row r="559" customFormat="false" ht="15" hidden="false" customHeight="false" outlineLevel="0" collapsed="false">
      <c r="A559" s="12"/>
      <c r="B559" s="61"/>
      <c r="C559" s="61"/>
      <c r="D559" s="61"/>
      <c r="E559" s="62"/>
      <c r="F559" s="61"/>
      <c r="G559" s="61"/>
      <c r="H559" s="10"/>
      <c r="I559" s="12"/>
      <c r="J559" s="63"/>
      <c r="K559" s="10"/>
      <c r="L559" s="12"/>
      <c r="M559" s="12"/>
      <c r="N559" s="12"/>
      <c r="O559" s="12"/>
      <c r="P559" s="12"/>
      <c r="Q559" s="12"/>
      <c r="R559" s="12"/>
      <c r="S559" s="12"/>
      <c r="T559" s="12"/>
      <c r="U559" s="12"/>
    </row>
    <row r="560" customFormat="false" ht="15" hidden="false" customHeight="false" outlineLevel="0" collapsed="false">
      <c r="A560" s="12"/>
      <c r="B560" s="61"/>
      <c r="C560" s="61"/>
      <c r="D560" s="61"/>
      <c r="E560" s="62"/>
      <c r="F560" s="61"/>
      <c r="G560" s="61"/>
      <c r="H560" s="10"/>
      <c r="I560" s="12"/>
      <c r="J560" s="63"/>
      <c r="K560" s="10"/>
      <c r="L560" s="12"/>
      <c r="M560" s="12"/>
      <c r="N560" s="12"/>
      <c r="O560" s="12"/>
      <c r="P560" s="12"/>
      <c r="Q560" s="12"/>
      <c r="R560" s="12"/>
      <c r="S560" s="12"/>
      <c r="T560" s="12"/>
      <c r="U560" s="12"/>
    </row>
    <row r="561" customFormat="false" ht="15" hidden="false" customHeight="false" outlineLevel="0" collapsed="false">
      <c r="A561" s="12"/>
      <c r="B561" s="61"/>
      <c r="C561" s="61"/>
      <c r="D561" s="61"/>
      <c r="E561" s="62"/>
      <c r="F561" s="61"/>
      <c r="G561" s="61"/>
      <c r="H561" s="10"/>
      <c r="I561" s="12"/>
      <c r="J561" s="63"/>
      <c r="K561" s="10"/>
      <c r="L561" s="12"/>
      <c r="M561" s="12"/>
      <c r="N561" s="12"/>
      <c r="O561" s="12"/>
      <c r="P561" s="12"/>
      <c r="Q561" s="12"/>
      <c r="R561" s="12"/>
      <c r="S561" s="12"/>
      <c r="T561" s="12"/>
      <c r="U561" s="12"/>
    </row>
    <row r="562" customFormat="false" ht="15" hidden="false" customHeight="false" outlineLevel="0" collapsed="false">
      <c r="A562" s="12"/>
      <c r="B562" s="61"/>
      <c r="C562" s="61"/>
      <c r="D562" s="61"/>
      <c r="E562" s="62"/>
      <c r="F562" s="61"/>
      <c r="G562" s="61"/>
      <c r="H562" s="10"/>
      <c r="I562" s="12"/>
      <c r="J562" s="63"/>
      <c r="K562" s="10"/>
      <c r="L562" s="12"/>
      <c r="M562" s="12"/>
      <c r="N562" s="12"/>
      <c r="O562" s="12"/>
      <c r="P562" s="12"/>
      <c r="Q562" s="12"/>
      <c r="R562" s="12"/>
      <c r="S562" s="12"/>
      <c r="T562" s="12"/>
      <c r="U562" s="12"/>
    </row>
    <row r="563" customFormat="false" ht="15" hidden="false" customHeight="false" outlineLevel="0" collapsed="false">
      <c r="A563" s="12"/>
      <c r="B563" s="61"/>
      <c r="C563" s="61"/>
      <c r="D563" s="61"/>
      <c r="E563" s="62"/>
      <c r="F563" s="61"/>
      <c r="G563" s="61"/>
      <c r="H563" s="10"/>
      <c r="I563" s="12"/>
      <c r="J563" s="63"/>
      <c r="K563" s="10"/>
      <c r="L563" s="12"/>
      <c r="M563" s="12"/>
      <c r="N563" s="12"/>
      <c r="O563" s="12"/>
      <c r="P563" s="12"/>
      <c r="Q563" s="12"/>
      <c r="R563" s="12"/>
      <c r="S563" s="12"/>
      <c r="T563" s="12"/>
      <c r="U563" s="12"/>
    </row>
    <row r="564" customFormat="false" ht="15" hidden="false" customHeight="false" outlineLevel="0" collapsed="false">
      <c r="A564" s="12"/>
      <c r="B564" s="61"/>
      <c r="C564" s="61"/>
      <c r="D564" s="61"/>
      <c r="E564" s="62"/>
      <c r="F564" s="61"/>
      <c r="G564" s="61"/>
      <c r="H564" s="10"/>
      <c r="I564" s="12"/>
      <c r="J564" s="63"/>
      <c r="K564" s="10"/>
      <c r="L564" s="12"/>
      <c r="M564" s="12"/>
      <c r="N564" s="12"/>
      <c r="O564" s="12"/>
      <c r="P564" s="12"/>
      <c r="Q564" s="12"/>
      <c r="R564" s="12"/>
      <c r="S564" s="12"/>
      <c r="T564" s="12"/>
      <c r="U564" s="12"/>
    </row>
    <row r="565" customFormat="false" ht="15" hidden="false" customHeight="false" outlineLevel="0" collapsed="false">
      <c r="A565" s="12"/>
      <c r="B565" s="61"/>
      <c r="C565" s="61"/>
      <c r="D565" s="61"/>
      <c r="E565" s="62"/>
      <c r="F565" s="61"/>
      <c r="G565" s="61"/>
      <c r="H565" s="10"/>
      <c r="I565" s="12"/>
      <c r="J565" s="63"/>
      <c r="K565" s="10"/>
      <c r="L565" s="12"/>
      <c r="M565" s="12"/>
      <c r="N565" s="12"/>
      <c r="O565" s="12"/>
      <c r="P565" s="12"/>
      <c r="Q565" s="12"/>
      <c r="R565" s="12"/>
      <c r="S565" s="12"/>
      <c r="T565" s="12"/>
      <c r="U565" s="12"/>
    </row>
    <row r="566" customFormat="false" ht="15" hidden="false" customHeight="false" outlineLevel="0" collapsed="false">
      <c r="A566" s="12"/>
      <c r="B566" s="61"/>
      <c r="C566" s="61"/>
      <c r="D566" s="61"/>
      <c r="E566" s="62"/>
      <c r="F566" s="61"/>
      <c r="G566" s="61"/>
      <c r="H566" s="10"/>
      <c r="I566" s="12"/>
      <c r="J566" s="63"/>
      <c r="K566" s="10"/>
      <c r="L566" s="12"/>
      <c r="M566" s="12"/>
      <c r="N566" s="12"/>
      <c r="O566" s="12"/>
      <c r="P566" s="12"/>
      <c r="Q566" s="12"/>
      <c r="R566" s="12"/>
      <c r="S566" s="12"/>
      <c r="T566" s="12"/>
      <c r="U566" s="12"/>
    </row>
    <row r="567" customFormat="false" ht="15" hidden="false" customHeight="false" outlineLevel="0" collapsed="false">
      <c r="A567" s="12"/>
      <c r="B567" s="61"/>
      <c r="C567" s="61"/>
      <c r="D567" s="61"/>
      <c r="E567" s="62"/>
      <c r="F567" s="61"/>
      <c r="G567" s="61"/>
      <c r="H567" s="10"/>
      <c r="I567" s="12"/>
      <c r="J567" s="63"/>
      <c r="K567" s="10"/>
      <c r="L567" s="12"/>
      <c r="M567" s="12"/>
      <c r="N567" s="12"/>
      <c r="O567" s="12"/>
      <c r="P567" s="12"/>
      <c r="Q567" s="12"/>
      <c r="R567" s="12"/>
      <c r="S567" s="12"/>
      <c r="T567" s="12"/>
      <c r="U567" s="12"/>
    </row>
    <row r="568" customFormat="false" ht="15" hidden="false" customHeight="false" outlineLevel="0" collapsed="false">
      <c r="A568" s="12"/>
      <c r="B568" s="61"/>
      <c r="C568" s="61"/>
      <c r="D568" s="61"/>
      <c r="E568" s="62"/>
      <c r="F568" s="61"/>
      <c r="G568" s="61"/>
      <c r="H568" s="10"/>
      <c r="I568" s="12"/>
      <c r="J568" s="63"/>
      <c r="K568" s="10"/>
      <c r="L568" s="12"/>
      <c r="M568" s="12"/>
      <c r="N568" s="12"/>
      <c r="O568" s="12"/>
      <c r="P568" s="12"/>
      <c r="Q568" s="12"/>
      <c r="R568" s="12"/>
      <c r="S568" s="12"/>
      <c r="T568" s="12"/>
      <c r="U568" s="12"/>
    </row>
    <row r="569" customFormat="false" ht="15" hidden="false" customHeight="false" outlineLevel="0" collapsed="false">
      <c r="A569" s="12"/>
      <c r="B569" s="61"/>
      <c r="C569" s="61"/>
      <c r="D569" s="61"/>
      <c r="E569" s="62"/>
      <c r="F569" s="61"/>
      <c r="G569" s="61"/>
      <c r="H569" s="10"/>
      <c r="I569" s="12"/>
      <c r="J569" s="63"/>
      <c r="K569" s="10"/>
      <c r="L569" s="12"/>
      <c r="M569" s="12"/>
      <c r="N569" s="12"/>
      <c r="O569" s="12"/>
      <c r="P569" s="12"/>
      <c r="Q569" s="12"/>
      <c r="R569" s="12"/>
      <c r="S569" s="12"/>
      <c r="T569" s="12"/>
      <c r="U569" s="12"/>
    </row>
    <row r="570" customFormat="false" ht="15" hidden="false" customHeight="false" outlineLevel="0" collapsed="false">
      <c r="A570" s="12"/>
      <c r="B570" s="61"/>
      <c r="C570" s="61"/>
      <c r="D570" s="61"/>
      <c r="E570" s="62"/>
      <c r="F570" s="61"/>
      <c r="G570" s="61"/>
      <c r="H570" s="10"/>
      <c r="I570" s="12"/>
      <c r="J570" s="63"/>
      <c r="K570" s="10"/>
      <c r="L570" s="12"/>
      <c r="M570" s="12"/>
      <c r="N570" s="12"/>
      <c r="O570" s="12"/>
      <c r="P570" s="12"/>
      <c r="Q570" s="12"/>
      <c r="R570" s="12"/>
      <c r="S570" s="12"/>
      <c r="T570" s="12"/>
      <c r="U570" s="12"/>
    </row>
    <row r="571" customFormat="false" ht="15" hidden="false" customHeight="false" outlineLevel="0" collapsed="false">
      <c r="A571" s="12"/>
      <c r="B571" s="61"/>
      <c r="C571" s="61"/>
      <c r="D571" s="61"/>
      <c r="E571" s="62"/>
      <c r="F571" s="61"/>
      <c r="G571" s="61"/>
      <c r="H571" s="10"/>
      <c r="I571" s="12"/>
      <c r="J571" s="63"/>
      <c r="K571" s="10"/>
      <c r="L571" s="12"/>
      <c r="M571" s="12"/>
      <c r="N571" s="12"/>
      <c r="O571" s="12"/>
      <c r="P571" s="12"/>
      <c r="Q571" s="12"/>
      <c r="R571" s="12"/>
      <c r="S571" s="12"/>
      <c r="T571" s="12"/>
      <c r="U571" s="12"/>
    </row>
    <row r="572" customFormat="false" ht="15" hidden="false" customHeight="false" outlineLevel="0" collapsed="false">
      <c r="A572" s="12"/>
      <c r="B572" s="61"/>
      <c r="C572" s="61"/>
      <c r="D572" s="61"/>
      <c r="E572" s="62"/>
      <c r="F572" s="61"/>
      <c r="G572" s="61"/>
      <c r="H572" s="10"/>
      <c r="I572" s="12"/>
      <c r="J572" s="63"/>
      <c r="K572" s="10"/>
      <c r="L572" s="12"/>
      <c r="M572" s="12"/>
      <c r="N572" s="12"/>
      <c r="O572" s="12"/>
      <c r="P572" s="12"/>
      <c r="Q572" s="12"/>
      <c r="R572" s="12"/>
      <c r="S572" s="12"/>
      <c r="T572" s="12"/>
      <c r="U572" s="12"/>
    </row>
    <row r="573" customFormat="false" ht="15" hidden="false" customHeight="false" outlineLevel="0" collapsed="false">
      <c r="A573" s="12"/>
      <c r="B573" s="61"/>
      <c r="C573" s="61"/>
      <c r="D573" s="61"/>
      <c r="E573" s="62"/>
      <c r="F573" s="61"/>
      <c r="G573" s="61"/>
      <c r="H573" s="10"/>
      <c r="I573" s="12"/>
      <c r="J573" s="63"/>
      <c r="K573" s="10"/>
      <c r="L573" s="12"/>
      <c r="M573" s="12"/>
      <c r="N573" s="12"/>
      <c r="O573" s="12"/>
      <c r="P573" s="12"/>
      <c r="Q573" s="12"/>
      <c r="R573" s="12"/>
      <c r="S573" s="12"/>
      <c r="T573" s="12"/>
      <c r="U573" s="12"/>
    </row>
    <row r="574" customFormat="false" ht="15" hidden="false" customHeight="false" outlineLevel="0" collapsed="false">
      <c r="A574" s="12"/>
      <c r="B574" s="61"/>
      <c r="C574" s="61"/>
      <c r="D574" s="61"/>
      <c r="E574" s="62"/>
      <c r="F574" s="61"/>
      <c r="G574" s="61"/>
      <c r="H574" s="10"/>
      <c r="I574" s="12"/>
      <c r="J574" s="63"/>
      <c r="K574" s="10"/>
      <c r="L574" s="12"/>
      <c r="M574" s="12"/>
      <c r="N574" s="12"/>
      <c r="O574" s="12"/>
      <c r="P574" s="12"/>
      <c r="Q574" s="12"/>
      <c r="R574" s="12"/>
      <c r="S574" s="12"/>
      <c r="T574" s="12"/>
      <c r="U574" s="12"/>
    </row>
    <row r="575" customFormat="false" ht="15" hidden="false" customHeight="false" outlineLevel="0" collapsed="false">
      <c r="A575" s="12"/>
      <c r="B575" s="61"/>
      <c r="C575" s="61"/>
      <c r="D575" s="61"/>
      <c r="E575" s="62"/>
      <c r="F575" s="61"/>
      <c r="G575" s="61"/>
      <c r="H575" s="10"/>
      <c r="I575" s="12"/>
      <c r="J575" s="63"/>
      <c r="K575" s="10"/>
      <c r="L575" s="12"/>
      <c r="M575" s="12"/>
      <c r="N575" s="12"/>
      <c r="O575" s="12"/>
      <c r="P575" s="12"/>
      <c r="Q575" s="12"/>
      <c r="R575" s="12"/>
      <c r="S575" s="12"/>
      <c r="T575" s="12"/>
      <c r="U575" s="12"/>
    </row>
    <row r="576" customFormat="false" ht="15" hidden="false" customHeight="false" outlineLevel="0" collapsed="false">
      <c r="A576" s="12"/>
      <c r="B576" s="61"/>
      <c r="C576" s="61"/>
      <c r="D576" s="61"/>
      <c r="E576" s="62"/>
      <c r="F576" s="61"/>
      <c r="G576" s="61"/>
      <c r="H576" s="10"/>
      <c r="I576" s="12"/>
      <c r="J576" s="63"/>
      <c r="K576" s="10"/>
      <c r="L576" s="12"/>
      <c r="M576" s="12"/>
      <c r="N576" s="12"/>
      <c r="O576" s="12"/>
      <c r="P576" s="12"/>
      <c r="Q576" s="12"/>
      <c r="R576" s="12"/>
      <c r="S576" s="12"/>
      <c r="T576" s="12"/>
      <c r="U576" s="12"/>
    </row>
    <row r="577" customFormat="false" ht="15" hidden="false" customHeight="false" outlineLevel="0" collapsed="false">
      <c r="A577" s="12"/>
      <c r="B577" s="61"/>
      <c r="C577" s="61"/>
      <c r="D577" s="61"/>
      <c r="E577" s="62"/>
      <c r="F577" s="61"/>
      <c r="G577" s="61"/>
      <c r="H577" s="10"/>
      <c r="I577" s="12"/>
      <c r="J577" s="63"/>
      <c r="K577" s="10"/>
      <c r="L577" s="12"/>
      <c r="M577" s="12"/>
      <c r="N577" s="12"/>
      <c r="O577" s="12"/>
      <c r="P577" s="12"/>
      <c r="Q577" s="12"/>
      <c r="R577" s="12"/>
      <c r="S577" s="12"/>
      <c r="T577" s="12"/>
      <c r="U577" s="12"/>
    </row>
    <row r="578" customFormat="false" ht="15" hidden="false" customHeight="false" outlineLevel="0" collapsed="false">
      <c r="A578" s="12"/>
      <c r="B578" s="61"/>
      <c r="C578" s="61"/>
      <c r="D578" s="61"/>
      <c r="E578" s="62"/>
      <c r="F578" s="61"/>
      <c r="G578" s="61"/>
      <c r="H578" s="10"/>
      <c r="I578" s="12"/>
      <c r="J578" s="63"/>
      <c r="K578" s="10"/>
      <c r="L578" s="12"/>
      <c r="M578" s="12"/>
      <c r="N578" s="12"/>
      <c r="O578" s="12"/>
      <c r="P578" s="12"/>
      <c r="Q578" s="12"/>
      <c r="R578" s="12"/>
      <c r="S578" s="12"/>
      <c r="T578" s="12"/>
      <c r="U578" s="12"/>
    </row>
    <row r="579" customFormat="false" ht="15" hidden="false" customHeight="false" outlineLevel="0" collapsed="false">
      <c r="A579" s="12"/>
      <c r="B579" s="61"/>
      <c r="C579" s="61"/>
      <c r="D579" s="61"/>
      <c r="E579" s="62"/>
      <c r="F579" s="61"/>
      <c r="G579" s="61"/>
      <c r="H579" s="10"/>
      <c r="I579" s="12"/>
      <c r="J579" s="63"/>
      <c r="K579" s="10"/>
      <c r="L579" s="12"/>
      <c r="M579" s="12"/>
      <c r="N579" s="12"/>
      <c r="O579" s="12"/>
      <c r="P579" s="12"/>
      <c r="Q579" s="12"/>
      <c r="R579" s="12"/>
      <c r="S579" s="12"/>
      <c r="T579" s="12"/>
      <c r="U579" s="12"/>
    </row>
    <row r="580" customFormat="false" ht="15" hidden="false" customHeight="false" outlineLevel="0" collapsed="false">
      <c r="A580" s="12"/>
      <c r="B580" s="61"/>
      <c r="C580" s="61"/>
      <c r="D580" s="61"/>
      <c r="E580" s="62"/>
      <c r="F580" s="61"/>
      <c r="G580" s="61"/>
      <c r="H580" s="10"/>
      <c r="I580" s="12"/>
      <c r="J580" s="63"/>
      <c r="K580" s="10"/>
      <c r="L580" s="12"/>
      <c r="M580" s="12"/>
      <c r="N580" s="12"/>
      <c r="O580" s="12"/>
      <c r="P580" s="12"/>
      <c r="Q580" s="12"/>
      <c r="R580" s="12"/>
      <c r="S580" s="12"/>
      <c r="T580" s="12"/>
      <c r="U580" s="12"/>
    </row>
    <row r="581" customFormat="false" ht="15" hidden="false" customHeight="false" outlineLevel="0" collapsed="false">
      <c r="A581" s="12"/>
      <c r="B581" s="61"/>
      <c r="C581" s="61"/>
      <c r="D581" s="61"/>
      <c r="E581" s="62"/>
      <c r="F581" s="61"/>
      <c r="G581" s="61"/>
      <c r="H581" s="10"/>
      <c r="I581" s="12"/>
      <c r="J581" s="63"/>
      <c r="K581" s="10"/>
      <c r="L581" s="12"/>
      <c r="M581" s="12"/>
      <c r="N581" s="12"/>
      <c r="O581" s="12"/>
      <c r="P581" s="12"/>
      <c r="Q581" s="12"/>
      <c r="R581" s="12"/>
      <c r="S581" s="12"/>
      <c r="T581" s="12"/>
      <c r="U581" s="12"/>
    </row>
    <row r="582" customFormat="false" ht="15" hidden="false" customHeight="false" outlineLevel="0" collapsed="false">
      <c r="A582" s="12"/>
      <c r="B582" s="61"/>
      <c r="C582" s="61"/>
      <c r="D582" s="61"/>
      <c r="E582" s="62"/>
      <c r="F582" s="61"/>
      <c r="G582" s="61"/>
      <c r="H582" s="10"/>
      <c r="I582" s="12"/>
      <c r="J582" s="63"/>
      <c r="K582" s="10"/>
      <c r="L582" s="12"/>
      <c r="M582" s="12"/>
      <c r="N582" s="12"/>
      <c r="O582" s="12"/>
      <c r="P582" s="12"/>
      <c r="Q582" s="12"/>
      <c r="R582" s="12"/>
      <c r="S582" s="12"/>
      <c r="T582" s="12"/>
      <c r="U582" s="12"/>
    </row>
    <row r="583" customFormat="false" ht="15" hidden="false" customHeight="false" outlineLevel="0" collapsed="false">
      <c r="A583" s="12"/>
      <c r="B583" s="61"/>
      <c r="C583" s="61"/>
      <c r="D583" s="61"/>
      <c r="E583" s="62"/>
      <c r="F583" s="61"/>
      <c r="G583" s="61"/>
      <c r="H583" s="10"/>
      <c r="I583" s="12"/>
      <c r="J583" s="63"/>
      <c r="K583" s="10"/>
      <c r="L583" s="12"/>
      <c r="M583" s="12"/>
      <c r="N583" s="12"/>
      <c r="O583" s="12"/>
      <c r="P583" s="12"/>
      <c r="Q583" s="12"/>
      <c r="R583" s="12"/>
      <c r="S583" s="12"/>
      <c r="T583" s="12"/>
      <c r="U583" s="12"/>
    </row>
    <row r="584" customFormat="false" ht="15" hidden="false" customHeight="false" outlineLevel="0" collapsed="false">
      <c r="A584" s="12"/>
      <c r="B584" s="61"/>
      <c r="C584" s="61"/>
      <c r="D584" s="61"/>
      <c r="E584" s="62"/>
      <c r="F584" s="61"/>
      <c r="G584" s="61"/>
      <c r="H584" s="10"/>
      <c r="I584" s="12"/>
      <c r="J584" s="63"/>
      <c r="K584" s="10"/>
      <c r="L584" s="12"/>
      <c r="M584" s="12"/>
      <c r="N584" s="12"/>
      <c r="O584" s="12"/>
      <c r="P584" s="12"/>
      <c r="Q584" s="12"/>
      <c r="R584" s="12"/>
      <c r="S584" s="12"/>
      <c r="T584" s="12"/>
      <c r="U584" s="12"/>
    </row>
    <row r="585" customFormat="false" ht="15" hidden="false" customHeight="false" outlineLevel="0" collapsed="false">
      <c r="A585" s="12"/>
      <c r="B585" s="61"/>
      <c r="C585" s="61"/>
      <c r="D585" s="61"/>
      <c r="E585" s="62"/>
      <c r="F585" s="61"/>
      <c r="G585" s="61"/>
      <c r="H585" s="10"/>
      <c r="I585" s="12"/>
      <c r="J585" s="63"/>
      <c r="K585" s="10"/>
      <c r="L585" s="12"/>
      <c r="M585" s="12"/>
      <c r="N585" s="12"/>
      <c r="O585" s="12"/>
      <c r="P585" s="12"/>
      <c r="Q585" s="12"/>
      <c r="R585" s="12"/>
      <c r="S585" s="12"/>
      <c r="T585" s="12"/>
      <c r="U585" s="12"/>
    </row>
    <row r="586" customFormat="false" ht="15" hidden="false" customHeight="false" outlineLevel="0" collapsed="false">
      <c r="A586" s="12"/>
      <c r="B586" s="61"/>
      <c r="C586" s="61"/>
      <c r="D586" s="61"/>
      <c r="E586" s="62"/>
      <c r="F586" s="61"/>
      <c r="G586" s="61"/>
      <c r="H586" s="10"/>
      <c r="I586" s="12"/>
      <c r="J586" s="63"/>
      <c r="K586" s="10"/>
      <c r="L586" s="12"/>
      <c r="M586" s="12"/>
      <c r="N586" s="12"/>
      <c r="O586" s="12"/>
      <c r="P586" s="12"/>
      <c r="Q586" s="12"/>
      <c r="R586" s="12"/>
      <c r="S586" s="12"/>
      <c r="T586" s="12"/>
      <c r="U586" s="12"/>
    </row>
    <row r="587" customFormat="false" ht="15" hidden="false" customHeight="false" outlineLevel="0" collapsed="false">
      <c r="A587" s="12"/>
      <c r="B587" s="61"/>
      <c r="C587" s="61"/>
      <c r="D587" s="61"/>
      <c r="E587" s="62"/>
      <c r="F587" s="61"/>
      <c r="G587" s="61"/>
      <c r="H587" s="10"/>
      <c r="I587" s="12"/>
      <c r="J587" s="63"/>
      <c r="K587" s="10"/>
      <c r="L587" s="12"/>
      <c r="M587" s="12"/>
      <c r="N587" s="12"/>
      <c r="O587" s="12"/>
      <c r="P587" s="12"/>
      <c r="Q587" s="12"/>
      <c r="R587" s="12"/>
      <c r="S587" s="12"/>
      <c r="T587" s="12"/>
      <c r="U587" s="12"/>
    </row>
    <row r="588" customFormat="false" ht="15" hidden="false" customHeight="false" outlineLevel="0" collapsed="false">
      <c r="A588" s="12"/>
      <c r="B588" s="61"/>
      <c r="C588" s="61"/>
      <c r="D588" s="61"/>
      <c r="E588" s="62"/>
      <c r="F588" s="61"/>
      <c r="G588" s="61"/>
      <c r="H588" s="10"/>
      <c r="I588" s="12"/>
      <c r="J588" s="63"/>
      <c r="K588" s="10"/>
      <c r="L588" s="12"/>
      <c r="M588" s="12"/>
      <c r="N588" s="12"/>
      <c r="O588" s="12"/>
      <c r="P588" s="12"/>
      <c r="Q588" s="12"/>
      <c r="R588" s="12"/>
      <c r="S588" s="12"/>
      <c r="T588" s="12"/>
      <c r="U588" s="12"/>
    </row>
    <row r="589" customFormat="false" ht="15" hidden="false" customHeight="false" outlineLevel="0" collapsed="false">
      <c r="A589" s="12"/>
      <c r="B589" s="61"/>
      <c r="C589" s="61"/>
      <c r="D589" s="61"/>
      <c r="E589" s="62"/>
      <c r="F589" s="61"/>
      <c r="G589" s="61"/>
      <c r="H589" s="10"/>
      <c r="I589" s="12"/>
      <c r="J589" s="63"/>
      <c r="K589" s="10"/>
      <c r="L589" s="12"/>
      <c r="M589" s="12"/>
      <c r="N589" s="12"/>
      <c r="O589" s="12"/>
      <c r="P589" s="12"/>
      <c r="Q589" s="12"/>
      <c r="R589" s="12"/>
      <c r="S589" s="12"/>
      <c r="T589" s="12"/>
      <c r="U589" s="12"/>
    </row>
    <row r="590" customFormat="false" ht="15" hidden="false" customHeight="false" outlineLevel="0" collapsed="false">
      <c r="A590" s="12"/>
      <c r="B590" s="61"/>
      <c r="C590" s="61"/>
      <c r="D590" s="61"/>
      <c r="E590" s="62"/>
      <c r="F590" s="61"/>
      <c r="G590" s="61"/>
      <c r="H590" s="10"/>
      <c r="I590" s="12"/>
      <c r="J590" s="63"/>
      <c r="K590" s="10"/>
      <c r="L590" s="12"/>
      <c r="M590" s="12"/>
      <c r="N590" s="12"/>
      <c r="O590" s="12"/>
      <c r="P590" s="12"/>
      <c r="Q590" s="12"/>
      <c r="R590" s="12"/>
      <c r="S590" s="12"/>
      <c r="T590" s="12"/>
      <c r="U590" s="12"/>
    </row>
    <row r="591" customFormat="false" ht="15" hidden="false" customHeight="false" outlineLevel="0" collapsed="false">
      <c r="A591" s="12"/>
      <c r="B591" s="61"/>
      <c r="C591" s="61"/>
      <c r="D591" s="61"/>
      <c r="E591" s="62"/>
      <c r="F591" s="61"/>
      <c r="G591" s="61"/>
      <c r="H591" s="10"/>
      <c r="I591" s="12"/>
      <c r="J591" s="63"/>
      <c r="K591" s="10"/>
      <c r="L591" s="12"/>
      <c r="M591" s="12"/>
      <c r="N591" s="12"/>
      <c r="O591" s="12"/>
      <c r="P591" s="12"/>
      <c r="Q591" s="12"/>
      <c r="R591" s="12"/>
      <c r="S591" s="12"/>
      <c r="T591" s="12"/>
      <c r="U591" s="12"/>
    </row>
    <row r="592" customFormat="false" ht="15" hidden="false" customHeight="false" outlineLevel="0" collapsed="false">
      <c r="A592" s="12"/>
      <c r="B592" s="61"/>
      <c r="C592" s="61"/>
      <c r="D592" s="61"/>
      <c r="E592" s="62"/>
      <c r="F592" s="61"/>
      <c r="G592" s="61"/>
      <c r="H592" s="10"/>
      <c r="I592" s="12"/>
      <c r="J592" s="63"/>
      <c r="K592" s="10"/>
      <c r="L592" s="12"/>
      <c r="M592" s="12"/>
      <c r="N592" s="12"/>
      <c r="O592" s="12"/>
      <c r="P592" s="12"/>
      <c r="Q592" s="12"/>
      <c r="R592" s="12"/>
      <c r="S592" s="12"/>
      <c r="T592" s="12"/>
      <c r="U592" s="12"/>
    </row>
    <row r="593" customFormat="false" ht="15" hidden="false" customHeight="false" outlineLevel="0" collapsed="false">
      <c r="A593" s="12"/>
      <c r="B593" s="61"/>
      <c r="C593" s="61"/>
      <c r="D593" s="61"/>
      <c r="E593" s="62"/>
      <c r="F593" s="61"/>
      <c r="G593" s="61"/>
      <c r="H593" s="10"/>
      <c r="I593" s="12"/>
      <c r="J593" s="63"/>
      <c r="K593" s="10"/>
      <c r="L593" s="12"/>
      <c r="M593" s="12"/>
      <c r="N593" s="12"/>
      <c r="O593" s="12"/>
      <c r="P593" s="12"/>
      <c r="Q593" s="12"/>
      <c r="R593" s="12"/>
      <c r="S593" s="12"/>
      <c r="T593" s="12"/>
      <c r="U593" s="12"/>
    </row>
    <row r="594" customFormat="false" ht="15" hidden="false" customHeight="false" outlineLevel="0" collapsed="false">
      <c r="A594" s="12"/>
      <c r="B594" s="61"/>
      <c r="C594" s="61"/>
      <c r="D594" s="61"/>
      <c r="E594" s="62"/>
      <c r="F594" s="61"/>
      <c r="G594" s="61"/>
      <c r="H594" s="10"/>
      <c r="I594" s="12"/>
      <c r="J594" s="63"/>
      <c r="K594" s="10"/>
      <c r="L594" s="12"/>
      <c r="M594" s="12"/>
      <c r="N594" s="12"/>
      <c r="O594" s="12"/>
      <c r="P594" s="12"/>
      <c r="Q594" s="12"/>
      <c r="R594" s="12"/>
      <c r="S594" s="12"/>
      <c r="T594" s="12"/>
      <c r="U594" s="12"/>
    </row>
    <row r="595" customFormat="false" ht="15" hidden="false" customHeight="false" outlineLevel="0" collapsed="false">
      <c r="A595" s="12"/>
      <c r="B595" s="61"/>
      <c r="C595" s="61"/>
      <c r="D595" s="61"/>
      <c r="E595" s="62"/>
      <c r="F595" s="61"/>
      <c r="G595" s="61"/>
      <c r="H595" s="10"/>
      <c r="I595" s="12"/>
      <c r="J595" s="63"/>
      <c r="K595" s="10"/>
      <c r="L595" s="12"/>
      <c r="M595" s="12"/>
      <c r="N595" s="12"/>
      <c r="O595" s="12"/>
      <c r="P595" s="12"/>
      <c r="Q595" s="12"/>
      <c r="R595" s="12"/>
      <c r="S595" s="12"/>
      <c r="T595" s="12"/>
      <c r="U595" s="12"/>
    </row>
    <row r="596" customFormat="false" ht="15" hidden="false" customHeight="false" outlineLevel="0" collapsed="false">
      <c r="A596" s="12"/>
      <c r="B596" s="61"/>
      <c r="C596" s="61"/>
      <c r="D596" s="61"/>
      <c r="E596" s="62"/>
      <c r="F596" s="61"/>
      <c r="G596" s="61"/>
      <c r="H596" s="10"/>
      <c r="I596" s="12"/>
      <c r="J596" s="63"/>
      <c r="K596" s="10"/>
      <c r="L596" s="12"/>
      <c r="M596" s="12"/>
      <c r="N596" s="12"/>
      <c r="O596" s="12"/>
      <c r="P596" s="12"/>
      <c r="Q596" s="12"/>
      <c r="R596" s="12"/>
      <c r="S596" s="12"/>
      <c r="T596" s="12"/>
      <c r="U596" s="12"/>
    </row>
    <row r="597" customFormat="false" ht="15" hidden="false" customHeight="false" outlineLevel="0" collapsed="false">
      <c r="A597" s="12"/>
      <c r="B597" s="61"/>
      <c r="C597" s="61"/>
      <c r="D597" s="61"/>
      <c r="E597" s="62"/>
      <c r="F597" s="61"/>
      <c r="G597" s="61"/>
      <c r="H597" s="10"/>
      <c r="I597" s="12"/>
      <c r="J597" s="63"/>
      <c r="K597" s="10"/>
      <c r="L597" s="12"/>
      <c r="M597" s="12"/>
      <c r="N597" s="12"/>
      <c r="O597" s="12"/>
      <c r="P597" s="12"/>
      <c r="Q597" s="12"/>
      <c r="R597" s="12"/>
      <c r="S597" s="12"/>
      <c r="T597" s="12"/>
      <c r="U597" s="12"/>
    </row>
    <row r="598" customFormat="false" ht="15" hidden="false" customHeight="false" outlineLevel="0" collapsed="false">
      <c r="A598" s="12"/>
      <c r="B598" s="61"/>
      <c r="C598" s="61"/>
      <c r="D598" s="61"/>
      <c r="E598" s="62"/>
      <c r="F598" s="61"/>
      <c r="G598" s="61"/>
      <c r="H598" s="10"/>
      <c r="I598" s="12"/>
      <c r="J598" s="63"/>
      <c r="K598" s="10"/>
      <c r="L598" s="12"/>
      <c r="M598" s="12"/>
      <c r="N598" s="12"/>
      <c r="O598" s="12"/>
      <c r="P598" s="12"/>
      <c r="Q598" s="12"/>
      <c r="R598" s="12"/>
      <c r="S598" s="12"/>
      <c r="T598" s="12"/>
      <c r="U598" s="12"/>
    </row>
    <row r="599" customFormat="false" ht="15" hidden="false" customHeight="false" outlineLevel="0" collapsed="false">
      <c r="A599" s="12"/>
      <c r="B599" s="61"/>
      <c r="C599" s="61"/>
      <c r="D599" s="61"/>
      <c r="E599" s="62"/>
      <c r="F599" s="61"/>
      <c r="G599" s="61"/>
      <c r="H599" s="10"/>
      <c r="I599" s="12"/>
      <c r="J599" s="63"/>
      <c r="K599" s="10"/>
      <c r="L599" s="12"/>
      <c r="M599" s="12"/>
      <c r="N599" s="12"/>
      <c r="O599" s="12"/>
      <c r="P599" s="12"/>
      <c r="Q599" s="12"/>
      <c r="R599" s="12"/>
      <c r="S599" s="12"/>
      <c r="T599" s="12"/>
      <c r="U599" s="12"/>
    </row>
    <row r="600" customFormat="false" ht="15" hidden="false" customHeight="false" outlineLevel="0" collapsed="false">
      <c r="A600" s="12"/>
      <c r="B600" s="61"/>
      <c r="C600" s="61"/>
      <c r="D600" s="61"/>
      <c r="E600" s="62"/>
      <c r="F600" s="61"/>
      <c r="G600" s="61"/>
      <c r="H600" s="10"/>
      <c r="I600" s="12"/>
      <c r="J600" s="63"/>
      <c r="K600" s="10"/>
      <c r="L600" s="12"/>
      <c r="M600" s="12"/>
      <c r="N600" s="12"/>
      <c r="O600" s="12"/>
      <c r="P600" s="12"/>
      <c r="Q600" s="12"/>
      <c r="R600" s="12"/>
      <c r="S600" s="12"/>
      <c r="T600" s="12"/>
      <c r="U600" s="12"/>
    </row>
    <row r="601" customFormat="false" ht="15" hidden="false" customHeight="false" outlineLevel="0" collapsed="false">
      <c r="A601" s="12"/>
      <c r="B601" s="61"/>
      <c r="C601" s="61"/>
      <c r="D601" s="61"/>
      <c r="E601" s="62"/>
      <c r="F601" s="61"/>
      <c r="G601" s="61"/>
      <c r="H601" s="10"/>
      <c r="I601" s="12"/>
      <c r="J601" s="63"/>
      <c r="K601" s="10"/>
      <c r="L601" s="12"/>
      <c r="M601" s="12"/>
      <c r="N601" s="12"/>
      <c r="O601" s="12"/>
      <c r="P601" s="12"/>
      <c r="Q601" s="12"/>
      <c r="R601" s="12"/>
      <c r="S601" s="12"/>
      <c r="T601" s="12"/>
      <c r="U601" s="12"/>
    </row>
    <row r="602" customFormat="false" ht="15" hidden="false" customHeight="false" outlineLevel="0" collapsed="false">
      <c r="A602" s="12"/>
      <c r="B602" s="61"/>
      <c r="C602" s="61"/>
      <c r="D602" s="61"/>
      <c r="E602" s="62"/>
      <c r="F602" s="61"/>
      <c r="G602" s="61"/>
      <c r="H602" s="10"/>
      <c r="I602" s="12"/>
      <c r="J602" s="63"/>
      <c r="K602" s="10"/>
      <c r="L602" s="12"/>
      <c r="M602" s="12"/>
      <c r="N602" s="12"/>
      <c r="O602" s="12"/>
      <c r="P602" s="12"/>
      <c r="Q602" s="12"/>
      <c r="R602" s="12"/>
      <c r="S602" s="12"/>
      <c r="T602" s="12"/>
      <c r="U602" s="12"/>
    </row>
    <row r="603" customFormat="false" ht="15" hidden="false" customHeight="false" outlineLevel="0" collapsed="false">
      <c r="A603" s="12"/>
      <c r="B603" s="61"/>
      <c r="C603" s="61"/>
      <c r="D603" s="61"/>
      <c r="E603" s="62"/>
      <c r="F603" s="61"/>
      <c r="G603" s="61"/>
      <c r="H603" s="10"/>
      <c r="I603" s="12"/>
      <c r="J603" s="63"/>
      <c r="K603" s="10"/>
      <c r="L603" s="12"/>
      <c r="M603" s="12"/>
      <c r="N603" s="12"/>
      <c r="O603" s="12"/>
      <c r="P603" s="12"/>
      <c r="Q603" s="12"/>
      <c r="R603" s="12"/>
      <c r="S603" s="12"/>
      <c r="T603" s="12"/>
      <c r="U603" s="12"/>
    </row>
    <row r="604" customFormat="false" ht="15" hidden="false" customHeight="false" outlineLevel="0" collapsed="false">
      <c r="A604" s="12"/>
      <c r="B604" s="61"/>
      <c r="C604" s="61"/>
      <c r="D604" s="61"/>
      <c r="E604" s="62"/>
      <c r="F604" s="61"/>
      <c r="G604" s="61"/>
      <c r="H604" s="10"/>
      <c r="I604" s="12"/>
      <c r="J604" s="63"/>
      <c r="K604" s="10"/>
      <c r="L604" s="12"/>
      <c r="M604" s="12"/>
      <c r="N604" s="12"/>
      <c r="O604" s="12"/>
      <c r="P604" s="12"/>
      <c r="Q604" s="12"/>
      <c r="R604" s="12"/>
      <c r="S604" s="12"/>
      <c r="T604" s="12"/>
      <c r="U604" s="12"/>
    </row>
    <row r="605" customFormat="false" ht="15" hidden="false" customHeight="false" outlineLevel="0" collapsed="false">
      <c r="A605" s="12"/>
      <c r="B605" s="61"/>
      <c r="C605" s="61"/>
      <c r="D605" s="61"/>
      <c r="E605" s="62"/>
      <c r="F605" s="61"/>
      <c r="G605" s="61"/>
      <c r="H605" s="10"/>
      <c r="I605" s="12"/>
      <c r="J605" s="63"/>
      <c r="K605" s="10"/>
      <c r="L605" s="12"/>
      <c r="M605" s="12"/>
      <c r="N605" s="12"/>
      <c r="O605" s="12"/>
      <c r="P605" s="12"/>
      <c r="Q605" s="12"/>
      <c r="R605" s="12"/>
      <c r="S605" s="12"/>
      <c r="T605" s="12"/>
      <c r="U605" s="12"/>
    </row>
    <row r="606" customFormat="false" ht="15" hidden="false" customHeight="false" outlineLevel="0" collapsed="false">
      <c r="A606" s="12"/>
      <c r="B606" s="61"/>
      <c r="C606" s="61"/>
      <c r="D606" s="61"/>
      <c r="E606" s="62"/>
      <c r="F606" s="61"/>
      <c r="G606" s="61"/>
      <c r="H606" s="10"/>
      <c r="I606" s="12"/>
      <c r="J606" s="63"/>
      <c r="K606" s="10"/>
      <c r="L606" s="12"/>
      <c r="M606" s="12"/>
      <c r="N606" s="12"/>
      <c r="O606" s="12"/>
      <c r="P606" s="12"/>
      <c r="Q606" s="12"/>
      <c r="R606" s="12"/>
      <c r="S606" s="12"/>
      <c r="T606" s="12"/>
      <c r="U606" s="12"/>
    </row>
    <row r="607" customFormat="false" ht="15" hidden="false" customHeight="false" outlineLevel="0" collapsed="false">
      <c r="A607" s="12"/>
      <c r="B607" s="61"/>
      <c r="C607" s="61"/>
      <c r="D607" s="61"/>
      <c r="E607" s="62"/>
      <c r="F607" s="61"/>
      <c r="G607" s="61"/>
      <c r="H607" s="10"/>
      <c r="I607" s="12"/>
      <c r="J607" s="63"/>
      <c r="K607" s="10"/>
      <c r="L607" s="12"/>
      <c r="M607" s="12"/>
      <c r="N607" s="12"/>
      <c r="O607" s="12"/>
      <c r="P607" s="12"/>
      <c r="Q607" s="12"/>
      <c r="R607" s="12"/>
      <c r="S607" s="12"/>
      <c r="T607" s="12"/>
      <c r="U607" s="12"/>
    </row>
    <row r="608" customFormat="false" ht="15" hidden="false" customHeight="false" outlineLevel="0" collapsed="false">
      <c r="A608" s="12"/>
      <c r="B608" s="61"/>
      <c r="C608" s="61"/>
      <c r="D608" s="61"/>
      <c r="E608" s="62"/>
      <c r="F608" s="61"/>
      <c r="G608" s="61"/>
      <c r="H608" s="10"/>
      <c r="I608" s="12"/>
      <c r="J608" s="63"/>
      <c r="K608" s="10"/>
      <c r="L608" s="12"/>
      <c r="M608" s="12"/>
      <c r="N608" s="12"/>
      <c r="O608" s="12"/>
      <c r="P608" s="12"/>
      <c r="Q608" s="12"/>
      <c r="R608" s="12"/>
      <c r="S608" s="12"/>
      <c r="T608" s="12"/>
      <c r="U608" s="12"/>
    </row>
    <row r="609" customFormat="false" ht="15" hidden="false" customHeight="false" outlineLevel="0" collapsed="false">
      <c r="A609" s="12"/>
      <c r="B609" s="61"/>
      <c r="C609" s="61"/>
      <c r="D609" s="61"/>
      <c r="E609" s="62"/>
      <c r="F609" s="61"/>
      <c r="G609" s="61"/>
      <c r="H609" s="10"/>
      <c r="I609" s="12"/>
      <c r="J609" s="63"/>
      <c r="K609" s="10"/>
      <c r="L609" s="12"/>
      <c r="M609" s="12"/>
      <c r="N609" s="12"/>
      <c r="O609" s="12"/>
      <c r="P609" s="12"/>
      <c r="Q609" s="12"/>
      <c r="R609" s="12"/>
      <c r="S609" s="12"/>
      <c r="T609" s="12"/>
      <c r="U609" s="12"/>
    </row>
    <row r="610" customFormat="false" ht="15" hidden="false" customHeight="false" outlineLevel="0" collapsed="false">
      <c r="A610" s="12"/>
      <c r="B610" s="61"/>
      <c r="C610" s="61"/>
      <c r="D610" s="61"/>
      <c r="E610" s="62"/>
      <c r="F610" s="61"/>
      <c r="G610" s="61"/>
      <c r="H610" s="10"/>
      <c r="I610" s="12"/>
      <c r="J610" s="63"/>
      <c r="K610" s="10"/>
      <c r="L610" s="12"/>
      <c r="M610" s="12"/>
      <c r="N610" s="12"/>
      <c r="O610" s="12"/>
      <c r="P610" s="12"/>
      <c r="Q610" s="12"/>
      <c r="R610" s="12"/>
      <c r="S610" s="12"/>
      <c r="T610" s="12"/>
      <c r="U610" s="12"/>
    </row>
    <row r="611" customFormat="false" ht="15" hidden="false" customHeight="false" outlineLevel="0" collapsed="false">
      <c r="A611" s="12"/>
      <c r="B611" s="61"/>
      <c r="C611" s="61"/>
      <c r="D611" s="61"/>
      <c r="E611" s="62"/>
      <c r="F611" s="61"/>
      <c r="G611" s="61"/>
      <c r="H611" s="10"/>
      <c r="I611" s="12"/>
      <c r="J611" s="63"/>
      <c r="K611" s="10"/>
      <c r="L611" s="12"/>
      <c r="M611" s="12"/>
      <c r="N611" s="12"/>
      <c r="O611" s="12"/>
      <c r="P611" s="12"/>
      <c r="Q611" s="12"/>
      <c r="R611" s="12"/>
      <c r="S611" s="12"/>
      <c r="T611" s="12"/>
      <c r="U611" s="12"/>
    </row>
    <row r="612" customFormat="false" ht="15" hidden="false" customHeight="false" outlineLevel="0" collapsed="false">
      <c r="A612" s="12"/>
      <c r="B612" s="61"/>
      <c r="C612" s="61"/>
      <c r="D612" s="61"/>
      <c r="E612" s="62"/>
      <c r="F612" s="61"/>
      <c r="G612" s="61"/>
      <c r="H612" s="10"/>
      <c r="I612" s="12"/>
      <c r="J612" s="63"/>
      <c r="K612" s="10"/>
      <c r="L612" s="12"/>
      <c r="M612" s="12"/>
      <c r="N612" s="12"/>
      <c r="O612" s="12"/>
      <c r="P612" s="12"/>
      <c r="Q612" s="12"/>
      <c r="R612" s="12"/>
      <c r="S612" s="12"/>
      <c r="T612" s="12"/>
      <c r="U612" s="12"/>
    </row>
    <row r="613" customFormat="false" ht="15" hidden="false" customHeight="false" outlineLevel="0" collapsed="false">
      <c r="A613" s="12"/>
      <c r="B613" s="61"/>
      <c r="C613" s="61"/>
      <c r="D613" s="61"/>
      <c r="E613" s="62"/>
      <c r="F613" s="61"/>
      <c r="G613" s="61"/>
      <c r="H613" s="10"/>
      <c r="I613" s="12"/>
      <c r="J613" s="63"/>
      <c r="K613" s="10"/>
      <c r="L613" s="12"/>
      <c r="M613" s="12"/>
      <c r="N613" s="12"/>
      <c r="O613" s="12"/>
      <c r="P613" s="12"/>
      <c r="Q613" s="12"/>
      <c r="R613" s="12"/>
      <c r="S613" s="12"/>
      <c r="T613" s="12"/>
      <c r="U613" s="12"/>
    </row>
    <row r="614" customFormat="false" ht="15" hidden="false" customHeight="false" outlineLevel="0" collapsed="false">
      <c r="A614" s="12"/>
      <c r="B614" s="61"/>
      <c r="C614" s="61"/>
      <c r="D614" s="61"/>
      <c r="E614" s="62"/>
      <c r="F614" s="61"/>
      <c r="G614" s="61"/>
      <c r="H614" s="10"/>
      <c r="I614" s="12"/>
      <c r="J614" s="63"/>
      <c r="K614" s="10"/>
      <c r="L614" s="12"/>
      <c r="M614" s="12"/>
      <c r="N614" s="12"/>
      <c r="O614" s="12"/>
      <c r="P614" s="12"/>
      <c r="Q614" s="12"/>
      <c r="R614" s="12"/>
      <c r="S614" s="12"/>
      <c r="T614" s="12"/>
      <c r="U614" s="12"/>
    </row>
    <row r="615" customFormat="false" ht="15" hidden="false" customHeight="false" outlineLevel="0" collapsed="false">
      <c r="A615" s="12"/>
      <c r="B615" s="61"/>
      <c r="C615" s="61"/>
      <c r="D615" s="61"/>
      <c r="E615" s="62"/>
      <c r="F615" s="61"/>
      <c r="G615" s="61"/>
      <c r="H615" s="10"/>
      <c r="I615" s="12"/>
      <c r="J615" s="63"/>
      <c r="K615" s="10"/>
      <c r="L615" s="12"/>
      <c r="M615" s="12"/>
      <c r="N615" s="12"/>
      <c r="O615" s="12"/>
      <c r="P615" s="12"/>
      <c r="Q615" s="12"/>
      <c r="R615" s="12"/>
      <c r="S615" s="12"/>
      <c r="T615" s="12"/>
      <c r="U615" s="12"/>
    </row>
    <row r="616" customFormat="false" ht="15" hidden="false" customHeight="false" outlineLevel="0" collapsed="false">
      <c r="A616" s="12"/>
      <c r="B616" s="61"/>
      <c r="C616" s="61"/>
      <c r="D616" s="61"/>
      <c r="E616" s="62"/>
      <c r="F616" s="61"/>
      <c r="G616" s="61"/>
      <c r="H616" s="10"/>
      <c r="I616" s="12"/>
      <c r="J616" s="63"/>
      <c r="K616" s="10"/>
      <c r="L616" s="12"/>
      <c r="M616" s="12"/>
      <c r="N616" s="12"/>
      <c r="O616" s="12"/>
      <c r="P616" s="12"/>
      <c r="Q616" s="12"/>
      <c r="R616" s="12"/>
      <c r="S616" s="12"/>
      <c r="T616" s="12"/>
      <c r="U616" s="12"/>
    </row>
    <row r="617" customFormat="false" ht="15" hidden="false" customHeight="false" outlineLevel="0" collapsed="false">
      <c r="A617" s="12"/>
      <c r="B617" s="61"/>
      <c r="C617" s="61"/>
      <c r="D617" s="61"/>
      <c r="E617" s="62"/>
      <c r="F617" s="61"/>
      <c r="G617" s="61"/>
      <c r="H617" s="10"/>
      <c r="I617" s="12"/>
      <c r="J617" s="63"/>
      <c r="K617" s="10"/>
      <c r="L617" s="12"/>
      <c r="M617" s="12"/>
      <c r="N617" s="12"/>
      <c r="O617" s="12"/>
      <c r="P617" s="12"/>
      <c r="Q617" s="12"/>
      <c r="R617" s="12"/>
      <c r="S617" s="12"/>
      <c r="T617" s="12"/>
      <c r="U617" s="12"/>
    </row>
    <row r="618" customFormat="false" ht="15" hidden="false" customHeight="false" outlineLevel="0" collapsed="false">
      <c r="A618" s="12"/>
      <c r="B618" s="61"/>
      <c r="C618" s="61"/>
      <c r="D618" s="61"/>
      <c r="E618" s="62"/>
      <c r="F618" s="61"/>
      <c r="G618" s="61"/>
      <c r="H618" s="10"/>
      <c r="I618" s="12"/>
      <c r="J618" s="63"/>
      <c r="K618" s="10"/>
      <c r="L618" s="12"/>
      <c r="M618" s="12"/>
      <c r="N618" s="12"/>
      <c r="O618" s="12"/>
      <c r="P618" s="12"/>
      <c r="Q618" s="12"/>
      <c r="R618" s="12"/>
      <c r="S618" s="12"/>
      <c r="T618" s="12"/>
      <c r="U618" s="12"/>
    </row>
    <row r="619" customFormat="false" ht="15" hidden="false" customHeight="false" outlineLevel="0" collapsed="false">
      <c r="A619" s="12"/>
      <c r="B619" s="61"/>
      <c r="C619" s="61"/>
      <c r="D619" s="61"/>
      <c r="E619" s="62"/>
      <c r="F619" s="61"/>
      <c r="G619" s="61"/>
      <c r="H619" s="10"/>
      <c r="I619" s="12"/>
      <c r="J619" s="63"/>
      <c r="K619" s="10"/>
      <c r="L619" s="12"/>
      <c r="M619" s="12"/>
      <c r="N619" s="12"/>
      <c r="O619" s="12"/>
      <c r="P619" s="12"/>
      <c r="Q619" s="12"/>
      <c r="R619" s="12"/>
      <c r="S619" s="12"/>
      <c r="T619" s="12"/>
      <c r="U619" s="12"/>
    </row>
    <row r="620" customFormat="false" ht="15" hidden="false" customHeight="false" outlineLevel="0" collapsed="false">
      <c r="A620" s="12"/>
      <c r="B620" s="61"/>
      <c r="C620" s="61"/>
      <c r="D620" s="61"/>
      <c r="E620" s="62"/>
      <c r="F620" s="61"/>
      <c r="G620" s="61"/>
      <c r="H620" s="10"/>
      <c r="I620" s="12"/>
      <c r="J620" s="63"/>
      <c r="K620" s="10"/>
      <c r="L620" s="12"/>
      <c r="M620" s="12"/>
      <c r="N620" s="12"/>
      <c r="O620" s="12"/>
      <c r="P620" s="12"/>
      <c r="Q620" s="12"/>
      <c r="R620" s="12"/>
      <c r="S620" s="12"/>
      <c r="T620" s="12"/>
      <c r="U620" s="12"/>
    </row>
    <row r="621" customFormat="false" ht="15" hidden="false" customHeight="false" outlineLevel="0" collapsed="false">
      <c r="A621" s="12"/>
      <c r="B621" s="61"/>
      <c r="C621" s="61"/>
      <c r="D621" s="61"/>
      <c r="E621" s="62"/>
      <c r="F621" s="61"/>
      <c r="G621" s="61"/>
      <c r="H621" s="10"/>
      <c r="I621" s="12"/>
      <c r="J621" s="63"/>
      <c r="K621" s="10"/>
      <c r="L621" s="12"/>
      <c r="M621" s="12"/>
      <c r="N621" s="12"/>
      <c r="O621" s="12"/>
      <c r="P621" s="12"/>
      <c r="Q621" s="12"/>
      <c r="R621" s="12"/>
      <c r="S621" s="12"/>
      <c r="T621" s="12"/>
      <c r="U621" s="12"/>
    </row>
    <row r="622" customFormat="false" ht="15" hidden="false" customHeight="false" outlineLevel="0" collapsed="false">
      <c r="A622" s="12"/>
      <c r="B622" s="61"/>
      <c r="C622" s="61"/>
      <c r="D622" s="61"/>
      <c r="E622" s="62"/>
      <c r="F622" s="61"/>
      <c r="G622" s="61"/>
      <c r="H622" s="10"/>
      <c r="I622" s="12"/>
      <c r="J622" s="63"/>
      <c r="K622" s="10"/>
      <c r="L622" s="12"/>
      <c r="M622" s="12"/>
      <c r="N622" s="12"/>
      <c r="O622" s="12"/>
      <c r="P622" s="12"/>
      <c r="Q622" s="12"/>
      <c r="R622" s="12"/>
      <c r="S622" s="12"/>
      <c r="T622" s="12"/>
      <c r="U622" s="12"/>
    </row>
    <row r="623" customFormat="false" ht="15" hidden="false" customHeight="false" outlineLevel="0" collapsed="false">
      <c r="A623" s="12"/>
      <c r="B623" s="61"/>
      <c r="C623" s="61"/>
      <c r="D623" s="61"/>
      <c r="E623" s="62"/>
      <c r="F623" s="61"/>
      <c r="G623" s="61"/>
      <c r="H623" s="10"/>
      <c r="I623" s="12"/>
      <c r="J623" s="63"/>
      <c r="K623" s="10"/>
      <c r="L623" s="12"/>
      <c r="M623" s="12"/>
      <c r="N623" s="12"/>
      <c r="O623" s="12"/>
      <c r="P623" s="12"/>
      <c r="Q623" s="12"/>
      <c r="R623" s="12"/>
      <c r="S623" s="12"/>
      <c r="T623" s="12"/>
      <c r="U623" s="12"/>
    </row>
    <row r="624" customFormat="false" ht="15" hidden="false" customHeight="false" outlineLevel="0" collapsed="false">
      <c r="A624" s="12"/>
      <c r="B624" s="61"/>
      <c r="C624" s="61"/>
      <c r="D624" s="61"/>
      <c r="E624" s="62"/>
      <c r="F624" s="61"/>
      <c r="G624" s="61"/>
      <c r="H624" s="10"/>
      <c r="I624" s="12"/>
      <c r="J624" s="63"/>
      <c r="K624" s="10"/>
      <c r="L624" s="12"/>
      <c r="M624" s="12"/>
      <c r="N624" s="12"/>
      <c r="O624" s="12"/>
      <c r="P624" s="12"/>
      <c r="Q624" s="12"/>
      <c r="R624" s="12"/>
      <c r="S624" s="12"/>
      <c r="T624" s="12"/>
      <c r="U624" s="12"/>
    </row>
    <row r="625" customFormat="false" ht="15" hidden="false" customHeight="false" outlineLevel="0" collapsed="false">
      <c r="A625" s="12"/>
      <c r="B625" s="61"/>
      <c r="C625" s="61"/>
      <c r="D625" s="61"/>
      <c r="E625" s="62"/>
      <c r="F625" s="61"/>
      <c r="G625" s="61"/>
      <c r="H625" s="10"/>
      <c r="I625" s="12"/>
      <c r="J625" s="63"/>
      <c r="K625" s="10"/>
      <c r="L625" s="12"/>
      <c r="M625" s="12"/>
      <c r="N625" s="12"/>
      <c r="O625" s="12"/>
      <c r="P625" s="12"/>
      <c r="Q625" s="12"/>
      <c r="R625" s="12"/>
      <c r="S625" s="12"/>
      <c r="T625" s="12"/>
      <c r="U625" s="12"/>
    </row>
    <row r="626" customFormat="false" ht="15" hidden="false" customHeight="false" outlineLevel="0" collapsed="false">
      <c r="A626" s="12"/>
      <c r="B626" s="61"/>
      <c r="C626" s="61"/>
      <c r="D626" s="61"/>
      <c r="E626" s="62"/>
      <c r="F626" s="61"/>
      <c r="G626" s="61"/>
      <c r="H626" s="10"/>
      <c r="I626" s="12"/>
      <c r="J626" s="63"/>
      <c r="K626" s="10"/>
      <c r="L626" s="12"/>
      <c r="M626" s="12"/>
      <c r="N626" s="12"/>
      <c r="O626" s="12"/>
      <c r="P626" s="12"/>
      <c r="Q626" s="12"/>
      <c r="R626" s="12"/>
      <c r="S626" s="12"/>
      <c r="T626" s="12"/>
      <c r="U626" s="12"/>
    </row>
    <row r="627" customFormat="false" ht="15" hidden="false" customHeight="false" outlineLevel="0" collapsed="false">
      <c r="A627" s="12"/>
      <c r="B627" s="61"/>
      <c r="C627" s="61"/>
      <c r="D627" s="61"/>
      <c r="E627" s="62"/>
      <c r="F627" s="61"/>
      <c r="G627" s="61"/>
      <c r="H627" s="10"/>
      <c r="I627" s="12"/>
      <c r="J627" s="63"/>
      <c r="K627" s="10"/>
      <c r="L627" s="12"/>
      <c r="M627" s="12"/>
      <c r="N627" s="12"/>
      <c r="O627" s="12"/>
      <c r="P627" s="12"/>
      <c r="Q627" s="12"/>
      <c r="R627" s="12"/>
      <c r="S627" s="12"/>
      <c r="T627" s="12"/>
      <c r="U627" s="12"/>
    </row>
    <row r="628" customFormat="false" ht="15" hidden="false" customHeight="false" outlineLevel="0" collapsed="false">
      <c r="A628" s="12"/>
      <c r="B628" s="61"/>
      <c r="C628" s="61"/>
      <c r="D628" s="61"/>
      <c r="E628" s="62"/>
      <c r="F628" s="61"/>
      <c r="G628" s="61"/>
      <c r="H628" s="10"/>
      <c r="I628" s="12"/>
      <c r="J628" s="63"/>
      <c r="K628" s="10"/>
      <c r="L628" s="12"/>
      <c r="M628" s="12"/>
      <c r="N628" s="12"/>
      <c r="O628" s="12"/>
      <c r="P628" s="12"/>
      <c r="Q628" s="12"/>
      <c r="R628" s="12"/>
      <c r="S628" s="12"/>
      <c r="T628" s="12"/>
      <c r="U628" s="12"/>
    </row>
    <row r="629" customFormat="false" ht="15" hidden="false" customHeight="false" outlineLevel="0" collapsed="false">
      <c r="A629" s="12"/>
      <c r="B629" s="61"/>
      <c r="C629" s="61"/>
      <c r="D629" s="61"/>
      <c r="E629" s="62"/>
      <c r="F629" s="61"/>
      <c r="G629" s="61"/>
      <c r="H629" s="10"/>
      <c r="I629" s="12"/>
      <c r="J629" s="63"/>
      <c r="K629" s="10"/>
      <c r="L629" s="12"/>
      <c r="M629" s="12"/>
      <c r="N629" s="12"/>
      <c r="O629" s="12"/>
      <c r="P629" s="12"/>
      <c r="Q629" s="12"/>
      <c r="R629" s="12"/>
      <c r="S629" s="12"/>
      <c r="T629" s="12"/>
      <c r="U629" s="12"/>
    </row>
    <row r="630" customFormat="false" ht="15" hidden="false" customHeight="false" outlineLevel="0" collapsed="false">
      <c r="A630" s="12"/>
      <c r="B630" s="61"/>
      <c r="C630" s="61"/>
      <c r="D630" s="61"/>
      <c r="E630" s="62"/>
      <c r="F630" s="61"/>
      <c r="G630" s="61"/>
      <c r="H630" s="10"/>
      <c r="I630" s="12"/>
      <c r="J630" s="63"/>
      <c r="K630" s="10"/>
      <c r="L630" s="12"/>
      <c r="M630" s="12"/>
      <c r="N630" s="12"/>
      <c r="O630" s="12"/>
      <c r="P630" s="12"/>
      <c r="Q630" s="12"/>
      <c r="R630" s="12"/>
      <c r="S630" s="12"/>
      <c r="T630" s="12"/>
      <c r="U630" s="12"/>
    </row>
    <row r="631" customFormat="false" ht="15" hidden="false" customHeight="false" outlineLevel="0" collapsed="false">
      <c r="A631" s="12"/>
      <c r="B631" s="61"/>
      <c r="C631" s="61"/>
      <c r="D631" s="61"/>
      <c r="E631" s="62"/>
      <c r="F631" s="61"/>
      <c r="G631" s="61"/>
      <c r="H631" s="10"/>
      <c r="I631" s="12"/>
      <c r="J631" s="63"/>
      <c r="K631" s="10"/>
      <c r="L631" s="12"/>
      <c r="M631" s="12"/>
      <c r="N631" s="12"/>
      <c r="O631" s="12"/>
      <c r="P631" s="12"/>
      <c r="Q631" s="12"/>
      <c r="R631" s="12"/>
      <c r="S631" s="12"/>
      <c r="T631" s="12"/>
      <c r="U631" s="12"/>
    </row>
    <row r="632" customFormat="false" ht="15" hidden="false" customHeight="false" outlineLevel="0" collapsed="false">
      <c r="A632" s="12"/>
      <c r="B632" s="61"/>
      <c r="C632" s="61"/>
      <c r="D632" s="61"/>
      <c r="E632" s="62"/>
      <c r="F632" s="61"/>
      <c r="G632" s="61"/>
      <c r="H632" s="10"/>
      <c r="I632" s="12"/>
      <c r="J632" s="63"/>
      <c r="K632" s="10"/>
      <c r="L632" s="12"/>
      <c r="M632" s="12"/>
      <c r="N632" s="12"/>
      <c r="O632" s="12"/>
      <c r="P632" s="12"/>
      <c r="Q632" s="12"/>
      <c r="R632" s="12"/>
      <c r="S632" s="12"/>
      <c r="T632" s="12"/>
      <c r="U632" s="12"/>
    </row>
    <row r="633" customFormat="false" ht="15" hidden="false" customHeight="false" outlineLevel="0" collapsed="false">
      <c r="A633" s="12"/>
      <c r="B633" s="61"/>
      <c r="C633" s="61"/>
      <c r="D633" s="61"/>
      <c r="E633" s="62"/>
      <c r="F633" s="61"/>
      <c r="G633" s="61"/>
      <c r="H633" s="10"/>
      <c r="I633" s="12"/>
      <c r="J633" s="63"/>
      <c r="K633" s="10"/>
      <c r="L633" s="12"/>
      <c r="M633" s="12"/>
      <c r="N633" s="12"/>
      <c r="O633" s="12"/>
      <c r="P633" s="12"/>
      <c r="Q633" s="12"/>
      <c r="R633" s="12"/>
      <c r="S633" s="12"/>
      <c r="T633" s="12"/>
      <c r="U633" s="12"/>
    </row>
    <row r="634" customFormat="false" ht="15" hidden="false" customHeight="false" outlineLevel="0" collapsed="false">
      <c r="A634" s="12"/>
      <c r="B634" s="61"/>
      <c r="C634" s="61"/>
      <c r="D634" s="61"/>
      <c r="E634" s="62"/>
      <c r="F634" s="61"/>
      <c r="G634" s="61"/>
      <c r="H634" s="10"/>
      <c r="I634" s="12"/>
      <c r="J634" s="63"/>
      <c r="K634" s="10"/>
      <c r="L634" s="12"/>
      <c r="M634" s="12"/>
      <c r="N634" s="12"/>
      <c r="O634" s="12"/>
      <c r="P634" s="12"/>
      <c r="Q634" s="12"/>
      <c r="R634" s="12"/>
      <c r="S634" s="12"/>
      <c r="T634" s="12"/>
      <c r="U634" s="12"/>
    </row>
    <row r="635" customFormat="false" ht="15" hidden="false" customHeight="false" outlineLevel="0" collapsed="false">
      <c r="A635" s="12"/>
      <c r="B635" s="61"/>
      <c r="C635" s="61"/>
      <c r="D635" s="61"/>
      <c r="E635" s="62"/>
      <c r="F635" s="61"/>
      <c r="G635" s="61"/>
      <c r="H635" s="10"/>
      <c r="I635" s="12"/>
      <c r="J635" s="63"/>
      <c r="K635" s="10"/>
      <c r="L635" s="12"/>
      <c r="M635" s="12"/>
      <c r="N635" s="12"/>
      <c r="O635" s="12"/>
      <c r="P635" s="12"/>
      <c r="Q635" s="12"/>
      <c r="R635" s="12"/>
      <c r="S635" s="12"/>
      <c r="T635" s="12"/>
      <c r="U635" s="12"/>
    </row>
    <row r="636" customFormat="false" ht="15" hidden="false" customHeight="false" outlineLevel="0" collapsed="false">
      <c r="A636" s="12"/>
      <c r="B636" s="61"/>
      <c r="C636" s="61"/>
      <c r="D636" s="61"/>
      <c r="E636" s="62"/>
      <c r="F636" s="61"/>
      <c r="G636" s="61"/>
      <c r="H636" s="10"/>
      <c r="I636" s="12"/>
      <c r="J636" s="63"/>
      <c r="K636" s="10"/>
      <c r="L636" s="12"/>
      <c r="M636" s="12"/>
      <c r="N636" s="12"/>
      <c r="O636" s="12"/>
      <c r="P636" s="12"/>
      <c r="Q636" s="12"/>
      <c r="R636" s="12"/>
      <c r="S636" s="12"/>
      <c r="T636" s="12"/>
      <c r="U636" s="12"/>
    </row>
    <row r="637" customFormat="false" ht="15" hidden="false" customHeight="false" outlineLevel="0" collapsed="false">
      <c r="A637" s="12"/>
      <c r="B637" s="61"/>
      <c r="C637" s="61"/>
      <c r="D637" s="61"/>
      <c r="E637" s="62"/>
      <c r="F637" s="61"/>
      <c r="G637" s="61"/>
      <c r="H637" s="10"/>
      <c r="I637" s="12"/>
      <c r="J637" s="63"/>
      <c r="K637" s="10"/>
      <c r="L637" s="12"/>
      <c r="M637" s="12"/>
      <c r="N637" s="12"/>
      <c r="O637" s="12"/>
      <c r="P637" s="12"/>
      <c r="Q637" s="12"/>
      <c r="R637" s="12"/>
      <c r="S637" s="12"/>
      <c r="T637" s="12"/>
      <c r="U637" s="12"/>
    </row>
    <row r="638" customFormat="false" ht="15" hidden="false" customHeight="false" outlineLevel="0" collapsed="false">
      <c r="A638" s="12"/>
      <c r="B638" s="61"/>
      <c r="C638" s="61"/>
      <c r="D638" s="61"/>
      <c r="E638" s="62"/>
      <c r="F638" s="61"/>
      <c r="G638" s="61"/>
      <c r="H638" s="10"/>
      <c r="I638" s="12"/>
      <c r="J638" s="63"/>
      <c r="K638" s="10"/>
      <c r="L638" s="12"/>
      <c r="M638" s="12"/>
      <c r="N638" s="12"/>
      <c r="O638" s="12"/>
      <c r="P638" s="12"/>
      <c r="Q638" s="12"/>
      <c r="R638" s="12"/>
      <c r="S638" s="12"/>
      <c r="T638" s="12"/>
      <c r="U638" s="12"/>
    </row>
    <row r="639" customFormat="false" ht="15" hidden="false" customHeight="false" outlineLevel="0" collapsed="false">
      <c r="A639" s="12"/>
      <c r="B639" s="61"/>
      <c r="C639" s="61"/>
      <c r="D639" s="61"/>
      <c r="E639" s="62"/>
      <c r="F639" s="61"/>
      <c r="G639" s="61"/>
      <c r="H639" s="10"/>
      <c r="I639" s="12"/>
      <c r="J639" s="63"/>
      <c r="K639" s="10"/>
      <c r="L639" s="12"/>
      <c r="M639" s="12"/>
      <c r="N639" s="12"/>
      <c r="O639" s="12"/>
      <c r="P639" s="12"/>
      <c r="Q639" s="12"/>
      <c r="R639" s="12"/>
      <c r="S639" s="12"/>
      <c r="T639" s="12"/>
      <c r="U639" s="12"/>
    </row>
    <row r="640" customFormat="false" ht="15" hidden="false" customHeight="false" outlineLevel="0" collapsed="false">
      <c r="A640" s="12"/>
      <c r="B640" s="61"/>
      <c r="C640" s="61"/>
      <c r="D640" s="61"/>
      <c r="E640" s="62"/>
      <c r="F640" s="61"/>
      <c r="G640" s="61"/>
      <c r="H640" s="10"/>
      <c r="I640" s="12"/>
      <c r="J640" s="63"/>
      <c r="K640" s="10"/>
      <c r="L640" s="12"/>
      <c r="M640" s="12"/>
      <c r="N640" s="12"/>
      <c r="O640" s="12"/>
      <c r="P640" s="12"/>
      <c r="Q640" s="12"/>
      <c r="R640" s="12"/>
      <c r="S640" s="12"/>
      <c r="T640" s="12"/>
      <c r="U640" s="12"/>
    </row>
    <row r="641" customFormat="false" ht="15" hidden="false" customHeight="false" outlineLevel="0" collapsed="false">
      <c r="A641" s="12"/>
      <c r="B641" s="61"/>
      <c r="C641" s="61"/>
      <c r="D641" s="61"/>
      <c r="E641" s="62"/>
      <c r="F641" s="61"/>
      <c r="G641" s="61"/>
      <c r="H641" s="10"/>
      <c r="I641" s="12"/>
      <c r="J641" s="63"/>
      <c r="K641" s="10"/>
      <c r="L641" s="12"/>
      <c r="M641" s="12"/>
      <c r="N641" s="12"/>
      <c r="O641" s="12"/>
      <c r="P641" s="12"/>
      <c r="Q641" s="12"/>
      <c r="R641" s="12"/>
      <c r="S641" s="12"/>
      <c r="T641" s="12"/>
      <c r="U641" s="12"/>
    </row>
    <row r="642" customFormat="false" ht="15" hidden="false" customHeight="false" outlineLevel="0" collapsed="false">
      <c r="A642" s="12"/>
      <c r="B642" s="61"/>
      <c r="C642" s="61"/>
      <c r="D642" s="61"/>
      <c r="E642" s="62"/>
      <c r="F642" s="61"/>
      <c r="G642" s="61"/>
      <c r="H642" s="10"/>
      <c r="I642" s="12"/>
      <c r="J642" s="63"/>
      <c r="K642" s="10"/>
      <c r="L642" s="12"/>
      <c r="M642" s="12"/>
      <c r="N642" s="12"/>
      <c r="O642" s="12"/>
      <c r="P642" s="12"/>
      <c r="Q642" s="12"/>
      <c r="R642" s="12"/>
      <c r="S642" s="12"/>
      <c r="T642" s="12"/>
      <c r="U642" s="12"/>
    </row>
    <row r="643" customFormat="false" ht="15" hidden="false" customHeight="false" outlineLevel="0" collapsed="false">
      <c r="A643" s="12"/>
      <c r="B643" s="61"/>
      <c r="C643" s="61"/>
      <c r="D643" s="61"/>
      <c r="E643" s="62"/>
      <c r="F643" s="61"/>
      <c r="G643" s="61"/>
      <c r="H643" s="10"/>
      <c r="I643" s="12"/>
      <c r="J643" s="63"/>
      <c r="K643" s="10"/>
      <c r="L643" s="12"/>
      <c r="M643" s="12"/>
      <c r="N643" s="12"/>
      <c r="O643" s="12"/>
      <c r="P643" s="12"/>
      <c r="Q643" s="12"/>
      <c r="R643" s="12"/>
      <c r="S643" s="12"/>
      <c r="T643" s="12"/>
      <c r="U643" s="12"/>
    </row>
    <row r="644" customFormat="false" ht="15" hidden="false" customHeight="false" outlineLevel="0" collapsed="false">
      <c r="A644" s="12"/>
      <c r="B644" s="61"/>
      <c r="C644" s="61"/>
      <c r="D644" s="61"/>
      <c r="E644" s="62"/>
      <c r="F644" s="61"/>
      <c r="G644" s="61"/>
      <c r="H644" s="10"/>
      <c r="I644" s="12"/>
      <c r="J644" s="63"/>
      <c r="K644" s="10"/>
      <c r="L644" s="12"/>
      <c r="M644" s="12"/>
      <c r="N644" s="12"/>
      <c r="O644" s="12"/>
      <c r="P644" s="12"/>
      <c r="Q644" s="12"/>
      <c r="R644" s="12"/>
      <c r="S644" s="12"/>
      <c r="T644" s="12"/>
      <c r="U644" s="12"/>
    </row>
    <row r="645" customFormat="false" ht="15" hidden="false" customHeight="false" outlineLevel="0" collapsed="false">
      <c r="A645" s="12"/>
      <c r="B645" s="61"/>
      <c r="C645" s="61"/>
      <c r="D645" s="61"/>
      <c r="E645" s="62"/>
      <c r="F645" s="61"/>
      <c r="G645" s="61"/>
      <c r="H645" s="10"/>
      <c r="I645" s="12"/>
      <c r="J645" s="63"/>
      <c r="K645" s="10"/>
      <c r="L645" s="12"/>
      <c r="M645" s="12"/>
      <c r="N645" s="12"/>
      <c r="O645" s="12"/>
      <c r="P645" s="12"/>
      <c r="Q645" s="12"/>
      <c r="R645" s="12"/>
      <c r="S645" s="12"/>
      <c r="T645" s="12"/>
      <c r="U645" s="12"/>
    </row>
    <row r="646" customFormat="false" ht="15" hidden="false" customHeight="false" outlineLevel="0" collapsed="false">
      <c r="A646" s="12"/>
      <c r="B646" s="61"/>
      <c r="C646" s="61"/>
      <c r="D646" s="61"/>
      <c r="E646" s="62"/>
      <c r="F646" s="61"/>
      <c r="G646" s="61"/>
      <c r="H646" s="10"/>
      <c r="I646" s="12"/>
      <c r="J646" s="63"/>
      <c r="K646" s="10"/>
      <c r="L646" s="12"/>
      <c r="M646" s="12"/>
      <c r="N646" s="12"/>
      <c r="O646" s="12"/>
      <c r="P646" s="12"/>
      <c r="Q646" s="12"/>
      <c r="R646" s="12"/>
      <c r="S646" s="12"/>
      <c r="T646" s="12"/>
      <c r="U646" s="12"/>
    </row>
    <row r="647" customFormat="false" ht="15" hidden="false" customHeight="false" outlineLevel="0" collapsed="false">
      <c r="A647" s="12"/>
      <c r="B647" s="61"/>
      <c r="C647" s="61"/>
      <c r="D647" s="61"/>
      <c r="E647" s="62"/>
      <c r="F647" s="61"/>
      <c r="G647" s="61"/>
      <c r="H647" s="10"/>
      <c r="I647" s="12"/>
      <c r="J647" s="63"/>
      <c r="K647" s="10"/>
      <c r="L647" s="12"/>
      <c r="M647" s="12"/>
      <c r="N647" s="12"/>
      <c r="O647" s="12"/>
      <c r="P647" s="12"/>
      <c r="Q647" s="12"/>
      <c r="R647" s="12"/>
      <c r="S647" s="12"/>
      <c r="T647" s="12"/>
      <c r="U647" s="12"/>
    </row>
    <row r="648" customFormat="false" ht="15" hidden="false" customHeight="false" outlineLevel="0" collapsed="false">
      <c r="A648" s="12"/>
      <c r="B648" s="61"/>
      <c r="C648" s="61"/>
      <c r="D648" s="61"/>
      <c r="E648" s="62"/>
      <c r="F648" s="61"/>
      <c r="G648" s="61"/>
      <c r="H648" s="10"/>
      <c r="I648" s="12"/>
      <c r="J648" s="63"/>
      <c r="K648" s="10"/>
      <c r="L648" s="12"/>
      <c r="M648" s="12"/>
      <c r="N648" s="12"/>
      <c r="O648" s="12"/>
      <c r="P648" s="12"/>
      <c r="Q648" s="12"/>
      <c r="R648" s="12"/>
      <c r="S648" s="12"/>
      <c r="T648" s="12"/>
      <c r="U648" s="12"/>
    </row>
    <row r="649" customFormat="false" ht="15" hidden="false" customHeight="false" outlineLevel="0" collapsed="false">
      <c r="A649" s="12"/>
      <c r="B649" s="61"/>
      <c r="C649" s="61"/>
      <c r="D649" s="61"/>
      <c r="E649" s="62"/>
      <c r="F649" s="61"/>
      <c r="G649" s="61"/>
      <c r="H649" s="10"/>
      <c r="I649" s="12"/>
      <c r="J649" s="63"/>
      <c r="K649" s="10"/>
      <c r="L649" s="12"/>
      <c r="M649" s="12"/>
      <c r="N649" s="12"/>
      <c r="O649" s="12"/>
      <c r="P649" s="12"/>
      <c r="Q649" s="12"/>
      <c r="R649" s="12"/>
      <c r="S649" s="12"/>
      <c r="T649" s="12"/>
      <c r="U649" s="12"/>
    </row>
    <row r="650" customFormat="false" ht="15" hidden="false" customHeight="false" outlineLevel="0" collapsed="false">
      <c r="A650" s="12"/>
      <c r="B650" s="61"/>
      <c r="C650" s="61"/>
      <c r="D650" s="61"/>
      <c r="E650" s="62"/>
      <c r="F650" s="61"/>
      <c r="G650" s="61"/>
      <c r="H650" s="10"/>
      <c r="I650" s="12"/>
      <c r="J650" s="63"/>
      <c r="K650" s="10"/>
      <c r="L650" s="12"/>
      <c r="M650" s="12"/>
      <c r="N650" s="12"/>
      <c r="O650" s="12"/>
      <c r="P650" s="12"/>
      <c r="Q650" s="12"/>
      <c r="R650" s="12"/>
      <c r="S650" s="12"/>
      <c r="T650" s="12"/>
      <c r="U650" s="12"/>
    </row>
    <row r="651" customFormat="false" ht="15" hidden="false" customHeight="false" outlineLevel="0" collapsed="false">
      <c r="A651" s="12"/>
      <c r="B651" s="61"/>
      <c r="C651" s="61"/>
      <c r="D651" s="61"/>
      <c r="E651" s="62"/>
      <c r="F651" s="61"/>
      <c r="G651" s="61"/>
      <c r="H651" s="10"/>
      <c r="I651" s="12"/>
      <c r="J651" s="63"/>
      <c r="K651" s="10"/>
      <c r="L651" s="12"/>
      <c r="M651" s="12"/>
      <c r="N651" s="12"/>
      <c r="O651" s="12"/>
      <c r="P651" s="12"/>
      <c r="Q651" s="12"/>
      <c r="R651" s="12"/>
      <c r="S651" s="12"/>
      <c r="T651" s="12"/>
      <c r="U651" s="12"/>
    </row>
    <row r="652" customFormat="false" ht="15" hidden="false" customHeight="false" outlineLevel="0" collapsed="false">
      <c r="A652" s="12"/>
      <c r="B652" s="61"/>
      <c r="C652" s="61"/>
      <c r="D652" s="61"/>
      <c r="E652" s="62"/>
      <c r="F652" s="61"/>
      <c r="G652" s="61"/>
      <c r="H652" s="10"/>
      <c r="I652" s="12"/>
      <c r="J652" s="63"/>
      <c r="K652" s="10"/>
      <c r="L652" s="12"/>
      <c r="M652" s="12"/>
      <c r="N652" s="12"/>
      <c r="O652" s="12"/>
      <c r="P652" s="12"/>
      <c r="Q652" s="12"/>
      <c r="R652" s="12"/>
      <c r="S652" s="12"/>
      <c r="T652" s="12"/>
      <c r="U652" s="12"/>
    </row>
    <row r="653" customFormat="false" ht="15" hidden="false" customHeight="false" outlineLevel="0" collapsed="false">
      <c r="A653" s="12"/>
      <c r="B653" s="61"/>
      <c r="C653" s="61"/>
      <c r="D653" s="61"/>
      <c r="E653" s="62"/>
      <c r="F653" s="61"/>
      <c r="G653" s="61"/>
      <c r="H653" s="10"/>
      <c r="I653" s="12"/>
      <c r="J653" s="63"/>
      <c r="K653" s="10"/>
      <c r="L653" s="12"/>
      <c r="M653" s="12"/>
      <c r="N653" s="12"/>
      <c r="O653" s="12"/>
      <c r="P653" s="12"/>
      <c r="Q653" s="12"/>
      <c r="R653" s="12"/>
      <c r="S653" s="12"/>
      <c r="T653" s="12"/>
      <c r="U653" s="12"/>
    </row>
    <row r="654" customFormat="false" ht="15" hidden="false" customHeight="false" outlineLevel="0" collapsed="false">
      <c r="A654" s="12"/>
      <c r="B654" s="61"/>
      <c r="C654" s="61"/>
      <c r="D654" s="61"/>
      <c r="E654" s="62"/>
      <c r="F654" s="61"/>
      <c r="G654" s="61"/>
      <c r="H654" s="10"/>
      <c r="I654" s="12"/>
      <c r="J654" s="63"/>
      <c r="K654" s="10"/>
      <c r="L654" s="12"/>
      <c r="M654" s="12"/>
      <c r="N654" s="12"/>
      <c r="O654" s="12"/>
      <c r="P654" s="12"/>
      <c r="Q654" s="12"/>
      <c r="R654" s="12"/>
      <c r="S654" s="12"/>
      <c r="T654" s="12"/>
      <c r="U654" s="12"/>
    </row>
    <row r="655" customFormat="false" ht="15" hidden="false" customHeight="false" outlineLevel="0" collapsed="false">
      <c r="A655" s="12"/>
      <c r="B655" s="61"/>
      <c r="C655" s="61"/>
      <c r="D655" s="61"/>
      <c r="E655" s="62"/>
      <c r="F655" s="61"/>
      <c r="G655" s="61"/>
      <c r="H655" s="10"/>
      <c r="I655" s="12"/>
      <c r="J655" s="63"/>
      <c r="K655" s="10"/>
      <c r="L655" s="12"/>
      <c r="M655" s="12"/>
      <c r="N655" s="12"/>
      <c r="O655" s="12"/>
      <c r="P655" s="12"/>
      <c r="Q655" s="12"/>
      <c r="R655" s="12"/>
      <c r="S655" s="12"/>
      <c r="T655" s="12"/>
      <c r="U655" s="12"/>
    </row>
    <row r="656" customFormat="false" ht="15" hidden="false" customHeight="false" outlineLevel="0" collapsed="false">
      <c r="A656" s="12"/>
      <c r="B656" s="61"/>
      <c r="C656" s="61"/>
      <c r="D656" s="61"/>
      <c r="E656" s="62"/>
      <c r="F656" s="61"/>
      <c r="G656" s="61"/>
      <c r="H656" s="10"/>
      <c r="I656" s="12"/>
      <c r="J656" s="63"/>
      <c r="K656" s="10"/>
      <c r="L656" s="12"/>
      <c r="M656" s="12"/>
      <c r="N656" s="12"/>
      <c r="O656" s="12"/>
      <c r="P656" s="12"/>
      <c r="Q656" s="12"/>
      <c r="R656" s="12"/>
      <c r="S656" s="12"/>
      <c r="T656" s="12"/>
      <c r="U656" s="12"/>
    </row>
    <row r="657" customFormat="false" ht="15" hidden="false" customHeight="false" outlineLevel="0" collapsed="false">
      <c r="A657" s="12"/>
      <c r="B657" s="61"/>
      <c r="C657" s="61"/>
      <c r="D657" s="61"/>
      <c r="E657" s="62"/>
      <c r="F657" s="61"/>
      <c r="G657" s="61"/>
      <c r="H657" s="10"/>
      <c r="I657" s="12"/>
      <c r="J657" s="63"/>
      <c r="K657" s="10"/>
      <c r="L657" s="12"/>
      <c r="M657" s="12"/>
      <c r="N657" s="12"/>
      <c r="O657" s="12"/>
      <c r="P657" s="12"/>
      <c r="Q657" s="12"/>
      <c r="R657" s="12"/>
      <c r="S657" s="12"/>
      <c r="T657" s="12"/>
      <c r="U657" s="12"/>
    </row>
    <row r="658" customFormat="false" ht="15" hidden="false" customHeight="false" outlineLevel="0" collapsed="false">
      <c r="A658" s="12"/>
      <c r="B658" s="61"/>
      <c r="C658" s="61"/>
      <c r="D658" s="61"/>
      <c r="E658" s="62"/>
      <c r="F658" s="61"/>
      <c r="G658" s="61"/>
      <c r="H658" s="10"/>
      <c r="I658" s="12"/>
      <c r="J658" s="63"/>
      <c r="K658" s="10"/>
      <c r="L658" s="12"/>
      <c r="M658" s="12"/>
      <c r="N658" s="12"/>
      <c r="O658" s="12"/>
      <c r="P658" s="12"/>
      <c r="Q658" s="12"/>
      <c r="R658" s="12"/>
      <c r="S658" s="12"/>
      <c r="T658" s="12"/>
      <c r="U658" s="12"/>
    </row>
    <row r="659" customFormat="false" ht="15" hidden="false" customHeight="false" outlineLevel="0" collapsed="false">
      <c r="A659" s="12"/>
      <c r="B659" s="61"/>
      <c r="C659" s="61"/>
      <c r="D659" s="61"/>
      <c r="E659" s="62"/>
      <c r="F659" s="61"/>
      <c r="G659" s="61"/>
      <c r="H659" s="10"/>
      <c r="I659" s="12"/>
      <c r="J659" s="63"/>
      <c r="K659" s="10"/>
      <c r="L659" s="12"/>
      <c r="M659" s="12"/>
      <c r="N659" s="12"/>
      <c r="O659" s="12"/>
      <c r="P659" s="12"/>
      <c r="Q659" s="12"/>
      <c r="R659" s="12"/>
      <c r="S659" s="12"/>
      <c r="T659" s="12"/>
      <c r="U659" s="12"/>
    </row>
    <row r="660" customFormat="false" ht="15" hidden="false" customHeight="false" outlineLevel="0" collapsed="false">
      <c r="A660" s="12"/>
      <c r="B660" s="61"/>
      <c r="C660" s="61"/>
      <c r="D660" s="61"/>
      <c r="E660" s="62"/>
      <c r="F660" s="61"/>
      <c r="G660" s="61"/>
      <c r="H660" s="10"/>
      <c r="I660" s="12"/>
      <c r="J660" s="63"/>
      <c r="K660" s="10"/>
      <c r="L660" s="12"/>
      <c r="M660" s="12"/>
      <c r="N660" s="12"/>
      <c r="O660" s="12"/>
      <c r="P660" s="12"/>
      <c r="Q660" s="12"/>
      <c r="R660" s="12"/>
      <c r="S660" s="12"/>
      <c r="T660" s="12"/>
      <c r="U660" s="12"/>
    </row>
    <row r="661" customFormat="false" ht="15" hidden="false" customHeight="false" outlineLevel="0" collapsed="false">
      <c r="A661" s="12"/>
      <c r="B661" s="61"/>
      <c r="C661" s="61"/>
      <c r="D661" s="61"/>
      <c r="E661" s="62"/>
      <c r="F661" s="61"/>
      <c r="G661" s="61"/>
      <c r="H661" s="10"/>
      <c r="I661" s="12"/>
      <c r="J661" s="63"/>
      <c r="K661" s="10"/>
      <c r="L661" s="12"/>
      <c r="M661" s="12"/>
      <c r="N661" s="12"/>
      <c r="O661" s="12"/>
      <c r="P661" s="12"/>
      <c r="Q661" s="12"/>
      <c r="R661" s="12"/>
      <c r="S661" s="12"/>
      <c r="T661" s="12"/>
      <c r="U661" s="12"/>
    </row>
    <row r="662" customFormat="false" ht="15" hidden="false" customHeight="false" outlineLevel="0" collapsed="false">
      <c r="A662" s="12"/>
      <c r="B662" s="61"/>
      <c r="C662" s="61"/>
      <c r="D662" s="61"/>
      <c r="E662" s="62"/>
      <c r="F662" s="61"/>
      <c r="G662" s="61"/>
      <c r="H662" s="10"/>
      <c r="I662" s="12"/>
      <c r="J662" s="63"/>
      <c r="K662" s="10"/>
      <c r="L662" s="12"/>
      <c r="M662" s="12"/>
      <c r="N662" s="12"/>
      <c r="O662" s="12"/>
      <c r="P662" s="12"/>
      <c r="Q662" s="12"/>
      <c r="R662" s="12"/>
      <c r="S662" s="12"/>
      <c r="T662" s="12"/>
      <c r="U662" s="12"/>
    </row>
    <row r="663" customFormat="false" ht="15" hidden="false" customHeight="false" outlineLevel="0" collapsed="false">
      <c r="A663" s="12"/>
      <c r="B663" s="61"/>
      <c r="C663" s="61"/>
      <c r="D663" s="61"/>
      <c r="E663" s="62"/>
      <c r="F663" s="61"/>
      <c r="G663" s="61"/>
      <c r="H663" s="10"/>
      <c r="I663" s="12"/>
      <c r="J663" s="63"/>
      <c r="K663" s="10"/>
      <c r="L663" s="12"/>
      <c r="M663" s="12"/>
      <c r="N663" s="12"/>
      <c r="O663" s="12"/>
      <c r="P663" s="12"/>
      <c r="Q663" s="12"/>
      <c r="R663" s="12"/>
      <c r="S663" s="12"/>
      <c r="T663" s="12"/>
      <c r="U663" s="12"/>
    </row>
    <row r="664" customFormat="false" ht="15" hidden="false" customHeight="false" outlineLevel="0" collapsed="false">
      <c r="A664" s="12"/>
      <c r="B664" s="61"/>
      <c r="C664" s="61"/>
      <c r="D664" s="61"/>
      <c r="E664" s="62"/>
      <c r="F664" s="61"/>
      <c r="G664" s="61"/>
      <c r="H664" s="10"/>
      <c r="I664" s="12"/>
      <c r="J664" s="63"/>
      <c r="K664" s="10"/>
      <c r="L664" s="12"/>
      <c r="M664" s="12"/>
      <c r="N664" s="12"/>
      <c r="O664" s="12"/>
      <c r="P664" s="12"/>
      <c r="Q664" s="12"/>
      <c r="R664" s="12"/>
      <c r="S664" s="12"/>
      <c r="T664" s="12"/>
      <c r="U664" s="12"/>
    </row>
    <row r="665" customFormat="false" ht="15" hidden="false" customHeight="false" outlineLevel="0" collapsed="false">
      <c r="A665" s="12"/>
      <c r="B665" s="61"/>
      <c r="C665" s="61"/>
      <c r="D665" s="61"/>
      <c r="E665" s="62"/>
      <c r="F665" s="61"/>
      <c r="G665" s="61"/>
      <c r="H665" s="10"/>
      <c r="I665" s="12"/>
      <c r="J665" s="63"/>
      <c r="K665" s="10"/>
      <c r="L665" s="12"/>
      <c r="M665" s="12"/>
      <c r="N665" s="12"/>
      <c r="O665" s="12"/>
      <c r="P665" s="12"/>
      <c r="Q665" s="12"/>
      <c r="R665" s="12"/>
      <c r="S665" s="12"/>
      <c r="T665" s="12"/>
      <c r="U665" s="12"/>
    </row>
    <row r="666" customFormat="false" ht="15" hidden="false" customHeight="false" outlineLevel="0" collapsed="false">
      <c r="A666" s="12"/>
      <c r="B666" s="61"/>
      <c r="C666" s="61"/>
      <c r="D666" s="61"/>
      <c r="E666" s="62"/>
      <c r="F666" s="61"/>
      <c r="G666" s="61"/>
      <c r="H666" s="10"/>
      <c r="I666" s="12"/>
      <c r="J666" s="63"/>
      <c r="K666" s="10"/>
      <c r="L666" s="12"/>
      <c r="M666" s="12"/>
      <c r="N666" s="12"/>
      <c r="O666" s="12"/>
      <c r="P666" s="12"/>
      <c r="Q666" s="12"/>
      <c r="R666" s="12"/>
      <c r="S666" s="12"/>
      <c r="T666" s="12"/>
      <c r="U666" s="12"/>
    </row>
    <row r="667" customFormat="false" ht="15" hidden="false" customHeight="false" outlineLevel="0" collapsed="false">
      <c r="A667" s="12"/>
      <c r="B667" s="61"/>
      <c r="C667" s="61"/>
      <c r="D667" s="61"/>
      <c r="E667" s="62"/>
      <c r="F667" s="61"/>
      <c r="G667" s="61"/>
      <c r="H667" s="10"/>
      <c r="I667" s="12"/>
      <c r="J667" s="63"/>
      <c r="K667" s="10"/>
      <c r="L667" s="12"/>
      <c r="M667" s="12"/>
      <c r="N667" s="12"/>
      <c r="O667" s="12"/>
      <c r="P667" s="12"/>
      <c r="Q667" s="12"/>
      <c r="R667" s="12"/>
      <c r="S667" s="12"/>
      <c r="T667" s="12"/>
      <c r="U667" s="12"/>
    </row>
    <row r="668" customFormat="false" ht="15" hidden="false" customHeight="false" outlineLevel="0" collapsed="false">
      <c r="A668" s="12"/>
      <c r="B668" s="61"/>
      <c r="C668" s="61"/>
      <c r="D668" s="61"/>
      <c r="E668" s="62"/>
      <c r="F668" s="61"/>
      <c r="G668" s="61"/>
      <c r="H668" s="10"/>
      <c r="I668" s="12"/>
      <c r="J668" s="63"/>
      <c r="K668" s="10"/>
      <c r="L668" s="12"/>
      <c r="M668" s="12"/>
      <c r="N668" s="12"/>
      <c r="O668" s="12"/>
      <c r="P668" s="12"/>
      <c r="Q668" s="12"/>
      <c r="R668" s="12"/>
      <c r="S668" s="12"/>
      <c r="T668" s="12"/>
      <c r="U668" s="12"/>
    </row>
    <row r="669" customFormat="false" ht="15" hidden="false" customHeight="false" outlineLevel="0" collapsed="false">
      <c r="A669" s="12"/>
      <c r="B669" s="61"/>
      <c r="C669" s="61"/>
      <c r="D669" s="61"/>
      <c r="E669" s="62"/>
      <c r="F669" s="61"/>
      <c r="G669" s="61"/>
      <c r="H669" s="10"/>
      <c r="I669" s="12"/>
      <c r="J669" s="63"/>
      <c r="K669" s="10"/>
      <c r="L669" s="12"/>
      <c r="M669" s="12"/>
      <c r="N669" s="12"/>
      <c r="O669" s="12"/>
      <c r="P669" s="12"/>
      <c r="Q669" s="12"/>
      <c r="R669" s="12"/>
      <c r="S669" s="12"/>
      <c r="T669" s="12"/>
      <c r="U669" s="12"/>
    </row>
    <row r="670" customFormat="false" ht="15" hidden="false" customHeight="false" outlineLevel="0" collapsed="false">
      <c r="A670" s="12"/>
      <c r="B670" s="61"/>
      <c r="C670" s="61"/>
      <c r="D670" s="61"/>
      <c r="E670" s="62"/>
      <c r="F670" s="61"/>
      <c r="G670" s="61"/>
      <c r="H670" s="10"/>
      <c r="I670" s="12"/>
      <c r="J670" s="63"/>
      <c r="K670" s="10"/>
      <c r="L670" s="12"/>
      <c r="M670" s="12"/>
      <c r="N670" s="12"/>
      <c r="O670" s="12"/>
      <c r="P670" s="12"/>
      <c r="Q670" s="12"/>
      <c r="R670" s="12"/>
      <c r="S670" s="12"/>
      <c r="T670" s="12"/>
      <c r="U670" s="12"/>
    </row>
    <row r="671" customFormat="false" ht="15" hidden="false" customHeight="false" outlineLevel="0" collapsed="false">
      <c r="A671" s="12"/>
      <c r="B671" s="61"/>
      <c r="C671" s="61"/>
      <c r="D671" s="61"/>
      <c r="E671" s="62"/>
      <c r="F671" s="61"/>
      <c r="G671" s="61"/>
      <c r="H671" s="10"/>
      <c r="I671" s="12"/>
      <c r="J671" s="63"/>
      <c r="K671" s="10"/>
      <c r="L671" s="12"/>
      <c r="M671" s="12"/>
      <c r="N671" s="12"/>
      <c r="O671" s="12"/>
      <c r="P671" s="12"/>
      <c r="Q671" s="12"/>
      <c r="R671" s="12"/>
      <c r="S671" s="12"/>
      <c r="T671" s="12"/>
      <c r="U671" s="12"/>
    </row>
    <row r="672" customFormat="false" ht="15" hidden="false" customHeight="false" outlineLevel="0" collapsed="false">
      <c r="A672" s="12"/>
      <c r="B672" s="61"/>
      <c r="C672" s="61"/>
      <c r="D672" s="61"/>
      <c r="E672" s="62"/>
      <c r="F672" s="61"/>
      <c r="G672" s="61"/>
      <c r="H672" s="10"/>
      <c r="I672" s="12"/>
      <c r="J672" s="63"/>
      <c r="K672" s="10"/>
      <c r="L672" s="12"/>
      <c r="M672" s="12"/>
      <c r="N672" s="12"/>
      <c r="O672" s="12"/>
      <c r="P672" s="12"/>
      <c r="Q672" s="12"/>
      <c r="R672" s="12"/>
      <c r="S672" s="12"/>
      <c r="T672" s="12"/>
      <c r="U672" s="12"/>
    </row>
    <row r="673" customFormat="false" ht="15" hidden="false" customHeight="false" outlineLevel="0" collapsed="false">
      <c r="A673" s="12"/>
      <c r="B673" s="61"/>
      <c r="C673" s="61"/>
      <c r="D673" s="61"/>
      <c r="E673" s="62"/>
      <c r="F673" s="61"/>
      <c r="G673" s="61"/>
      <c r="H673" s="10"/>
      <c r="I673" s="12"/>
      <c r="J673" s="63"/>
      <c r="K673" s="10"/>
      <c r="L673" s="12"/>
      <c r="M673" s="12"/>
      <c r="N673" s="12"/>
      <c r="O673" s="12"/>
      <c r="P673" s="12"/>
      <c r="Q673" s="12"/>
      <c r="R673" s="12"/>
      <c r="S673" s="12"/>
      <c r="T673" s="12"/>
      <c r="U673" s="12"/>
    </row>
    <row r="674" customFormat="false" ht="15" hidden="false" customHeight="false" outlineLevel="0" collapsed="false">
      <c r="A674" s="12"/>
      <c r="B674" s="61"/>
      <c r="C674" s="61"/>
      <c r="D674" s="61"/>
      <c r="E674" s="62"/>
      <c r="F674" s="61"/>
      <c r="G674" s="61"/>
      <c r="H674" s="10"/>
      <c r="I674" s="12"/>
      <c r="J674" s="63"/>
      <c r="K674" s="10"/>
      <c r="L674" s="12"/>
      <c r="M674" s="12"/>
      <c r="N674" s="12"/>
      <c r="O674" s="12"/>
      <c r="P674" s="12"/>
      <c r="Q674" s="12"/>
      <c r="R674" s="12"/>
      <c r="S674" s="12"/>
      <c r="T674" s="12"/>
      <c r="U674" s="12"/>
    </row>
    <row r="675" customFormat="false" ht="15" hidden="false" customHeight="false" outlineLevel="0" collapsed="false">
      <c r="A675" s="12"/>
      <c r="B675" s="61"/>
      <c r="C675" s="61"/>
      <c r="D675" s="61"/>
      <c r="E675" s="62"/>
      <c r="F675" s="61"/>
      <c r="G675" s="61"/>
      <c r="H675" s="10"/>
      <c r="I675" s="12"/>
      <c r="J675" s="63"/>
      <c r="K675" s="10"/>
      <c r="L675" s="12"/>
      <c r="M675" s="12"/>
      <c r="N675" s="12"/>
      <c r="O675" s="12"/>
      <c r="P675" s="12"/>
      <c r="Q675" s="12"/>
      <c r="R675" s="12"/>
      <c r="S675" s="12"/>
      <c r="T675" s="12"/>
      <c r="U675" s="12"/>
    </row>
    <row r="676" customFormat="false" ht="15" hidden="false" customHeight="false" outlineLevel="0" collapsed="false">
      <c r="A676" s="12"/>
      <c r="B676" s="61"/>
      <c r="C676" s="61"/>
      <c r="D676" s="61"/>
      <c r="E676" s="62"/>
      <c r="F676" s="61"/>
      <c r="G676" s="61"/>
      <c r="H676" s="10"/>
      <c r="I676" s="12"/>
      <c r="J676" s="63"/>
      <c r="K676" s="10"/>
      <c r="L676" s="12"/>
      <c r="M676" s="12"/>
      <c r="N676" s="12"/>
      <c r="O676" s="12"/>
      <c r="P676" s="12"/>
      <c r="Q676" s="12"/>
      <c r="R676" s="12"/>
      <c r="S676" s="12"/>
      <c r="T676" s="12"/>
      <c r="U676" s="12"/>
    </row>
    <row r="677" customFormat="false" ht="15" hidden="false" customHeight="false" outlineLevel="0" collapsed="false">
      <c r="A677" s="12"/>
      <c r="B677" s="61"/>
      <c r="C677" s="61"/>
      <c r="D677" s="61"/>
      <c r="E677" s="62"/>
      <c r="F677" s="61"/>
      <c r="G677" s="61"/>
      <c r="H677" s="10"/>
      <c r="I677" s="12"/>
      <c r="J677" s="63"/>
      <c r="K677" s="10"/>
      <c r="L677" s="12"/>
      <c r="M677" s="12"/>
      <c r="N677" s="12"/>
      <c r="O677" s="12"/>
      <c r="P677" s="12"/>
      <c r="Q677" s="12"/>
      <c r="R677" s="12"/>
      <c r="S677" s="12"/>
      <c r="T677" s="12"/>
      <c r="U677" s="12"/>
    </row>
    <row r="678" customFormat="false" ht="15" hidden="false" customHeight="false" outlineLevel="0" collapsed="false">
      <c r="A678" s="12"/>
      <c r="B678" s="61"/>
      <c r="C678" s="61"/>
      <c r="D678" s="61"/>
      <c r="E678" s="62"/>
      <c r="F678" s="61"/>
      <c r="G678" s="61"/>
      <c r="H678" s="10"/>
      <c r="I678" s="12"/>
      <c r="J678" s="63"/>
      <c r="K678" s="10"/>
      <c r="L678" s="12"/>
      <c r="M678" s="12"/>
      <c r="N678" s="12"/>
      <c r="O678" s="12"/>
      <c r="P678" s="12"/>
      <c r="Q678" s="12"/>
      <c r="R678" s="12"/>
      <c r="S678" s="12"/>
      <c r="T678" s="12"/>
      <c r="U678" s="12"/>
    </row>
    <row r="679" customFormat="false" ht="15" hidden="false" customHeight="false" outlineLevel="0" collapsed="false">
      <c r="A679" s="12"/>
      <c r="B679" s="61"/>
      <c r="C679" s="61"/>
      <c r="D679" s="61"/>
      <c r="E679" s="62"/>
      <c r="F679" s="61"/>
      <c r="G679" s="61"/>
      <c r="H679" s="10"/>
      <c r="I679" s="12"/>
      <c r="J679" s="63"/>
      <c r="K679" s="10"/>
      <c r="L679" s="12"/>
      <c r="M679" s="12"/>
      <c r="N679" s="12"/>
      <c r="O679" s="12"/>
      <c r="P679" s="12"/>
      <c r="Q679" s="12"/>
      <c r="R679" s="12"/>
      <c r="S679" s="12"/>
      <c r="T679" s="12"/>
      <c r="U679" s="12"/>
    </row>
    <row r="680" customFormat="false" ht="15" hidden="false" customHeight="false" outlineLevel="0" collapsed="false">
      <c r="A680" s="12"/>
      <c r="B680" s="61"/>
      <c r="C680" s="61"/>
      <c r="D680" s="61"/>
      <c r="E680" s="62"/>
      <c r="F680" s="61"/>
      <c r="G680" s="61"/>
      <c r="H680" s="10"/>
      <c r="I680" s="12"/>
      <c r="J680" s="63"/>
      <c r="K680" s="10"/>
      <c r="L680" s="12"/>
      <c r="M680" s="12"/>
      <c r="N680" s="12"/>
      <c r="O680" s="12"/>
      <c r="P680" s="12"/>
      <c r="Q680" s="12"/>
      <c r="R680" s="12"/>
      <c r="S680" s="12"/>
      <c r="T680" s="12"/>
      <c r="U680" s="12"/>
    </row>
    <row r="681" customFormat="false" ht="15" hidden="false" customHeight="false" outlineLevel="0" collapsed="false">
      <c r="A681" s="12"/>
      <c r="B681" s="61"/>
      <c r="C681" s="61"/>
      <c r="D681" s="61"/>
      <c r="E681" s="62"/>
      <c r="F681" s="61"/>
      <c r="G681" s="61"/>
      <c r="H681" s="10"/>
      <c r="I681" s="12"/>
      <c r="J681" s="63"/>
      <c r="K681" s="10"/>
      <c r="L681" s="12"/>
      <c r="M681" s="12"/>
      <c r="N681" s="12"/>
      <c r="O681" s="12"/>
      <c r="P681" s="12"/>
      <c r="Q681" s="12"/>
      <c r="R681" s="12"/>
      <c r="S681" s="12"/>
      <c r="T681" s="12"/>
      <c r="U681" s="12"/>
    </row>
    <row r="682" customFormat="false" ht="15" hidden="false" customHeight="false" outlineLevel="0" collapsed="false">
      <c r="A682" s="12"/>
      <c r="B682" s="61"/>
      <c r="C682" s="61"/>
      <c r="D682" s="61"/>
      <c r="E682" s="62"/>
      <c r="F682" s="61"/>
      <c r="G682" s="61"/>
      <c r="H682" s="10"/>
      <c r="I682" s="12"/>
      <c r="J682" s="63"/>
      <c r="K682" s="10"/>
      <c r="L682" s="12"/>
      <c r="M682" s="12"/>
      <c r="N682" s="12"/>
      <c r="O682" s="12"/>
      <c r="P682" s="12"/>
      <c r="Q682" s="12"/>
      <c r="R682" s="12"/>
      <c r="S682" s="12"/>
      <c r="T682" s="12"/>
      <c r="U682" s="12"/>
    </row>
    <row r="683" customFormat="false" ht="15" hidden="false" customHeight="false" outlineLevel="0" collapsed="false">
      <c r="A683" s="12"/>
      <c r="B683" s="61"/>
      <c r="C683" s="61"/>
      <c r="D683" s="61"/>
      <c r="E683" s="62"/>
      <c r="F683" s="61"/>
      <c r="G683" s="61"/>
      <c r="H683" s="10"/>
      <c r="I683" s="12"/>
      <c r="J683" s="63"/>
      <c r="K683" s="10"/>
      <c r="L683" s="12"/>
      <c r="M683" s="12"/>
      <c r="N683" s="12"/>
      <c r="O683" s="12"/>
      <c r="P683" s="12"/>
      <c r="Q683" s="12"/>
      <c r="R683" s="12"/>
      <c r="S683" s="12"/>
      <c r="T683" s="12"/>
      <c r="U683" s="12"/>
    </row>
    <row r="684" customFormat="false" ht="15" hidden="false" customHeight="false" outlineLevel="0" collapsed="false">
      <c r="A684" s="12"/>
      <c r="B684" s="61"/>
      <c r="C684" s="61"/>
      <c r="D684" s="61"/>
      <c r="E684" s="62"/>
      <c r="F684" s="61"/>
      <c r="G684" s="61"/>
      <c r="H684" s="10"/>
      <c r="I684" s="12"/>
      <c r="J684" s="63"/>
      <c r="K684" s="10"/>
      <c r="L684" s="12"/>
      <c r="M684" s="12"/>
      <c r="N684" s="12"/>
      <c r="O684" s="12"/>
      <c r="P684" s="12"/>
      <c r="Q684" s="12"/>
      <c r="R684" s="12"/>
      <c r="S684" s="12"/>
      <c r="T684" s="12"/>
      <c r="U684" s="12"/>
    </row>
    <row r="685" customFormat="false" ht="15" hidden="false" customHeight="false" outlineLevel="0" collapsed="false">
      <c r="A685" s="12"/>
      <c r="B685" s="61"/>
      <c r="C685" s="61"/>
      <c r="D685" s="61"/>
      <c r="E685" s="62"/>
      <c r="F685" s="61"/>
      <c r="G685" s="61"/>
      <c r="H685" s="10"/>
      <c r="I685" s="12"/>
      <c r="J685" s="63"/>
      <c r="K685" s="10"/>
      <c r="L685" s="12"/>
      <c r="M685" s="12"/>
      <c r="N685" s="12"/>
      <c r="O685" s="12"/>
      <c r="P685" s="12"/>
      <c r="Q685" s="12"/>
      <c r="R685" s="12"/>
      <c r="S685" s="12"/>
      <c r="T685" s="12"/>
      <c r="U685" s="12"/>
    </row>
    <row r="686" customFormat="false" ht="15" hidden="false" customHeight="false" outlineLevel="0" collapsed="false">
      <c r="A686" s="12"/>
      <c r="B686" s="61"/>
      <c r="C686" s="61"/>
      <c r="D686" s="61"/>
      <c r="E686" s="62"/>
      <c r="F686" s="61"/>
      <c r="G686" s="61"/>
      <c r="H686" s="10"/>
      <c r="I686" s="12"/>
      <c r="J686" s="63"/>
      <c r="K686" s="10"/>
      <c r="L686" s="12"/>
      <c r="M686" s="12"/>
      <c r="N686" s="12"/>
      <c r="O686" s="12"/>
      <c r="P686" s="12"/>
      <c r="Q686" s="12"/>
      <c r="R686" s="12"/>
      <c r="S686" s="12"/>
      <c r="T686" s="12"/>
      <c r="U686" s="12"/>
    </row>
    <row r="687" customFormat="false" ht="15" hidden="false" customHeight="false" outlineLevel="0" collapsed="false">
      <c r="A687" s="12"/>
      <c r="B687" s="61"/>
      <c r="C687" s="61"/>
      <c r="D687" s="61"/>
      <c r="E687" s="62"/>
      <c r="F687" s="61"/>
      <c r="G687" s="61"/>
      <c r="H687" s="10"/>
      <c r="I687" s="12"/>
      <c r="J687" s="63"/>
      <c r="K687" s="10"/>
      <c r="L687" s="12"/>
      <c r="M687" s="12"/>
      <c r="N687" s="12"/>
      <c r="O687" s="12"/>
      <c r="P687" s="12"/>
      <c r="Q687" s="12"/>
      <c r="R687" s="12"/>
      <c r="S687" s="12"/>
      <c r="T687" s="12"/>
      <c r="U687" s="12"/>
    </row>
    <row r="688" customFormat="false" ht="15" hidden="false" customHeight="false" outlineLevel="0" collapsed="false">
      <c r="A688" s="12"/>
      <c r="B688" s="61"/>
      <c r="C688" s="61"/>
      <c r="D688" s="61"/>
      <c r="E688" s="62"/>
      <c r="F688" s="61"/>
      <c r="G688" s="61"/>
      <c r="H688" s="10"/>
      <c r="I688" s="12"/>
      <c r="J688" s="63"/>
      <c r="K688" s="10"/>
      <c r="L688" s="12"/>
      <c r="M688" s="12"/>
      <c r="N688" s="12"/>
      <c r="O688" s="12"/>
      <c r="P688" s="12"/>
      <c r="Q688" s="12"/>
      <c r="R688" s="12"/>
      <c r="S688" s="12"/>
      <c r="T688" s="12"/>
      <c r="U688" s="12"/>
    </row>
    <row r="689" customFormat="false" ht="15" hidden="false" customHeight="false" outlineLevel="0" collapsed="false">
      <c r="A689" s="12"/>
      <c r="B689" s="61"/>
      <c r="C689" s="61"/>
      <c r="D689" s="61"/>
      <c r="E689" s="62"/>
      <c r="F689" s="61"/>
      <c r="G689" s="61"/>
      <c r="H689" s="10"/>
      <c r="I689" s="12"/>
      <c r="J689" s="63"/>
      <c r="K689" s="10"/>
      <c r="L689" s="12"/>
      <c r="M689" s="12"/>
      <c r="N689" s="12"/>
      <c r="O689" s="12"/>
      <c r="P689" s="12"/>
      <c r="Q689" s="12"/>
      <c r="R689" s="12"/>
      <c r="S689" s="12"/>
      <c r="T689" s="12"/>
      <c r="U689" s="12"/>
    </row>
    <row r="690" customFormat="false" ht="15" hidden="false" customHeight="false" outlineLevel="0" collapsed="false">
      <c r="A690" s="12"/>
      <c r="B690" s="61"/>
      <c r="C690" s="61"/>
      <c r="D690" s="61"/>
      <c r="E690" s="62"/>
      <c r="F690" s="61"/>
      <c r="G690" s="61"/>
      <c r="H690" s="10"/>
      <c r="I690" s="12"/>
      <c r="J690" s="63"/>
      <c r="K690" s="10"/>
      <c r="L690" s="12"/>
      <c r="M690" s="12"/>
      <c r="N690" s="12"/>
      <c r="O690" s="12"/>
      <c r="P690" s="12"/>
      <c r="Q690" s="12"/>
      <c r="R690" s="12"/>
      <c r="S690" s="12"/>
      <c r="T690" s="12"/>
      <c r="U690" s="12"/>
    </row>
    <row r="691" customFormat="false" ht="15" hidden="false" customHeight="false" outlineLevel="0" collapsed="false">
      <c r="A691" s="12"/>
      <c r="B691" s="61"/>
      <c r="C691" s="61"/>
      <c r="D691" s="61"/>
      <c r="E691" s="62"/>
      <c r="F691" s="61"/>
      <c r="G691" s="61"/>
      <c r="H691" s="10"/>
      <c r="I691" s="12"/>
      <c r="J691" s="63"/>
      <c r="K691" s="10"/>
      <c r="L691" s="12"/>
      <c r="M691" s="12"/>
      <c r="N691" s="12"/>
      <c r="O691" s="12"/>
      <c r="P691" s="12"/>
      <c r="Q691" s="12"/>
      <c r="R691" s="12"/>
      <c r="S691" s="12"/>
      <c r="T691" s="12"/>
      <c r="U691" s="12"/>
    </row>
    <row r="692" customFormat="false" ht="15" hidden="false" customHeight="false" outlineLevel="0" collapsed="false">
      <c r="A692" s="12"/>
      <c r="B692" s="61"/>
      <c r="C692" s="61"/>
      <c r="D692" s="61"/>
      <c r="E692" s="62"/>
      <c r="F692" s="61"/>
      <c r="G692" s="61"/>
      <c r="H692" s="10"/>
      <c r="I692" s="12"/>
      <c r="J692" s="63"/>
      <c r="K692" s="10"/>
      <c r="L692" s="12"/>
      <c r="M692" s="12"/>
      <c r="N692" s="12"/>
      <c r="O692" s="12"/>
      <c r="P692" s="12"/>
      <c r="Q692" s="12"/>
      <c r="R692" s="12"/>
      <c r="S692" s="12"/>
      <c r="T692" s="12"/>
      <c r="U692" s="12"/>
    </row>
    <row r="693" customFormat="false" ht="15" hidden="false" customHeight="false" outlineLevel="0" collapsed="false">
      <c r="A693" s="12"/>
      <c r="B693" s="61"/>
      <c r="C693" s="61"/>
      <c r="D693" s="61"/>
      <c r="E693" s="62"/>
      <c r="F693" s="61"/>
      <c r="G693" s="61"/>
      <c r="H693" s="10"/>
      <c r="I693" s="12"/>
      <c r="J693" s="63"/>
      <c r="K693" s="10"/>
      <c r="L693" s="12"/>
      <c r="M693" s="12"/>
      <c r="N693" s="12"/>
      <c r="O693" s="12"/>
      <c r="P693" s="12"/>
      <c r="Q693" s="12"/>
      <c r="R693" s="12"/>
      <c r="S693" s="12"/>
      <c r="T693" s="12"/>
      <c r="U693" s="12"/>
    </row>
    <row r="694" customFormat="false" ht="15" hidden="false" customHeight="false" outlineLevel="0" collapsed="false">
      <c r="A694" s="12"/>
      <c r="B694" s="61"/>
      <c r="C694" s="61"/>
      <c r="D694" s="61"/>
      <c r="E694" s="62"/>
      <c r="F694" s="61"/>
      <c r="G694" s="61"/>
      <c r="H694" s="10"/>
      <c r="I694" s="12"/>
      <c r="J694" s="63"/>
      <c r="K694" s="10"/>
      <c r="L694" s="12"/>
      <c r="M694" s="12"/>
      <c r="N694" s="12"/>
      <c r="O694" s="12"/>
      <c r="P694" s="12"/>
      <c r="Q694" s="12"/>
      <c r="R694" s="12"/>
      <c r="S694" s="12"/>
      <c r="T694" s="12"/>
      <c r="U694" s="12"/>
    </row>
    <row r="695" customFormat="false" ht="15" hidden="false" customHeight="false" outlineLevel="0" collapsed="false">
      <c r="A695" s="12"/>
      <c r="B695" s="61"/>
      <c r="C695" s="61"/>
      <c r="D695" s="61"/>
      <c r="E695" s="62"/>
      <c r="F695" s="61"/>
      <c r="G695" s="61"/>
      <c r="H695" s="10"/>
      <c r="I695" s="12"/>
      <c r="J695" s="63"/>
      <c r="K695" s="10"/>
      <c r="L695" s="12"/>
      <c r="M695" s="12"/>
      <c r="N695" s="12"/>
      <c r="O695" s="12"/>
      <c r="P695" s="12"/>
      <c r="Q695" s="12"/>
      <c r="R695" s="12"/>
      <c r="S695" s="12"/>
      <c r="T695" s="12"/>
      <c r="U695" s="12"/>
    </row>
    <row r="696" customFormat="false" ht="15" hidden="false" customHeight="false" outlineLevel="0" collapsed="false">
      <c r="A696" s="12"/>
      <c r="B696" s="61"/>
      <c r="C696" s="61"/>
      <c r="D696" s="61"/>
      <c r="E696" s="62"/>
      <c r="F696" s="61"/>
      <c r="G696" s="61"/>
      <c r="H696" s="10"/>
      <c r="I696" s="12"/>
      <c r="J696" s="63"/>
      <c r="K696" s="10"/>
      <c r="L696" s="12"/>
      <c r="M696" s="12"/>
      <c r="N696" s="12"/>
      <c r="O696" s="12"/>
      <c r="P696" s="12"/>
      <c r="Q696" s="12"/>
      <c r="R696" s="12"/>
      <c r="S696" s="12"/>
      <c r="T696" s="12"/>
      <c r="U696" s="12"/>
    </row>
    <row r="697" customFormat="false" ht="15" hidden="false" customHeight="false" outlineLevel="0" collapsed="false">
      <c r="A697" s="12"/>
      <c r="B697" s="61"/>
      <c r="C697" s="61"/>
      <c r="D697" s="61"/>
      <c r="E697" s="62"/>
      <c r="F697" s="61"/>
      <c r="G697" s="61"/>
      <c r="H697" s="10"/>
      <c r="I697" s="12"/>
      <c r="J697" s="63"/>
      <c r="K697" s="10"/>
      <c r="L697" s="12"/>
      <c r="M697" s="12"/>
      <c r="N697" s="12"/>
      <c r="O697" s="12"/>
      <c r="P697" s="12"/>
      <c r="Q697" s="12"/>
      <c r="R697" s="12"/>
      <c r="S697" s="12"/>
      <c r="T697" s="12"/>
      <c r="U697" s="12"/>
    </row>
    <row r="698" customFormat="false" ht="15" hidden="false" customHeight="false" outlineLevel="0" collapsed="false">
      <c r="A698" s="12"/>
      <c r="B698" s="61"/>
      <c r="C698" s="61"/>
      <c r="D698" s="61"/>
      <c r="E698" s="62"/>
      <c r="F698" s="61"/>
      <c r="G698" s="61"/>
      <c r="H698" s="10"/>
      <c r="I698" s="12"/>
      <c r="J698" s="63"/>
      <c r="K698" s="10"/>
      <c r="L698" s="12"/>
      <c r="M698" s="12"/>
      <c r="N698" s="12"/>
      <c r="O698" s="12"/>
      <c r="P698" s="12"/>
      <c r="Q698" s="12"/>
      <c r="R698" s="12"/>
      <c r="S698" s="12"/>
      <c r="T698" s="12"/>
      <c r="U698" s="12"/>
    </row>
    <row r="699" customFormat="false" ht="15" hidden="false" customHeight="false" outlineLevel="0" collapsed="false">
      <c r="A699" s="12"/>
      <c r="B699" s="61"/>
      <c r="C699" s="61"/>
      <c r="D699" s="61"/>
      <c r="E699" s="62"/>
      <c r="F699" s="61"/>
      <c r="G699" s="61"/>
      <c r="H699" s="10"/>
      <c r="I699" s="12"/>
      <c r="J699" s="63"/>
      <c r="K699" s="10"/>
      <c r="L699" s="12"/>
      <c r="M699" s="12"/>
      <c r="N699" s="12"/>
      <c r="O699" s="12"/>
      <c r="P699" s="12"/>
      <c r="Q699" s="12"/>
      <c r="R699" s="12"/>
      <c r="S699" s="12"/>
      <c r="T699" s="12"/>
      <c r="U699" s="12"/>
    </row>
    <row r="700" customFormat="false" ht="15" hidden="false" customHeight="false" outlineLevel="0" collapsed="false">
      <c r="A700" s="12"/>
      <c r="B700" s="61"/>
      <c r="C700" s="61"/>
      <c r="D700" s="61"/>
      <c r="E700" s="62"/>
      <c r="F700" s="61"/>
      <c r="G700" s="61"/>
      <c r="H700" s="10"/>
      <c r="I700" s="12"/>
      <c r="J700" s="63"/>
      <c r="K700" s="10"/>
      <c r="L700" s="12"/>
      <c r="M700" s="12"/>
      <c r="N700" s="12"/>
      <c r="O700" s="12"/>
      <c r="P700" s="12"/>
      <c r="Q700" s="12"/>
      <c r="R700" s="12"/>
      <c r="S700" s="12"/>
      <c r="T700" s="12"/>
      <c r="U700" s="12"/>
    </row>
    <row r="701" customFormat="false" ht="15" hidden="false" customHeight="false" outlineLevel="0" collapsed="false">
      <c r="A701" s="12"/>
      <c r="B701" s="61"/>
      <c r="C701" s="61"/>
      <c r="D701" s="61"/>
      <c r="E701" s="62"/>
      <c r="F701" s="61"/>
      <c r="G701" s="61"/>
      <c r="H701" s="10"/>
      <c r="I701" s="12"/>
      <c r="J701" s="63"/>
      <c r="K701" s="10"/>
      <c r="L701" s="12"/>
      <c r="M701" s="12"/>
      <c r="N701" s="12"/>
      <c r="O701" s="12"/>
      <c r="P701" s="12"/>
      <c r="Q701" s="12"/>
      <c r="R701" s="12"/>
      <c r="S701" s="12"/>
      <c r="T701" s="12"/>
      <c r="U701" s="12"/>
    </row>
    <row r="702" customFormat="false" ht="15" hidden="false" customHeight="false" outlineLevel="0" collapsed="false">
      <c r="A702" s="12"/>
      <c r="B702" s="61"/>
      <c r="C702" s="61"/>
      <c r="D702" s="61"/>
      <c r="E702" s="62"/>
      <c r="F702" s="61"/>
      <c r="G702" s="61"/>
      <c r="H702" s="10"/>
      <c r="I702" s="12"/>
      <c r="J702" s="63"/>
      <c r="K702" s="10"/>
      <c r="L702" s="12"/>
      <c r="M702" s="12"/>
      <c r="N702" s="12"/>
      <c r="O702" s="12"/>
      <c r="P702" s="12"/>
      <c r="Q702" s="12"/>
      <c r="R702" s="12"/>
      <c r="S702" s="12"/>
      <c r="T702" s="12"/>
      <c r="U702" s="12"/>
    </row>
    <row r="703" customFormat="false" ht="15" hidden="false" customHeight="false" outlineLevel="0" collapsed="false">
      <c r="A703" s="12"/>
      <c r="B703" s="61"/>
      <c r="C703" s="61"/>
      <c r="D703" s="61"/>
      <c r="E703" s="62"/>
      <c r="F703" s="61"/>
      <c r="G703" s="61"/>
      <c r="H703" s="10"/>
      <c r="I703" s="12"/>
      <c r="J703" s="63"/>
      <c r="K703" s="10"/>
      <c r="L703" s="12"/>
      <c r="M703" s="12"/>
      <c r="N703" s="12"/>
      <c r="O703" s="12"/>
      <c r="P703" s="12"/>
      <c r="Q703" s="12"/>
      <c r="R703" s="12"/>
      <c r="S703" s="12"/>
      <c r="T703" s="12"/>
      <c r="U703" s="12"/>
    </row>
    <row r="704" customFormat="false" ht="15" hidden="false" customHeight="false" outlineLevel="0" collapsed="false">
      <c r="A704" s="12"/>
      <c r="B704" s="61"/>
      <c r="C704" s="61"/>
      <c r="D704" s="61"/>
      <c r="E704" s="62"/>
      <c r="F704" s="61"/>
      <c r="G704" s="61"/>
      <c r="H704" s="10"/>
      <c r="I704" s="12"/>
      <c r="J704" s="63"/>
      <c r="K704" s="10"/>
      <c r="L704" s="12"/>
      <c r="M704" s="12"/>
      <c r="N704" s="12"/>
      <c r="O704" s="12"/>
      <c r="P704" s="12"/>
      <c r="Q704" s="12"/>
      <c r="R704" s="12"/>
      <c r="S704" s="12"/>
      <c r="T704" s="12"/>
      <c r="U704" s="12"/>
    </row>
    <row r="705" customFormat="false" ht="15" hidden="false" customHeight="false" outlineLevel="0" collapsed="false">
      <c r="A705" s="12"/>
      <c r="B705" s="61"/>
      <c r="C705" s="61"/>
      <c r="D705" s="61"/>
      <c r="E705" s="62"/>
      <c r="F705" s="61"/>
      <c r="G705" s="61"/>
      <c r="H705" s="10"/>
      <c r="I705" s="12"/>
      <c r="J705" s="63"/>
      <c r="K705" s="10"/>
      <c r="L705" s="12"/>
      <c r="M705" s="12"/>
      <c r="N705" s="12"/>
      <c r="O705" s="12"/>
      <c r="P705" s="12"/>
      <c r="Q705" s="12"/>
      <c r="R705" s="12"/>
      <c r="S705" s="12"/>
      <c r="T705" s="12"/>
      <c r="U705" s="12"/>
    </row>
    <row r="706" customFormat="false" ht="15" hidden="false" customHeight="false" outlineLevel="0" collapsed="false">
      <c r="A706" s="12"/>
      <c r="B706" s="61"/>
      <c r="C706" s="61"/>
      <c r="D706" s="61"/>
      <c r="E706" s="62"/>
      <c r="F706" s="61"/>
      <c r="G706" s="61"/>
      <c r="H706" s="10"/>
      <c r="I706" s="12"/>
      <c r="J706" s="63"/>
      <c r="K706" s="10"/>
      <c r="L706" s="12"/>
      <c r="M706" s="12"/>
      <c r="N706" s="12"/>
      <c r="O706" s="12"/>
      <c r="P706" s="12"/>
      <c r="Q706" s="12"/>
      <c r="R706" s="12"/>
      <c r="S706" s="12"/>
      <c r="T706" s="12"/>
      <c r="U706" s="12"/>
    </row>
    <row r="707" customFormat="false" ht="15" hidden="false" customHeight="false" outlineLevel="0" collapsed="false">
      <c r="A707" s="12"/>
      <c r="B707" s="61"/>
      <c r="C707" s="61"/>
      <c r="D707" s="61"/>
      <c r="E707" s="62"/>
      <c r="F707" s="61"/>
      <c r="G707" s="61"/>
      <c r="H707" s="10"/>
      <c r="I707" s="12"/>
      <c r="J707" s="63"/>
      <c r="K707" s="10"/>
      <c r="L707" s="12"/>
      <c r="M707" s="12"/>
      <c r="N707" s="12"/>
      <c r="O707" s="12"/>
      <c r="P707" s="12"/>
      <c r="Q707" s="12"/>
      <c r="R707" s="12"/>
      <c r="S707" s="12"/>
      <c r="T707" s="12"/>
      <c r="U707" s="12"/>
    </row>
    <row r="708" customFormat="false" ht="15" hidden="false" customHeight="false" outlineLevel="0" collapsed="false">
      <c r="A708" s="12"/>
      <c r="B708" s="61"/>
      <c r="C708" s="61"/>
      <c r="D708" s="61"/>
      <c r="E708" s="62"/>
      <c r="F708" s="61"/>
      <c r="G708" s="61"/>
      <c r="H708" s="10"/>
      <c r="I708" s="12"/>
      <c r="J708" s="63"/>
      <c r="K708" s="10"/>
      <c r="L708" s="12"/>
      <c r="M708" s="12"/>
      <c r="N708" s="12"/>
      <c r="O708" s="12"/>
      <c r="P708" s="12"/>
      <c r="Q708" s="12"/>
      <c r="R708" s="12"/>
      <c r="S708" s="12"/>
      <c r="T708" s="12"/>
      <c r="U708" s="12"/>
    </row>
    <row r="709" customFormat="false" ht="15" hidden="false" customHeight="false" outlineLevel="0" collapsed="false">
      <c r="A709" s="12"/>
      <c r="B709" s="61"/>
      <c r="C709" s="61"/>
      <c r="D709" s="61"/>
      <c r="E709" s="62"/>
      <c r="F709" s="61"/>
      <c r="G709" s="61"/>
      <c r="H709" s="10"/>
      <c r="I709" s="12"/>
      <c r="J709" s="63"/>
      <c r="K709" s="10"/>
      <c r="L709" s="12"/>
      <c r="M709" s="12"/>
      <c r="N709" s="12"/>
      <c r="O709" s="12"/>
      <c r="P709" s="12"/>
      <c r="Q709" s="12"/>
      <c r="R709" s="12"/>
      <c r="S709" s="12"/>
      <c r="T709" s="12"/>
      <c r="U709" s="12"/>
    </row>
    <row r="710" customFormat="false" ht="15" hidden="false" customHeight="false" outlineLevel="0" collapsed="false">
      <c r="A710" s="12"/>
      <c r="B710" s="61"/>
      <c r="C710" s="61"/>
      <c r="D710" s="61"/>
      <c r="E710" s="62"/>
      <c r="F710" s="61"/>
      <c r="G710" s="61"/>
      <c r="H710" s="10"/>
      <c r="I710" s="12"/>
      <c r="J710" s="63"/>
      <c r="K710" s="10"/>
      <c r="L710" s="12"/>
      <c r="M710" s="12"/>
      <c r="N710" s="12"/>
      <c r="O710" s="12"/>
      <c r="P710" s="12"/>
      <c r="Q710" s="12"/>
      <c r="R710" s="12"/>
      <c r="S710" s="12"/>
      <c r="T710" s="12"/>
      <c r="U710" s="12"/>
    </row>
    <row r="711" customFormat="false" ht="15" hidden="false" customHeight="false" outlineLevel="0" collapsed="false">
      <c r="A711" s="12"/>
      <c r="B711" s="61"/>
      <c r="C711" s="61"/>
      <c r="D711" s="61"/>
      <c r="E711" s="62"/>
      <c r="F711" s="61"/>
      <c r="G711" s="61"/>
      <c r="H711" s="10"/>
      <c r="I711" s="12"/>
      <c r="J711" s="63"/>
      <c r="K711" s="10"/>
      <c r="L711" s="12"/>
      <c r="M711" s="12"/>
      <c r="N711" s="12"/>
      <c r="O711" s="12"/>
      <c r="P711" s="12"/>
      <c r="Q711" s="12"/>
      <c r="R711" s="12"/>
      <c r="S711" s="12"/>
      <c r="T711" s="12"/>
      <c r="U711" s="12"/>
    </row>
    <row r="712" customFormat="false" ht="15" hidden="false" customHeight="false" outlineLevel="0" collapsed="false">
      <c r="A712" s="12"/>
      <c r="B712" s="61"/>
      <c r="C712" s="61"/>
      <c r="D712" s="61"/>
      <c r="E712" s="62"/>
      <c r="F712" s="61"/>
      <c r="G712" s="61"/>
      <c r="H712" s="10"/>
      <c r="I712" s="12"/>
      <c r="J712" s="63"/>
      <c r="K712" s="10"/>
      <c r="L712" s="12"/>
      <c r="M712" s="12"/>
      <c r="N712" s="12"/>
      <c r="O712" s="12"/>
      <c r="P712" s="12"/>
      <c r="Q712" s="12"/>
      <c r="R712" s="12"/>
      <c r="S712" s="12"/>
      <c r="T712" s="12"/>
      <c r="U712" s="12"/>
    </row>
    <row r="713" customFormat="false" ht="15" hidden="false" customHeight="false" outlineLevel="0" collapsed="false">
      <c r="A713" s="12"/>
      <c r="B713" s="61"/>
      <c r="C713" s="61"/>
      <c r="D713" s="61"/>
      <c r="E713" s="62"/>
      <c r="F713" s="61"/>
      <c r="G713" s="61"/>
      <c r="H713" s="10"/>
      <c r="I713" s="12"/>
      <c r="J713" s="63"/>
      <c r="K713" s="10"/>
      <c r="L713" s="12"/>
      <c r="M713" s="12"/>
      <c r="N713" s="12"/>
      <c r="O713" s="12"/>
      <c r="P713" s="12"/>
      <c r="Q713" s="12"/>
      <c r="R713" s="12"/>
      <c r="S713" s="12"/>
      <c r="T713" s="12"/>
      <c r="U713" s="12"/>
    </row>
    <row r="714" customFormat="false" ht="15" hidden="false" customHeight="false" outlineLevel="0" collapsed="false">
      <c r="A714" s="12"/>
      <c r="B714" s="61"/>
      <c r="C714" s="61"/>
      <c r="D714" s="61"/>
      <c r="E714" s="62"/>
      <c r="F714" s="61"/>
      <c r="G714" s="61"/>
      <c r="H714" s="10"/>
      <c r="I714" s="12"/>
      <c r="J714" s="63"/>
      <c r="K714" s="10"/>
      <c r="L714" s="12"/>
      <c r="M714" s="12"/>
      <c r="N714" s="12"/>
      <c r="O714" s="12"/>
      <c r="P714" s="12"/>
      <c r="Q714" s="12"/>
      <c r="R714" s="12"/>
      <c r="S714" s="12"/>
      <c r="T714" s="12"/>
      <c r="U714" s="12"/>
    </row>
    <row r="715" customFormat="false" ht="15" hidden="false" customHeight="false" outlineLevel="0" collapsed="false">
      <c r="A715" s="12"/>
      <c r="B715" s="61"/>
      <c r="C715" s="61"/>
      <c r="D715" s="61"/>
      <c r="E715" s="62"/>
      <c r="F715" s="61"/>
      <c r="G715" s="61"/>
      <c r="H715" s="10"/>
      <c r="I715" s="12"/>
      <c r="J715" s="63"/>
      <c r="K715" s="10"/>
      <c r="L715" s="12"/>
      <c r="M715" s="12"/>
      <c r="N715" s="12"/>
      <c r="O715" s="12"/>
      <c r="P715" s="12"/>
      <c r="Q715" s="12"/>
      <c r="R715" s="12"/>
      <c r="S715" s="12"/>
      <c r="T715" s="12"/>
      <c r="U715" s="12"/>
    </row>
    <row r="716" customFormat="false" ht="15" hidden="false" customHeight="false" outlineLevel="0" collapsed="false">
      <c r="A716" s="12"/>
      <c r="B716" s="61"/>
      <c r="C716" s="61"/>
      <c r="D716" s="61"/>
      <c r="E716" s="62"/>
      <c r="F716" s="61"/>
      <c r="G716" s="61"/>
      <c r="H716" s="10"/>
      <c r="I716" s="12"/>
      <c r="J716" s="63"/>
      <c r="K716" s="10"/>
      <c r="L716" s="12"/>
      <c r="M716" s="12"/>
      <c r="N716" s="12"/>
      <c r="O716" s="12"/>
      <c r="P716" s="12"/>
      <c r="Q716" s="12"/>
      <c r="R716" s="12"/>
      <c r="S716" s="12"/>
      <c r="T716" s="12"/>
      <c r="U716" s="12"/>
    </row>
    <row r="717" customFormat="false" ht="15" hidden="false" customHeight="false" outlineLevel="0" collapsed="false">
      <c r="A717" s="12"/>
      <c r="B717" s="61"/>
      <c r="C717" s="61"/>
      <c r="D717" s="61"/>
      <c r="E717" s="62"/>
      <c r="F717" s="61"/>
      <c r="G717" s="61"/>
      <c r="H717" s="10"/>
      <c r="I717" s="12"/>
      <c r="J717" s="63"/>
      <c r="K717" s="10"/>
      <c r="L717" s="12"/>
      <c r="M717" s="12"/>
      <c r="N717" s="12"/>
      <c r="O717" s="12"/>
      <c r="P717" s="12"/>
      <c r="Q717" s="12"/>
      <c r="R717" s="12"/>
      <c r="S717" s="12"/>
      <c r="T717" s="12"/>
      <c r="U717" s="12"/>
    </row>
    <row r="718" customFormat="false" ht="15" hidden="false" customHeight="false" outlineLevel="0" collapsed="false">
      <c r="A718" s="12"/>
      <c r="B718" s="61"/>
      <c r="C718" s="61"/>
      <c r="D718" s="61"/>
      <c r="E718" s="62"/>
      <c r="F718" s="61"/>
      <c r="G718" s="61"/>
      <c r="H718" s="10"/>
      <c r="I718" s="12"/>
      <c r="J718" s="63"/>
      <c r="K718" s="10"/>
      <c r="L718" s="12"/>
      <c r="M718" s="12"/>
      <c r="N718" s="12"/>
      <c r="O718" s="12"/>
      <c r="P718" s="12"/>
      <c r="Q718" s="12"/>
      <c r="R718" s="12"/>
      <c r="S718" s="12"/>
      <c r="T718" s="12"/>
      <c r="U718" s="12"/>
    </row>
    <row r="719" customFormat="false" ht="15" hidden="false" customHeight="false" outlineLevel="0" collapsed="false">
      <c r="A719" s="12"/>
      <c r="B719" s="61"/>
      <c r="C719" s="61"/>
      <c r="D719" s="61"/>
      <c r="E719" s="62"/>
      <c r="F719" s="61"/>
      <c r="G719" s="61"/>
      <c r="H719" s="10"/>
      <c r="I719" s="12"/>
      <c r="J719" s="63"/>
      <c r="K719" s="10"/>
      <c r="L719" s="12"/>
      <c r="M719" s="12"/>
      <c r="N719" s="12"/>
      <c r="O719" s="12"/>
      <c r="P719" s="12"/>
      <c r="Q719" s="12"/>
      <c r="R719" s="12"/>
      <c r="S719" s="12"/>
      <c r="T719" s="12"/>
      <c r="U719" s="12"/>
    </row>
    <row r="720" customFormat="false" ht="15" hidden="false" customHeight="false" outlineLevel="0" collapsed="false">
      <c r="A720" s="12"/>
      <c r="B720" s="61"/>
      <c r="C720" s="61"/>
      <c r="D720" s="61"/>
      <c r="E720" s="62"/>
      <c r="F720" s="61"/>
      <c r="G720" s="61"/>
      <c r="H720" s="10"/>
      <c r="I720" s="12"/>
      <c r="J720" s="63"/>
      <c r="K720" s="10"/>
      <c r="L720" s="12"/>
      <c r="M720" s="12"/>
      <c r="N720" s="12"/>
      <c r="O720" s="12"/>
      <c r="P720" s="12"/>
      <c r="Q720" s="12"/>
      <c r="R720" s="12"/>
      <c r="S720" s="12"/>
      <c r="T720" s="12"/>
      <c r="U720" s="12"/>
    </row>
    <row r="721" customFormat="false" ht="15" hidden="false" customHeight="false" outlineLevel="0" collapsed="false">
      <c r="A721" s="12"/>
      <c r="B721" s="61"/>
      <c r="C721" s="61"/>
      <c r="D721" s="61"/>
      <c r="E721" s="62"/>
      <c r="F721" s="61"/>
      <c r="G721" s="61"/>
      <c r="H721" s="10"/>
      <c r="I721" s="12"/>
      <c r="J721" s="63"/>
      <c r="K721" s="10"/>
      <c r="L721" s="12"/>
      <c r="M721" s="12"/>
      <c r="N721" s="12"/>
      <c r="O721" s="12"/>
      <c r="P721" s="12"/>
      <c r="Q721" s="12"/>
      <c r="R721" s="12"/>
      <c r="S721" s="12"/>
      <c r="T721" s="12"/>
      <c r="U721" s="12"/>
    </row>
    <row r="722" customFormat="false" ht="15" hidden="false" customHeight="false" outlineLevel="0" collapsed="false">
      <c r="A722" s="12"/>
      <c r="B722" s="61"/>
      <c r="C722" s="61"/>
      <c r="D722" s="61"/>
      <c r="E722" s="62"/>
      <c r="F722" s="61"/>
      <c r="G722" s="61"/>
      <c r="H722" s="10"/>
      <c r="I722" s="12"/>
      <c r="J722" s="63"/>
      <c r="K722" s="10"/>
      <c r="L722" s="12"/>
      <c r="M722" s="12"/>
      <c r="N722" s="12"/>
      <c r="O722" s="12"/>
      <c r="P722" s="12"/>
      <c r="Q722" s="12"/>
      <c r="R722" s="12"/>
      <c r="S722" s="12"/>
      <c r="T722" s="12"/>
      <c r="U722" s="12"/>
    </row>
    <row r="723" customFormat="false" ht="15" hidden="false" customHeight="false" outlineLevel="0" collapsed="false">
      <c r="A723" s="12"/>
      <c r="B723" s="61"/>
      <c r="C723" s="61"/>
      <c r="D723" s="61"/>
      <c r="E723" s="62"/>
      <c r="F723" s="61"/>
      <c r="G723" s="61"/>
      <c r="H723" s="10"/>
      <c r="I723" s="12"/>
      <c r="J723" s="63"/>
      <c r="K723" s="10"/>
      <c r="L723" s="12"/>
      <c r="M723" s="12"/>
      <c r="N723" s="12"/>
      <c r="O723" s="12"/>
      <c r="P723" s="12"/>
      <c r="Q723" s="12"/>
      <c r="R723" s="12"/>
      <c r="S723" s="12"/>
      <c r="T723" s="12"/>
      <c r="U723" s="12"/>
    </row>
    <row r="724" customFormat="false" ht="15" hidden="false" customHeight="false" outlineLevel="0" collapsed="false">
      <c r="A724" s="12"/>
      <c r="B724" s="61"/>
      <c r="C724" s="61"/>
      <c r="D724" s="61"/>
      <c r="E724" s="62"/>
      <c r="F724" s="61"/>
      <c r="G724" s="61"/>
      <c r="H724" s="10"/>
      <c r="I724" s="12"/>
      <c r="J724" s="63"/>
      <c r="K724" s="10"/>
      <c r="L724" s="12"/>
      <c r="M724" s="12"/>
      <c r="N724" s="12"/>
      <c r="O724" s="12"/>
      <c r="P724" s="12"/>
      <c r="Q724" s="12"/>
      <c r="R724" s="12"/>
      <c r="S724" s="12"/>
      <c r="T724" s="12"/>
      <c r="U724" s="12"/>
    </row>
    <row r="725" customFormat="false" ht="15" hidden="false" customHeight="false" outlineLevel="0" collapsed="false">
      <c r="A725" s="12"/>
      <c r="B725" s="61"/>
      <c r="C725" s="61"/>
      <c r="D725" s="61"/>
      <c r="E725" s="62"/>
      <c r="F725" s="61"/>
      <c r="G725" s="61"/>
      <c r="H725" s="10"/>
      <c r="I725" s="12"/>
      <c r="J725" s="63"/>
      <c r="K725" s="10"/>
      <c r="L725" s="12"/>
      <c r="M725" s="12"/>
      <c r="N725" s="12"/>
      <c r="O725" s="12"/>
      <c r="P725" s="12"/>
      <c r="Q725" s="12"/>
      <c r="R725" s="12"/>
      <c r="S725" s="12"/>
      <c r="T725" s="12"/>
      <c r="U725" s="12"/>
    </row>
    <row r="726" customFormat="false" ht="15" hidden="false" customHeight="false" outlineLevel="0" collapsed="false">
      <c r="A726" s="12"/>
      <c r="B726" s="61"/>
      <c r="C726" s="61"/>
      <c r="D726" s="61"/>
      <c r="E726" s="62"/>
      <c r="F726" s="61"/>
      <c r="G726" s="61"/>
      <c r="H726" s="10"/>
      <c r="I726" s="12"/>
      <c r="J726" s="63"/>
      <c r="K726" s="10"/>
      <c r="L726" s="12"/>
      <c r="M726" s="12"/>
      <c r="N726" s="12"/>
      <c r="O726" s="12"/>
      <c r="P726" s="12"/>
      <c r="Q726" s="12"/>
      <c r="R726" s="12"/>
      <c r="S726" s="12"/>
      <c r="T726" s="12"/>
      <c r="U726" s="12"/>
    </row>
    <row r="727" customFormat="false" ht="15" hidden="false" customHeight="false" outlineLevel="0" collapsed="false">
      <c r="A727" s="12"/>
      <c r="B727" s="61"/>
      <c r="C727" s="61"/>
      <c r="D727" s="61"/>
      <c r="E727" s="62"/>
      <c r="F727" s="61"/>
      <c r="G727" s="61"/>
      <c r="H727" s="10"/>
      <c r="I727" s="12"/>
      <c r="J727" s="63"/>
      <c r="K727" s="10"/>
      <c r="L727" s="12"/>
      <c r="M727" s="12"/>
      <c r="N727" s="12"/>
      <c r="O727" s="12"/>
      <c r="P727" s="12"/>
      <c r="Q727" s="12"/>
      <c r="R727" s="12"/>
      <c r="S727" s="12"/>
      <c r="T727" s="12"/>
      <c r="U727" s="12"/>
    </row>
    <row r="728" customFormat="false" ht="15" hidden="false" customHeight="false" outlineLevel="0" collapsed="false">
      <c r="A728" s="12"/>
      <c r="B728" s="61"/>
      <c r="C728" s="61"/>
      <c r="D728" s="61"/>
      <c r="E728" s="62"/>
      <c r="F728" s="61"/>
      <c r="G728" s="61"/>
      <c r="H728" s="10"/>
      <c r="I728" s="12"/>
      <c r="J728" s="63"/>
      <c r="K728" s="10"/>
      <c r="L728" s="12"/>
      <c r="M728" s="12"/>
      <c r="N728" s="12"/>
      <c r="O728" s="12"/>
      <c r="P728" s="12"/>
      <c r="Q728" s="12"/>
      <c r="R728" s="12"/>
      <c r="S728" s="12"/>
      <c r="T728" s="12"/>
      <c r="U728" s="12"/>
    </row>
    <row r="729" customFormat="false" ht="15" hidden="false" customHeight="false" outlineLevel="0" collapsed="false">
      <c r="A729" s="12"/>
      <c r="B729" s="61"/>
      <c r="C729" s="61"/>
      <c r="D729" s="61"/>
      <c r="E729" s="62"/>
      <c r="F729" s="61"/>
      <c r="G729" s="61"/>
      <c r="H729" s="10"/>
      <c r="I729" s="12"/>
      <c r="J729" s="63"/>
      <c r="K729" s="10"/>
      <c r="L729" s="12"/>
      <c r="M729" s="12"/>
      <c r="N729" s="12"/>
      <c r="O729" s="12"/>
      <c r="P729" s="12"/>
      <c r="Q729" s="12"/>
      <c r="R729" s="12"/>
      <c r="S729" s="12"/>
      <c r="T729" s="12"/>
      <c r="U729" s="12"/>
    </row>
    <row r="730" customFormat="false" ht="15" hidden="false" customHeight="false" outlineLevel="0" collapsed="false">
      <c r="A730" s="12"/>
      <c r="B730" s="61"/>
      <c r="C730" s="61"/>
      <c r="D730" s="61"/>
      <c r="E730" s="62"/>
      <c r="F730" s="61"/>
      <c r="G730" s="61"/>
      <c r="H730" s="10"/>
      <c r="I730" s="12"/>
      <c r="J730" s="63"/>
      <c r="K730" s="10"/>
      <c r="L730" s="12"/>
      <c r="M730" s="12"/>
      <c r="N730" s="12"/>
      <c r="O730" s="12"/>
      <c r="P730" s="12"/>
      <c r="Q730" s="12"/>
      <c r="R730" s="12"/>
      <c r="S730" s="12"/>
      <c r="T730" s="12"/>
      <c r="U730" s="12"/>
    </row>
    <row r="731" customFormat="false" ht="15" hidden="false" customHeight="false" outlineLevel="0" collapsed="false">
      <c r="A731" s="12"/>
      <c r="B731" s="61"/>
      <c r="C731" s="61"/>
      <c r="D731" s="61"/>
      <c r="E731" s="62"/>
      <c r="F731" s="61"/>
      <c r="G731" s="61"/>
      <c r="H731" s="10"/>
      <c r="I731" s="12"/>
      <c r="J731" s="63"/>
      <c r="K731" s="10"/>
      <c r="L731" s="12"/>
      <c r="M731" s="12"/>
      <c r="N731" s="12"/>
      <c r="O731" s="12"/>
      <c r="P731" s="12"/>
      <c r="Q731" s="12"/>
      <c r="R731" s="12"/>
      <c r="S731" s="12"/>
      <c r="T731" s="12"/>
      <c r="U731" s="12"/>
    </row>
    <row r="732" customFormat="false" ht="15" hidden="false" customHeight="false" outlineLevel="0" collapsed="false">
      <c r="A732" s="12"/>
      <c r="B732" s="61"/>
      <c r="C732" s="61"/>
      <c r="D732" s="61"/>
      <c r="E732" s="62"/>
      <c r="F732" s="61"/>
      <c r="G732" s="61"/>
      <c r="H732" s="10"/>
      <c r="I732" s="12"/>
      <c r="J732" s="63"/>
      <c r="K732" s="10"/>
      <c r="L732" s="12"/>
      <c r="M732" s="12"/>
      <c r="N732" s="12"/>
      <c r="O732" s="12"/>
      <c r="P732" s="12"/>
      <c r="Q732" s="12"/>
      <c r="R732" s="12"/>
      <c r="S732" s="12"/>
      <c r="T732" s="12"/>
      <c r="U732" s="12"/>
    </row>
    <row r="733" customFormat="false" ht="15" hidden="false" customHeight="false" outlineLevel="0" collapsed="false">
      <c r="A733" s="12"/>
      <c r="B733" s="61"/>
      <c r="C733" s="61"/>
      <c r="D733" s="61"/>
      <c r="E733" s="62"/>
      <c r="F733" s="61"/>
      <c r="G733" s="61"/>
      <c r="H733" s="10"/>
      <c r="I733" s="12"/>
      <c r="J733" s="63"/>
      <c r="K733" s="10"/>
      <c r="L733" s="12"/>
      <c r="M733" s="12"/>
      <c r="N733" s="12"/>
      <c r="O733" s="12"/>
      <c r="P733" s="12"/>
      <c r="Q733" s="12"/>
      <c r="R733" s="12"/>
      <c r="S733" s="12"/>
      <c r="T733" s="12"/>
      <c r="U733" s="12"/>
    </row>
    <row r="734" customFormat="false" ht="15" hidden="false" customHeight="false" outlineLevel="0" collapsed="false">
      <c r="A734" s="12"/>
      <c r="B734" s="61"/>
      <c r="C734" s="61"/>
      <c r="D734" s="61"/>
      <c r="E734" s="62"/>
      <c r="F734" s="61"/>
      <c r="G734" s="61"/>
      <c r="H734" s="10"/>
      <c r="I734" s="12"/>
      <c r="J734" s="63"/>
      <c r="K734" s="10"/>
      <c r="L734" s="12"/>
      <c r="M734" s="12"/>
      <c r="N734" s="12"/>
      <c r="O734" s="12"/>
      <c r="P734" s="12"/>
      <c r="Q734" s="12"/>
      <c r="R734" s="12"/>
      <c r="S734" s="12"/>
      <c r="T734" s="12"/>
      <c r="U734" s="12"/>
    </row>
    <row r="735" customFormat="false" ht="15" hidden="false" customHeight="false" outlineLevel="0" collapsed="false">
      <c r="A735" s="12"/>
      <c r="B735" s="61"/>
      <c r="C735" s="61"/>
      <c r="D735" s="61"/>
      <c r="E735" s="62"/>
      <c r="F735" s="61"/>
      <c r="G735" s="61"/>
      <c r="H735" s="10"/>
      <c r="I735" s="12"/>
      <c r="J735" s="63"/>
      <c r="K735" s="10"/>
      <c r="L735" s="12"/>
      <c r="M735" s="12"/>
      <c r="N735" s="12"/>
      <c r="O735" s="12"/>
      <c r="P735" s="12"/>
      <c r="Q735" s="12"/>
      <c r="R735" s="12"/>
      <c r="S735" s="12"/>
      <c r="T735" s="12"/>
      <c r="U735" s="12"/>
    </row>
    <row r="736" customFormat="false" ht="15" hidden="false" customHeight="false" outlineLevel="0" collapsed="false">
      <c r="A736" s="12"/>
      <c r="B736" s="61"/>
      <c r="C736" s="61"/>
      <c r="D736" s="61"/>
      <c r="E736" s="62"/>
      <c r="F736" s="61"/>
      <c r="G736" s="61"/>
      <c r="H736" s="10"/>
      <c r="I736" s="12"/>
      <c r="J736" s="63"/>
      <c r="K736" s="10"/>
      <c r="L736" s="12"/>
      <c r="M736" s="12"/>
      <c r="N736" s="12"/>
      <c r="O736" s="12"/>
      <c r="P736" s="12"/>
      <c r="Q736" s="12"/>
      <c r="R736" s="12"/>
      <c r="S736" s="12"/>
      <c r="T736" s="12"/>
      <c r="U736" s="12"/>
    </row>
    <row r="737" customFormat="false" ht="15" hidden="false" customHeight="false" outlineLevel="0" collapsed="false">
      <c r="A737" s="12"/>
      <c r="B737" s="61"/>
      <c r="C737" s="61"/>
      <c r="D737" s="61"/>
      <c r="E737" s="62"/>
      <c r="F737" s="61"/>
      <c r="G737" s="61"/>
      <c r="H737" s="10"/>
      <c r="I737" s="12"/>
      <c r="J737" s="63"/>
      <c r="K737" s="10"/>
      <c r="L737" s="12"/>
      <c r="M737" s="12"/>
      <c r="N737" s="12"/>
      <c r="O737" s="12"/>
      <c r="P737" s="12"/>
      <c r="Q737" s="12"/>
      <c r="R737" s="12"/>
      <c r="S737" s="12"/>
      <c r="T737" s="12"/>
      <c r="U737" s="12"/>
    </row>
    <row r="738" customFormat="false" ht="15" hidden="false" customHeight="false" outlineLevel="0" collapsed="false">
      <c r="A738" s="12"/>
      <c r="B738" s="61"/>
      <c r="C738" s="61"/>
      <c r="D738" s="61"/>
      <c r="E738" s="62"/>
      <c r="F738" s="61"/>
      <c r="G738" s="61"/>
      <c r="H738" s="10"/>
      <c r="I738" s="12"/>
      <c r="J738" s="63"/>
      <c r="K738" s="10"/>
      <c r="L738" s="12"/>
      <c r="M738" s="12"/>
      <c r="N738" s="12"/>
      <c r="O738" s="12"/>
      <c r="P738" s="12"/>
      <c r="Q738" s="12"/>
      <c r="R738" s="12"/>
      <c r="S738" s="12"/>
      <c r="T738" s="12"/>
      <c r="U738" s="12"/>
    </row>
    <row r="739" customFormat="false" ht="15" hidden="false" customHeight="false" outlineLevel="0" collapsed="false">
      <c r="A739" s="12"/>
      <c r="B739" s="61"/>
      <c r="C739" s="61"/>
      <c r="D739" s="61"/>
      <c r="E739" s="62"/>
      <c r="F739" s="61"/>
      <c r="G739" s="61"/>
      <c r="H739" s="10"/>
      <c r="I739" s="12"/>
      <c r="J739" s="63"/>
      <c r="K739" s="10"/>
      <c r="L739" s="12"/>
      <c r="M739" s="12"/>
      <c r="N739" s="12"/>
      <c r="O739" s="12"/>
      <c r="P739" s="12"/>
      <c r="Q739" s="12"/>
      <c r="R739" s="12"/>
      <c r="S739" s="12"/>
      <c r="T739" s="12"/>
      <c r="U739" s="12"/>
    </row>
    <row r="740" customFormat="false" ht="15" hidden="false" customHeight="false" outlineLevel="0" collapsed="false">
      <c r="A740" s="12"/>
      <c r="B740" s="61"/>
      <c r="C740" s="61"/>
      <c r="D740" s="61"/>
      <c r="E740" s="62"/>
      <c r="F740" s="61"/>
      <c r="G740" s="61"/>
      <c r="H740" s="10"/>
      <c r="I740" s="12"/>
      <c r="J740" s="63"/>
      <c r="K740" s="10"/>
      <c r="L740" s="12"/>
      <c r="M740" s="12"/>
      <c r="N740" s="12"/>
      <c r="O740" s="12"/>
      <c r="P740" s="12"/>
      <c r="Q740" s="12"/>
      <c r="R740" s="12"/>
      <c r="S740" s="12"/>
      <c r="T740" s="12"/>
      <c r="U740" s="12"/>
    </row>
    <row r="741" customFormat="false" ht="15" hidden="false" customHeight="false" outlineLevel="0" collapsed="false">
      <c r="A741" s="12"/>
      <c r="B741" s="61"/>
      <c r="C741" s="61"/>
      <c r="D741" s="61"/>
      <c r="E741" s="62"/>
      <c r="F741" s="61"/>
      <c r="G741" s="61"/>
      <c r="H741" s="10"/>
      <c r="I741" s="12"/>
      <c r="J741" s="63"/>
      <c r="K741" s="10"/>
      <c r="L741" s="12"/>
      <c r="M741" s="12"/>
      <c r="N741" s="12"/>
      <c r="O741" s="12"/>
      <c r="P741" s="12"/>
      <c r="Q741" s="12"/>
      <c r="R741" s="12"/>
      <c r="S741" s="12"/>
      <c r="T741" s="12"/>
      <c r="U741" s="12"/>
    </row>
    <row r="742" customFormat="false" ht="15" hidden="false" customHeight="false" outlineLevel="0" collapsed="false">
      <c r="A742" s="12"/>
      <c r="B742" s="61"/>
      <c r="C742" s="61"/>
      <c r="D742" s="61"/>
      <c r="E742" s="62"/>
      <c r="F742" s="61"/>
      <c r="G742" s="61"/>
      <c r="H742" s="10"/>
      <c r="I742" s="12"/>
      <c r="J742" s="63"/>
      <c r="K742" s="10"/>
      <c r="L742" s="12"/>
      <c r="M742" s="12"/>
      <c r="N742" s="12"/>
      <c r="O742" s="12"/>
      <c r="P742" s="12"/>
      <c r="Q742" s="12"/>
      <c r="R742" s="12"/>
      <c r="S742" s="12"/>
      <c r="T742" s="12"/>
      <c r="U742" s="12"/>
    </row>
    <row r="743" customFormat="false" ht="15" hidden="false" customHeight="false" outlineLevel="0" collapsed="false">
      <c r="A743" s="12"/>
      <c r="B743" s="61"/>
      <c r="C743" s="61"/>
      <c r="D743" s="61"/>
      <c r="E743" s="62"/>
      <c r="F743" s="61"/>
      <c r="G743" s="61"/>
      <c r="H743" s="10"/>
      <c r="I743" s="12"/>
      <c r="J743" s="63"/>
      <c r="K743" s="10"/>
      <c r="L743" s="12"/>
      <c r="M743" s="12"/>
      <c r="N743" s="12"/>
      <c r="O743" s="12"/>
      <c r="P743" s="12"/>
      <c r="Q743" s="12"/>
      <c r="R743" s="12"/>
      <c r="S743" s="12"/>
      <c r="T743" s="12"/>
      <c r="U743" s="12"/>
    </row>
    <row r="744" customFormat="false" ht="15" hidden="false" customHeight="false" outlineLevel="0" collapsed="false">
      <c r="A744" s="12"/>
      <c r="B744" s="61"/>
      <c r="C744" s="61"/>
      <c r="D744" s="61"/>
      <c r="E744" s="62"/>
      <c r="F744" s="61"/>
      <c r="G744" s="61"/>
      <c r="H744" s="10"/>
      <c r="I744" s="12"/>
      <c r="J744" s="63"/>
      <c r="K744" s="10"/>
      <c r="L744" s="12"/>
      <c r="M744" s="12"/>
      <c r="N744" s="12"/>
      <c r="O744" s="12"/>
      <c r="P744" s="12"/>
      <c r="Q744" s="12"/>
      <c r="R744" s="12"/>
      <c r="S744" s="12"/>
      <c r="T744" s="12"/>
      <c r="U744" s="12"/>
    </row>
    <row r="745" customFormat="false" ht="15" hidden="false" customHeight="false" outlineLevel="0" collapsed="false">
      <c r="A745" s="12"/>
      <c r="B745" s="61"/>
      <c r="C745" s="61"/>
      <c r="D745" s="61"/>
      <c r="E745" s="62"/>
      <c r="F745" s="61"/>
      <c r="G745" s="61"/>
      <c r="H745" s="10"/>
      <c r="I745" s="12"/>
      <c r="J745" s="63"/>
      <c r="K745" s="10"/>
      <c r="L745" s="12"/>
      <c r="M745" s="12"/>
      <c r="N745" s="12"/>
      <c r="O745" s="12"/>
      <c r="P745" s="12"/>
      <c r="Q745" s="12"/>
      <c r="R745" s="12"/>
      <c r="S745" s="12"/>
      <c r="T745" s="12"/>
      <c r="U745" s="12"/>
    </row>
    <row r="746" customFormat="false" ht="15" hidden="false" customHeight="false" outlineLevel="0" collapsed="false">
      <c r="A746" s="12"/>
      <c r="B746" s="61"/>
      <c r="C746" s="61"/>
      <c r="D746" s="61"/>
      <c r="E746" s="62"/>
      <c r="F746" s="61"/>
      <c r="G746" s="61"/>
      <c r="H746" s="10"/>
      <c r="I746" s="12"/>
      <c r="J746" s="63"/>
      <c r="K746" s="10"/>
      <c r="L746" s="12"/>
      <c r="M746" s="12"/>
      <c r="N746" s="12"/>
      <c r="O746" s="12"/>
      <c r="P746" s="12"/>
      <c r="Q746" s="12"/>
      <c r="R746" s="12"/>
      <c r="S746" s="12"/>
      <c r="T746" s="12"/>
      <c r="U746" s="12"/>
    </row>
    <row r="747" customFormat="false" ht="15" hidden="false" customHeight="false" outlineLevel="0" collapsed="false">
      <c r="A747" s="12"/>
      <c r="B747" s="61"/>
      <c r="C747" s="61"/>
      <c r="D747" s="61"/>
      <c r="E747" s="62"/>
      <c r="F747" s="61"/>
      <c r="G747" s="61"/>
      <c r="H747" s="10"/>
      <c r="I747" s="12"/>
      <c r="J747" s="63"/>
      <c r="K747" s="10"/>
      <c r="L747" s="12"/>
      <c r="M747" s="12"/>
      <c r="N747" s="12"/>
      <c r="O747" s="12"/>
      <c r="P747" s="12"/>
      <c r="Q747" s="12"/>
      <c r="R747" s="12"/>
      <c r="S747" s="12"/>
      <c r="T747" s="12"/>
      <c r="U747" s="12"/>
    </row>
    <row r="748" customFormat="false" ht="15" hidden="false" customHeight="false" outlineLevel="0" collapsed="false">
      <c r="A748" s="12"/>
      <c r="B748" s="61"/>
      <c r="C748" s="61"/>
      <c r="D748" s="61"/>
      <c r="E748" s="62"/>
      <c r="F748" s="61"/>
      <c r="G748" s="61"/>
      <c r="H748" s="10"/>
      <c r="I748" s="12"/>
      <c r="J748" s="63"/>
      <c r="K748" s="10"/>
      <c r="L748" s="12"/>
      <c r="M748" s="12"/>
      <c r="N748" s="12"/>
      <c r="O748" s="12"/>
      <c r="P748" s="12"/>
      <c r="Q748" s="12"/>
      <c r="R748" s="12"/>
      <c r="S748" s="12"/>
      <c r="T748" s="12"/>
      <c r="U748" s="12"/>
    </row>
    <row r="749" customFormat="false" ht="15" hidden="false" customHeight="false" outlineLevel="0" collapsed="false">
      <c r="A749" s="12"/>
      <c r="B749" s="61"/>
      <c r="C749" s="61"/>
      <c r="D749" s="61"/>
      <c r="E749" s="62"/>
      <c r="F749" s="61"/>
      <c r="G749" s="61"/>
      <c r="H749" s="10"/>
      <c r="I749" s="12"/>
      <c r="J749" s="63"/>
      <c r="K749" s="10"/>
      <c r="L749" s="12"/>
      <c r="M749" s="12"/>
      <c r="N749" s="12"/>
      <c r="O749" s="12"/>
      <c r="P749" s="12"/>
      <c r="Q749" s="12"/>
      <c r="R749" s="12"/>
      <c r="S749" s="12"/>
      <c r="T749" s="12"/>
      <c r="U749" s="12"/>
    </row>
    <row r="750" customFormat="false" ht="15" hidden="false" customHeight="false" outlineLevel="0" collapsed="false">
      <c r="A750" s="12"/>
      <c r="B750" s="61"/>
      <c r="C750" s="61"/>
      <c r="D750" s="61"/>
      <c r="E750" s="62"/>
      <c r="F750" s="61"/>
      <c r="G750" s="61"/>
      <c r="H750" s="10"/>
      <c r="I750" s="12"/>
      <c r="J750" s="63"/>
      <c r="K750" s="10"/>
      <c r="L750" s="12"/>
      <c r="M750" s="12"/>
      <c r="N750" s="12"/>
      <c r="O750" s="12"/>
      <c r="P750" s="12"/>
      <c r="Q750" s="12"/>
      <c r="R750" s="12"/>
      <c r="S750" s="12"/>
      <c r="T750" s="12"/>
      <c r="U750" s="12"/>
    </row>
    <row r="751" customFormat="false" ht="15" hidden="false" customHeight="false" outlineLevel="0" collapsed="false">
      <c r="A751" s="12"/>
      <c r="B751" s="61"/>
      <c r="C751" s="61"/>
      <c r="D751" s="61"/>
      <c r="E751" s="62"/>
      <c r="F751" s="61"/>
      <c r="G751" s="61"/>
      <c r="H751" s="10"/>
      <c r="I751" s="12"/>
      <c r="J751" s="63"/>
      <c r="K751" s="10"/>
      <c r="L751" s="12"/>
      <c r="M751" s="12"/>
      <c r="N751" s="12"/>
      <c r="O751" s="12"/>
      <c r="P751" s="12"/>
      <c r="Q751" s="12"/>
      <c r="R751" s="12"/>
      <c r="S751" s="12"/>
      <c r="T751" s="12"/>
      <c r="U751" s="12"/>
    </row>
    <row r="752" customFormat="false" ht="15" hidden="false" customHeight="false" outlineLevel="0" collapsed="false">
      <c r="A752" s="12"/>
      <c r="B752" s="61"/>
      <c r="C752" s="61"/>
      <c r="D752" s="61"/>
      <c r="E752" s="62"/>
      <c r="F752" s="61"/>
      <c r="G752" s="61"/>
      <c r="H752" s="10"/>
      <c r="I752" s="12"/>
      <c r="J752" s="63"/>
      <c r="K752" s="10"/>
      <c r="L752" s="12"/>
      <c r="M752" s="12"/>
      <c r="N752" s="12"/>
      <c r="O752" s="12"/>
      <c r="P752" s="12"/>
      <c r="Q752" s="12"/>
      <c r="R752" s="12"/>
      <c r="S752" s="12"/>
      <c r="T752" s="12"/>
      <c r="U752" s="12"/>
    </row>
    <row r="753" customFormat="false" ht="15" hidden="false" customHeight="false" outlineLevel="0" collapsed="false">
      <c r="A753" s="12"/>
      <c r="B753" s="61"/>
      <c r="C753" s="61"/>
      <c r="D753" s="61"/>
      <c r="E753" s="62"/>
      <c r="F753" s="61"/>
      <c r="G753" s="61"/>
      <c r="H753" s="10"/>
      <c r="I753" s="12"/>
      <c r="J753" s="63"/>
      <c r="K753" s="10"/>
      <c r="L753" s="12"/>
      <c r="M753" s="12"/>
      <c r="N753" s="12"/>
      <c r="O753" s="12"/>
      <c r="P753" s="12"/>
      <c r="Q753" s="12"/>
      <c r="R753" s="12"/>
      <c r="S753" s="12"/>
      <c r="T753" s="12"/>
      <c r="U753" s="12"/>
    </row>
    <row r="754" customFormat="false" ht="15" hidden="false" customHeight="false" outlineLevel="0" collapsed="false">
      <c r="A754" s="12"/>
      <c r="B754" s="61"/>
      <c r="C754" s="61"/>
      <c r="D754" s="61"/>
      <c r="E754" s="62"/>
      <c r="F754" s="61"/>
      <c r="G754" s="61"/>
      <c r="H754" s="10"/>
      <c r="I754" s="12"/>
      <c r="J754" s="63"/>
      <c r="K754" s="10"/>
      <c r="L754" s="12"/>
      <c r="M754" s="12"/>
      <c r="N754" s="12"/>
      <c r="O754" s="12"/>
      <c r="P754" s="12"/>
      <c r="Q754" s="12"/>
      <c r="R754" s="12"/>
      <c r="S754" s="12"/>
      <c r="T754" s="12"/>
      <c r="U754" s="12"/>
    </row>
    <row r="755" customFormat="false" ht="15" hidden="false" customHeight="false" outlineLevel="0" collapsed="false">
      <c r="A755" s="12"/>
      <c r="B755" s="61"/>
      <c r="C755" s="61"/>
      <c r="D755" s="61"/>
      <c r="E755" s="62"/>
      <c r="F755" s="61"/>
      <c r="G755" s="61"/>
      <c r="H755" s="10"/>
      <c r="I755" s="12"/>
      <c r="J755" s="63"/>
      <c r="K755" s="10"/>
      <c r="L755" s="12"/>
      <c r="M755" s="12"/>
      <c r="N755" s="12"/>
      <c r="O755" s="12"/>
      <c r="P755" s="12"/>
      <c r="Q755" s="12"/>
      <c r="R755" s="12"/>
      <c r="S755" s="12"/>
      <c r="T755" s="12"/>
      <c r="U755" s="12"/>
    </row>
    <row r="756" customFormat="false" ht="15" hidden="false" customHeight="false" outlineLevel="0" collapsed="false">
      <c r="A756" s="12"/>
      <c r="B756" s="61"/>
      <c r="C756" s="61"/>
      <c r="D756" s="61"/>
      <c r="E756" s="62"/>
      <c r="F756" s="61"/>
      <c r="G756" s="61"/>
      <c r="H756" s="10"/>
      <c r="I756" s="12"/>
      <c r="J756" s="63"/>
      <c r="K756" s="10"/>
      <c r="L756" s="12"/>
      <c r="M756" s="12"/>
      <c r="N756" s="12"/>
      <c r="O756" s="12"/>
      <c r="P756" s="12"/>
      <c r="Q756" s="12"/>
      <c r="R756" s="12"/>
      <c r="S756" s="12"/>
      <c r="T756" s="12"/>
      <c r="U756" s="12"/>
    </row>
    <row r="757" customFormat="false" ht="15" hidden="false" customHeight="false" outlineLevel="0" collapsed="false">
      <c r="A757" s="12"/>
      <c r="B757" s="61"/>
      <c r="C757" s="61"/>
      <c r="D757" s="61"/>
      <c r="E757" s="62"/>
      <c r="F757" s="61"/>
      <c r="G757" s="61"/>
      <c r="H757" s="10"/>
      <c r="I757" s="12"/>
      <c r="J757" s="63"/>
      <c r="K757" s="10"/>
      <c r="L757" s="12"/>
      <c r="M757" s="12"/>
      <c r="N757" s="12"/>
      <c r="O757" s="12"/>
      <c r="P757" s="12"/>
      <c r="Q757" s="12"/>
      <c r="R757" s="12"/>
      <c r="S757" s="12"/>
      <c r="T757" s="12"/>
      <c r="U757" s="12"/>
    </row>
    <row r="758" customFormat="false" ht="15" hidden="false" customHeight="false" outlineLevel="0" collapsed="false">
      <c r="A758" s="12"/>
      <c r="B758" s="61"/>
      <c r="C758" s="61"/>
      <c r="D758" s="61"/>
      <c r="E758" s="62"/>
      <c r="F758" s="61"/>
      <c r="G758" s="61"/>
      <c r="H758" s="10"/>
      <c r="I758" s="12"/>
      <c r="J758" s="63"/>
      <c r="K758" s="10"/>
      <c r="L758" s="12"/>
      <c r="M758" s="12"/>
      <c r="N758" s="12"/>
      <c r="O758" s="12"/>
      <c r="P758" s="12"/>
      <c r="Q758" s="12"/>
      <c r="R758" s="12"/>
      <c r="S758" s="12"/>
      <c r="T758" s="12"/>
      <c r="U758" s="12"/>
    </row>
    <row r="759" customFormat="false" ht="15" hidden="false" customHeight="false" outlineLevel="0" collapsed="false">
      <c r="A759" s="12"/>
      <c r="B759" s="61"/>
      <c r="C759" s="61"/>
      <c r="D759" s="61"/>
      <c r="E759" s="62"/>
      <c r="F759" s="61"/>
      <c r="G759" s="61"/>
      <c r="H759" s="10"/>
      <c r="I759" s="12"/>
      <c r="J759" s="63"/>
      <c r="K759" s="10"/>
      <c r="L759" s="12"/>
      <c r="M759" s="12"/>
      <c r="N759" s="12"/>
      <c r="O759" s="12"/>
      <c r="P759" s="12"/>
      <c r="Q759" s="12"/>
      <c r="R759" s="12"/>
      <c r="S759" s="12"/>
      <c r="T759" s="12"/>
      <c r="U759" s="12"/>
    </row>
    <row r="760" customFormat="false" ht="15" hidden="false" customHeight="false" outlineLevel="0" collapsed="false">
      <c r="A760" s="12"/>
      <c r="B760" s="61"/>
      <c r="C760" s="61"/>
      <c r="D760" s="61"/>
      <c r="E760" s="62"/>
      <c r="F760" s="61"/>
      <c r="G760" s="61"/>
      <c r="H760" s="10"/>
      <c r="I760" s="12"/>
      <c r="J760" s="63"/>
      <c r="K760" s="10"/>
      <c r="L760" s="12"/>
      <c r="M760" s="12"/>
      <c r="N760" s="12"/>
      <c r="O760" s="12"/>
      <c r="P760" s="12"/>
      <c r="Q760" s="12"/>
      <c r="R760" s="12"/>
      <c r="S760" s="12"/>
      <c r="T760" s="12"/>
      <c r="U760" s="12"/>
    </row>
    <row r="761" customFormat="false" ht="15" hidden="false" customHeight="false" outlineLevel="0" collapsed="false">
      <c r="A761" s="12"/>
      <c r="B761" s="61"/>
      <c r="C761" s="61"/>
      <c r="D761" s="61"/>
      <c r="E761" s="62"/>
      <c r="F761" s="61"/>
      <c r="G761" s="61"/>
      <c r="H761" s="10"/>
      <c r="I761" s="12"/>
      <c r="J761" s="63"/>
      <c r="K761" s="10"/>
      <c r="L761" s="12"/>
      <c r="M761" s="12"/>
      <c r="N761" s="12"/>
      <c r="O761" s="12"/>
      <c r="P761" s="12"/>
      <c r="Q761" s="12"/>
      <c r="R761" s="12"/>
      <c r="S761" s="12"/>
      <c r="T761" s="12"/>
      <c r="U761" s="12"/>
    </row>
    <row r="762" customFormat="false" ht="15" hidden="false" customHeight="false" outlineLevel="0" collapsed="false">
      <c r="A762" s="12"/>
      <c r="B762" s="61"/>
      <c r="C762" s="61"/>
      <c r="D762" s="61"/>
      <c r="E762" s="62"/>
      <c r="F762" s="61"/>
      <c r="G762" s="61"/>
      <c r="H762" s="10"/>
      <c r="I762" s="12"/>
      <c r="J762" s="63"/>
      <c r="K762" s="10"/>
      <c r="L762" s="12"/>
      <c r="M762" s="12"/>
      <c r="N762" s="12"/>
      <c r="O762" s="12"/>
      <c r="P762" s="12"/>
      <c r="Q762" s="12"/>
      <c r="R762" s="12"/>
      <c r="S762" s="12"/>
      <c r="T762" s="12"/>
      <c r="U762" s="12"/>
    </row>
    <row r="763" customFormat="false" ht="15" hidden="false" customHeight="false" outlineLevel="0" collapsed="false">
      <c r="A763" s="12"/>
      <c r="B763" s="61"/>
      <c r="C763" s="61"/>
      <c r="D763" s="61"/>
      <c r="E763" s="62"/>
      <c r="F763" s="61"/>
      <c r="G763" s="61"/>
      <c r="H763" s="10"/>
      <c r="I763" s="12"/>
      <c r="J763" s="63"/>
      <c r="K763" s="10"/>
      <c r="L763" s="12"/>
      <c r="M763" s="12"/>
      <c r="N763" s="12"/>
      <c r="O763" s="12"/>
      <c r="P763" s="12"/>
      <c r="Q763" s="12"/>
      <c r="R763" s="12"/>
      <c r="S763" s="12"/>
      <c r="T763" s="12"/>
      <c r="U763" s="12"/>
    </row>
    <row r="764" customFormat="false" ht="15" hidden="false" customHeight="false" outlineLevel="0" collapsed="false">
      <c r="A764" s="12"/>
      <c r="B764" s="61"/>
      <c r="C764" s="61"/>
      <c r="D764" s="61"/>
      <c r="E764" s="62"/>
      <c r="F764" s="61"/>
      <c r="G764" s="61"/>
      <c r="H764" s="10"/>
      <c r="I764" s="12"/>
      <c r="J764" s="63"/>
      <c r="K764" s="10"/>
      <c r="L764" s="12"/>
      <c r="M764" s="12"/>
      <c r="N764" s="12"/>
      <c r="O764" s="12"/>
      <c r="P764" s="12"/>
      <c r="Q764" s="12"/>
      <c r="R764" s="12"/>
      <c r="S764" s="12"/>
      <c r="T764" s="12"/>
      <c r="U764" s="12"/>
    </row>
    <row r="765" customFormat="false" ht="15" hidden="false" customHeight="false" outlineLevel="0" collapsed="false">
      <c r="A765" s="12"/>
      <c r="B765" s="61"/>
      <c r="C765" s="61"/>
      <c r="D765" s="61"/>
      <c r="E765" s="62"/>
      <c r="F765" s="61"/>
      <c r="G765" s="61"/>
      <c r="H765" s="10"/>
      <c r="I765" s="12"/>
      <c r="J765" s="63"/>
      <c r="K765" s="10"/>
      <c r="L765" s="12"/>
      <c r="M765" s="12"/>
      <c r="N765" s="12"/>
      <c r="O765" s="12"/>
      <c r="P765" s="12"/>
      <c r="Q765" s="12"/>
      <c r="R765" s="12"/>
      <c r="S765" s="12"/>
      <c r="T765" s="12"/>
      <c r="U765" s="12"/>
    </row>
    <row r="766" customFormat="false" ht="15" hidden="false" customHeight="false" outlineLevel="0" collapsed="false">
      <c r="A766" s="12"/>
      <c r="B766" s="61"/>
      <c r="C766" s="61"/>
      <c r="D766" s="61"/>
      <c r="E766" s="62"/>
      <c r="F766" s="61"/>
      <c r="G766" s="61"/>
      <c r="H766" s="10"/>
      <c r="I766" s="12"/>
      <c r="J766" s="63"/>
      <c r="K766" s="10"/>
      <c r="L766" s="12"/>
      <c r="M766" s="12"/>
      <c r="N766" s="12"/>
      <c r="O766" s="12"/>
      <c r="P766" s="12"/>
      <c r="Q766" s="12"/>
      <c r="R766" s="12"/>
      <c r="S766" s="12"/>
      <c r="T766" s="12"/>
      <c r="U766" s="12"/>
    </row>
    <row r="767" customFormat="false" ht="15" hidden="false" customHeight="false" outlineLevel="0" collapsed="false">
      <c r="A767" s="12"/>
      <c r="B767" s="61"/>
      <c r="C767" s="61"/>
      <c r="D767" s="61"/>
      <c r="E767" s="62"/>
      <c r="F767" s="61"/>
      <c r="G767" s="61"/>
      <c r="H767" s="10"/>
      <c r="I767" s="12"/>
      <c r="J767" s="63"/>
      <c r="K767" s="10"/>
      <c r="L767" s="12"/>
      <c r="M767" s="12"/>
      <c r="N767" s="12"/>
      <c r="O767" s="12"/>
      <c r="P767" s="12"/>
      <c r="Q767" s="12"/>
      <c r="R767" s="12"/>
      <c r="S767" s="12"/>
      <c r="T767" s="12"/>
      <c r="U767" s="12"/>
    </row>
    <row r="768" customFormat="false" ht="15" hidden="false" customHeight="false" outlineLevel="0" collapsed="false">
      <c r="A768" s="12"/>
      <c r="B768" s="61"/>
      <c r="C768" s="61"/>
      <c r="D768" s="61"/>
      <c r="E768" s="62"/>
      <c r="F768" s="61"/>
      <c r="G768" s="61"/>
      <c r="H768" s="10"/>
      <c r="I768" s="12"/>
      <c r="J768" s="63"/>
      <c r="K768" s="10"/>
      <c r="L768" s="12"/>
      <c r="M768" s="12"/>
      <c r="N768" s="12"/>
      <c r="O768" s="12"/>
      <c r="P768" s="12"/>
      <c r="Q768" s="12"/>
      <c r="R768" s="12"/>
      <c r="S768" s="12"/>
      <c r="T768" s="12"/>
      <c r="U768" s="12"/>
    </row>
    <row r="769" customFormat="false" ht="15" hidden="false" customHeight="false" outlineLevel="0" collapsed="false">
      <c r="A769" s="12"/>
      <c r="B769" s="61"/>
      <c r="C769" s="61"/>
      <c r="D769" s="61"/>
      <c r="E769" s="62"/>
      <c r="F769" s="61"/>
      <c r="G769" s="61"/>
      <c r="H769" s="10"/>
      <c r="I769" s="12"/>
      <c r="J769" s="63"/>
      <c r="K769" s="10"/>
      <c r="L769" s="12"/>
      <c r="M769" s="12"/>
      <c r="N769" s="12"/>
      <c r="O769" s="12"/>
      <c r="P769" s="12"/>
      <c r="Q769" s="12"/>
      <c r="R769" s="12"/>
      <c r="S769" s="12"/>
      <c r="T769" s="12"/>
      <c r="U769" s="12"/>
    </row>
    <row r="770" customFormat="false" ht="15" hidden="false" customHeight="false" outlineLevel="0" collapsed="false">
      <c r="A770" s="12"/>
      <c r="B770" s="61"/>
      <c r="C770" s="61"/>
      <c r="D770" s="61"/>
      <c r="E770" s="62"/>
      <c r="F770" s="61"/>
      <c r="G770" s="61"/>
      <c r="H770" s="10"/>
      <c r="I770" s="12"/>
      <c r="J770" s="63"/>
      <c r="K770" s="10"/>
      <c r="L770" s="12"/>
      <c r="M770" s="12"/>
      <c r="N770" s="12"/>
      <c r="O770" s="12"/>
      <c r="P770" s="12"/>
      <c r="Q770" s="12"/>
      <c r="R770" s="12"/>
      <c r="S770" s="12"/>
      <c r="T770" s="12"/>
      <c r="U770" s="12"/>
    </row>
    <row r="771" customFormat="false" ht="15" hidden="false" customHeight="false" outlineLevel="0" collapsed="false">
      <c r="A771" s="12"/>
      <c r="B771" s="61"/>
      <c r="C771" s="61"/>
      <c r="D771" s="61"/>
      <c r="E771" s="62"/>
      <c r="F771" s="61"/>
      <c r="G771" s="61"/>
      <c r="H771" s="10"/>
      <c r="I771" s="12"/>
      <c r="J771" s="63"/>
      <c r="K771" s="10"/>
      <c r="L771" s="12"/>
      <c r="M771" s="12"/>
      <c r="N771" s="12"/>
      <c r="O771" s="12"/>
      <c r="P771" s="12"/>
      <c r="Q771" s="12"/>
      <c r="R771" s="12"/>
      <c r="S771" s="12"/>
      <c r="T771" s="12"/>
      <c r="U771" s="12"/>
    </row>
    <row r="772" customFormat="false" ht="15" hidden="false" customHeight="false" outlineLevel="0" collapsed="false">
      <c r="A772" s="12"/>
      <c r="B772" s="61"/>
      <c r="C772" s="61"/>
      <c r="D772" s="61"/>
      <c r="E772" s="62"/>
      <c r="F772" s="61"/>
      <c r="G772" s="61"/>
      <c r="H772" s="10"/>
      <c r="I772" s="12"/>
      <c r="J772" s="63"/>
      <c r="K772" s="10"/>
      <c r="L772" s="12"/>
      <c r="M772" s="12"/>
      <c r="N772" s="12"/>
      <c r="O772" s="12"/>
      <c r="P772" s="12"/>
      <c r="Q772" s="12"/>
      <c r="R772" s="12"/>
      <c r="S772" s="12"/>
      <c r="T772" s="12"/>
      <c r="U772" s="12"/>
    </row>
    <row r="773" customFormat="false" ht="15" hidden="false" customHeight="false" outlineLevel="0" collapsed="false">
      <c r="A773" s="12"/>
      <c r="B773" s="61"/>
      <c r="C773" s="61"/>
      <c r="D773" s="61"/>
      <c r="E773" s="62"/>
      <c r="F773" s="61"/>
      <c r="G773" s="61"/>
      <c r="H773" s="10"/>
      <c r="I773" s="12"/>
      <c r="J773" s="63"/>
      <c r="K773" s="10"/>
      <c r="L773" s="12"/>
      <c r="M773" s="12"/>
      <c r="N773" s="12"/>
      <c r="O773" s="12"/>
      <c r="P773" s="12"/>
      <c r="Q773" s="12"/>
      <c r="R773" s="12"/>
      <c r="S773" s="12"/>
      <c r="T773" s="12"/>
      <c r="U773" s="12"/>
    </row>
    <row r="774" customFormat="false" ht="15" hidden="false" customHeight="false" outlineLevel="0" collapsed="false">
      <c r="A774" s="12"/>
      <c r="B774" s="61"/>
      <c r="C774" s="61"/>
      <c r="D774" s="61"/>
      <c r="E774" s="62"/>
      <c r="F774" s="61"/>
      <c r="G774" s="61"/>
      <c r="H774" s="10"/>
      <c r="I774" s="12"/>
      <c r="J774" s="63"/>
      <c r="K774" s="10"/>
      <c r="L774" s="12"/>
      <c r="M774" s="12"/>
      <c r="N774" s="12"/>
      <c r="O774" s="12"/>
      <c r="P774" s="12"/>
      <c r="Q774" s="12"/>
      <c r="R774" s="12"/>
      <c r="S774" s="12"/>
      <c r="T774" s="12"/>
      <c r="U774" s="12"/>
    </row>
    <row r="775" customFormat="false" ht="15" hidden="false" customHeight="false" outlineLevel="0" collapsed="false">
      <c r="A775" s="12"/>
      <c r="B775" s="61"/>
      <c r="C775" s="61"/>
      <c r="D775" s="61"/>
      <c r="E775" s="62"/>
      <c r="F775" s="61"/>
      <c r="G775" s="61"/>
      <c r="H775" s="10"/>
      <c r="I775" s="12"/>
      <c r="J775" s="63"/>
      <c r="K775" s="10"/>
      <c r="L775" s="12"/>
      <c r="M775" s="12"/>
      <c r="N775" s="12"/>
      <c r="O775" s="12"/>
      <c r="P775" s="12"/>
      <c r="Q775" s="12"/>
      <c r="R775" s="12"/>
      <c r="S775" s="12"/>
      <c r="T775" s="12"/>
      <c r="U775" s="12"/>
    </row>
    <row r="776" customFormat="false" ht="15" hidden="false" customHeight="false" outlineLevel="0" collapsed="false">
      <c r="A776" s="12"/>
      <c r="B776" s="61"/>
      <c r="C776" s="61"/>
      <c r="D776" s="61"/>
      <c r="E776" s="62"/>
      <c r="F776" s="61"/>
      <c r="G776" s="61"/>
      <c r="H776" s="10"/>
      <c r="I776" s="12"/>
      <c r="J776" s="63"/>
      <c r="K776" s="10"/>
      <c r="L776" s="12"/>
      <c r="M776" s="12"/>
      <c r="N776" s="12"/>
      <c r="O776" s="12"/>
      <c r="P776" s="12"/>
      <c r="Q776" s="12"/>
      <c r="R776" s="12"/>
      <c r="S776" s="12"/>
      <c r="T776" s="12"/>
      <c r="U776" s="12"/>
    </row>
    <row r="777" customFormat="false" ht="15" hidden="false" customHeight="false" outlineLevel="0" collapsed="false">
      <c r="A777" s="12"/>
      <c r="B777" s="61"/>
      <c r="C777" s="61"/>
      <c r="D777" s="61"/>
      <c r="E777" s="62"/>
      <c r="F777" s="61"/>
      <c r="G777" s="61"/>
      <c r="H777" s="10"/>
      <c r="I777" s="12"/>
      <c r="J777" s="63"/>
      <c r="K777" s="10"/>
      <c r="L777" s="12"/>
      <c r="M777" s="12"/>
      <c r="N777" s="12"/>
      <c r="O777" s="12"/>
      <c r="P777" s="12"/>
      <c r="Q777" s="12"/>
      <c r="R777" s="12"/>
      <c r="S777" s="12"/>
      <c r="T777" s="12"/>
      <c r="U777" s="12"/>
    </row>
    <row r="778" customFormat="false" ht="15" hidden="false" customHeight="false" outlineLevel="0" collapsed="false">
      <c r="A778" s="12"/>
      <c r="B778" s="61"/>
      <c r="C778" s="61"/>
      <c r="D778" s="61"/>
      <c r="E778" s="62"/>
      <c r="F778" s="61"/>
      <c r="G778" s="61"/>
      <c r="H778" s="10"/>
      <c r="I778" s="12"/>
      <c r="J778" s="63"/>
      <c r="K778" s="10"/>
      <c r="L778" s="12"/>
      <c r="M778" s="12"/>
      <c r="N778" s="12"/>
      <c r="O778" s="12"/>
      <c r="P778" s="12"/>
      <c r="Q778" s="12"/>
      <c r="R778" s="12"/>
      <c r="S778" s="12"/>
      <c r="T778" s="12"/>
      <c r="U778" s="12"/>
    </row>
    <row r="779" customFormat="false" ht="15" hidden="false" customHeight="false" outlineLevel="0" collapsed="false">
      <c r="A779" s="12"/>
      <c r="B779" s="61"/>
      <c r="C779" s="61"/>
      <c r="D779" s="61"/>
      <c r="E779" s="62"/>
      <c r="F779" s="61"/>
      <c r="G779" s="61"/>
      <c r="H779" s="10"/>
      <c r="I779" s="12"/>
      <c r="J779" s="63"/>
      <c r="K779" s="10"/>
      <c r="L779" s="12"/>
      <c r="M779" s="12"/>
      <c r="N779" s="12"/>
      <c r="O779" s="12"/>
      <c r="P779" s="12"/>
      <c r="Q779" s="12"/>
      <c r="R779" s="12"/>
      <c r="S779" s="12"/>
      <c r="T779" s="12"/>
      <c r="U779" s="12"/>
    </row>
    <row r="780" customFormat="false" ht="15" hidden="false" customHeight="false" outlineLevel="0" collapsed="false">
      <c r="A780" s="12"/>
      <c r="B780" s="61"/>
      <c r="C780" s="61"/>
      <c r="D780" s="61"/>
      <c r="E780" s="62"/>
      <c r="F780" s="61"/>
      <c r="G780" s="61"/>
      <c r="H780" s="10"/>
      <c r="I780" s="12"/>
      <c r="J780" s="63"/>
      <c r="K780" s="10"/>
      <c r="L780" s="12"/>
      <c r="M780" s="12"/>
      <c r="N780" s="12"/>
      <c r="O780" s="12"/>
      <c r="P780" s="12"/>
      <c r="Q780" s="12"/>
      <c r="R780" s="12"/>
      <c r="S780" s="12"/>
      <c r="T780" s="12"/>
      <c r="U780" s="12"/>
    </row>
    <row r="781" customFormat="false" ht="15" hidden="false" customHeight="false" outlineLevel="0" collapsed="false">
      <c r="A781" s="12"/>
      <c r="B781" s="61"/>
      <c r="C781" s="61"/>
      <c r="D781" s="61"/>
      <c r="E781" s="62"/>
      <c r="F781" s="61"/>
      <c r="G781" s="61"/>
      <c r="H781" s="10"/>
      <c r="I781" s="12"/>
      <c r="J781" s="63"/>
      <c r="K781" s="10"/>
      <c r="L781" s="12"/>
      <c r="M781" s="12"/>
      <c r="N781" s="12"/>
      <c r="O781" s="12"/>
      <c r="P781" s="12"/>
      <c r="Q781" s="12"/>
      <c r="R781" s="12"/>
      <c r="S781" s="12"/>
      <c r="T781" s="12"/>
      <c r="U781" s="12"/>
    </row>
    <row r="782" customFormat="false" ht="15" hidden="false" customHeight="false" outlineLevel="0" collapsed="false">
      <c r="A782" s="12"/>
      <c r="B782" s="61"/>
      <c r="C782" s="61"/>
      <c r="D782" s="61"/>
      <c r="E782" s="62"/>
      <c r="F782" s="61"/>
      <c r="G782" s="61"/>
      <c r="H782" s="10"/>
      <c r="I782" s="12"/>
      <c r="J782" s="63"/>
      <c r="K782" s="10"/>
      <c r="L782" s="12"/>
      <c r="M782" s="12"/>
      <c r="N782" s="12"/>
      <c r="O782" s="12"/>
      <c r="P782" s="12"/>
      <c r="Q782" s="12"/>
      <c r="R782" s="12"/>
      <c r="S782" s="12"/>
      <c r="T782" s="12"/>
      <c r="U782" s="12"/>
    </row>
    <row r="783" customFormat="false" ht="15" hidden="false" customHeight="false" outlineLevel="0" collapsed="false">
      <c r="A783" s="12"/>
      <c r="B783" s="61"/>
      <c r="C783" s="61"/>
      <c r="D783" s="61"/>
      <c r="E783" s="62"/>
      <c r="F783" s="61"/>
      <c r="G783" s="61"/>
      <c r="H783" s="10"/>
      <c r="I783" s="12"/>
      <c r="J783" s="63"/>
      <c r="K783" s="10"/>
      <c r="L783" s="12"/>
      <c r="M783" s="12"/>
      <c r="N783" s="12"/>
      <c r="O783" s="12"/>
      <c r="P783" s="12"/>
      <c r="Q783" s="12"/>
      <c r="R783" s="12"/>
      <c r="S783" s="12"/>
      <c r="T783" s="12"/>
      <c r="U783" s="12"/>
    </row>
    <row r="784" customFormat="false" ht="15" hidden="false" customHeight="false" outlineLevel="0" collapsed="false">
      <c r="A784" s="12"/>
      <c r="B784" s="61"/>
      <c r="C784" s="61"/>
      <c r="D784" s="61"/>
      <c r="E784" s="62"/>
      <c r="F784" s="61"/>
      <c r="G784" s="61"/>
      <c r="H784" s="10"/>
      <c r="I784" s="12"/>
      <c r="J784" s="63"/>
      <c r="K784" s="10"/>
      <c r="L784" s="12"/>
      <c r="M784" s="12"/>
      <c r="N784" s="12"/>
      <c r="O784" s="12"/>
      <c r="P784" s="12"/>
      <c r="Q784" s="12"/>
      <c r="R784" s="12"/>
      <c r="S784" s="12"/>
      <c r="T784" s="12"/>
      <c r="U784" s="12"/>
    </row>
    <row r="785" customFormat="false" ht="15" hidden="false" customHeight="false" outlineLevel="0" collapsed="false">
      <c r="A785" s="12"/>
      <c r="B785" s="61"/>
      <c r="C785" s="61"/>
      <c r="D785" s="61"/>
      <c r="E785" s="62"/>
      <c r="F785" s="61"/>
      <c r="G785" s="61"/>
      <c r="H785" s="10"/>
      <c r="I785" s="12"/>
      <c r="J785" s="63"/>
      <c r="K785" s="10"/>
      <c r="L785" s="12"/>
      <c r="M785" s="12"/>
      <c r="N785" s="12"/>
      <c r="O785" s="12"/>
      <c r="P785" s="12"/>
      <c r="Q785" s="12"/>
      <c r="R785" s="12"/>
      <c r="S785" s="12"/>
      <c r="T785" s="12"/>
      <c r="U785" s="12"/>
    </row>
    <row r="786" customFormat="false" ht="15" hidden="false" customHeight="false" outlineLevel="0" collapsed="false">
      <c r="A786" s="12"/>
      <c r="B786" s="61"/>
      <c r="C786" s="61"/>
      <c r="D786" s="61"/>
      <c r="E786" s="62"/>
      <c r="F786" s="61"/>
      <c r="G786" s="61"/>
      <c r="H786" s="10"/>
      <c r="I786" s="12"/>
      <c r="J786" s="63"/>
      <c r="K786" s="10"/>
      <c r="L786" s="12"/>
      <c r="M786" s="12"/>
      <c r="N786" s="12"/>
      <c r="O786" s="12"/>
      <c r="P786" s="12"/>
      <c r="Q786" s="12"/>
      <c r="R786" s="12"/>
      <c r="S786" s="12"/>
      <c r="T786" s="12"/>
      <c r="U786" s="12"/>
    </row>
    <row r="787" customFormat="false" ht="15" hidden="false" customHeight="false" outlineLevel="0" collapsed="false">
      <c r="A787" s="12"/>
      <c r="B787" s="61"/>
      <c r="C787" s="61"/>
      <c r="D787" s="61"/>
      <c r="E787" s="62"/>
      <c r="F787" s="61"/>
      <c r="G787" s="61"/>
      <c r="H787" s="10"/>
      <c r="I787" s="12"/>
      <c r="J787" s="63"/>
      <c r="K787" s="10"/>
      <c r="L787" s="12"/>
      <c r="M787" s="12"/>
      <c r="N787" s="12"/>
      <c r="O787" s="12"/>
      <c r="P787" s="12"/>
      <c r="Q787" s="12"/>
      <c r="R787" s="12"/>
      <c r="S787" s="12"/>
      <c r="T787" s="12"/>
      <c r="U787" s="12"/>
    </row>
    <row r="788" customFormat="false" ht="15" hidden="false" customHeight="false" outlineLevel="0" collapsed="false">
      <c r="A788" s="12"/>
      <c r="B788" s="61"/>
      <c r="C788" s="61"/>
      <c r="D788" s="61"/>
      <c r="E788" s="62"/>
      <c r="F788" s="61"/>
      <c r="G788" s="61"/>
      <c r="H788" s="10"/>
      <c r="I788" s="12"/>
      <c r="J788" s="63"/>
      <c r="K788" s="10"/>
      <c r="L788" s="12"/>
      <c r="M788" s="12"/>
      <c r="N788" s="12"/>
      <c r="O788" s="12"/>
      <c r="P788" s="12"/>
      <c r="Q788" s="12"/>
      <c r="R788" s="12"/>
      <c r="S788" s="12"/>
      <c r="T788" s="12"/>
      <c r="U788" s="12"/>
    </row>
    <row r="789" customFormat="false" ht="15" hidden="false" customHeight="false" outlineLevel="0" collapsed="false">
      <c r="A789" s="12"/>
      <c r="B789" s="61"/>
      <c r="C789" s="61"/>
      <c r="D789" s="61"/>
      <c r="E789" s="62"/>
      <c r="F789" s="61"/>
      <c r="G789" s="61"/>
      <c r="H789" s="10"/>
      <c r="I789" s="12"/>
      <c r="J789" s="63"/>
      <c r="K789" s="10"/>
      <c r="L789" s="12"/>
      <c r="M789" s="12"/>
      <c r="N789" s="12"/>
      <c r="O789" s="12"/>
      <c r="P789" s="12"/>
      <c r="Q789" s="12"/>
      <c r="R789" s="12"/>
      <c r="S789" s="12"/>
      <c r="T789" s="12"/>
      <c r="U789" s="12"/>
    </row>
    <row r="790" customFormat="false" ht="15" hidden="false" customHeight="false" outlineLevel="0" collapsed="false">
      <c r="A790" s="12"/>
      <c r="B790" s="61"/>
      <c r="C790" s="61"/>
      <c r="D790" s="61"/>
      <c r="E790" s="62"/>
      <c r="F790" s="61"/>
      <c r="G790" s="61"/>
      <c r="H790" s="10"/>
      <c r="I790" s="12"/>
      <c r="J790" s="63"/>
      <c r="K790" s="10"/>
      <c r="L790" s="12"/>
      <c r="M790" s="12"/>
      <c r="N790" s="12"/>
      <c r="O790" s="12"/>
      <c r="P790" s="12"/>
      <c r="Q790" s="12"/>
      <c r="R790" s="12"/>
      <c r="S790" s="12"/>
      <c r="T790" s="12"/>
      <c r="U790" s="12"/>
    </row>
    <row r="791" customFormat="false" ht="15" hidden="false" customHeight="false" outlineLevel="0" collapsed="false">
      <c r="A791" s="12"/>
      <c r="B791" s="61"/>
      <c r="C791" s="61"/>
      <c r="D791" s="61"/>
      <c r="E791" s="62"/>
      <c r="F791" s="61"/>
      <c r="G791" s="61"/>
      <c r="H791" s="10"/>
      <c r="I791" s="12"/>
      <c r="J791" s="63"/>
      <c r="K791" s="10"/>
      <c r="L791" s="12"/>
      <c r="M791" s="12"/>
      <c r="N791" s="12"/>
      <c r="O791" s="12"/>
      <c r="P791" s="12"/>
      <c r="Q791" s="12"/>
      <c r="R791" s="12"/>
      <c r="S791" s="12"/>
      <c r="T791" s="12"/>
      <c r="U791" s="12"/>
    </row>
    <row r="792" customFormat="false" ht="15" hidden="false" customHeight="false" outlineLevel="0" collapsed="false">
      <c r="A792" s="12"/>
      <c r="B792" s="61"/>
      <c r="C792" s="61"/>
      <c r="D792" s="61"/>
      <c r="E792" s="62"/>
      <c r="F792" s="61"/>
      <c r="G792" s="61"/>
      <c r="H792" s="10"/>
      <c r="I792" s="12"/>
      <c r="J792" s="63"/>
      <c r="K792" s="10"/>
      <c r="L792" s="12"/>
      <c r="M792" s="12"/>
      <c r="N792" s="12"/>
      <c r="O792" s="12"/>
      <c r="P792" s="12"/>
      <c r="Q792" s="12"/>
      <c r="R792" s="12"/>
      <c r="S792" s="12"/>
      <c r="T792" s="12"/>
      <c r="U792" s="12"/>
    </row>
    <row r="793" customFormat="false" ht="15" hidden="false" customHeight="false" outlineLevel="0" collapsed="false">
      <c r="A793" s="12"/>
      <c r="B793" s="61"/>
      <c r="C793" s="61"/>
      <c r="D793" s="61"/>
      <c r="E793" s="62"/>
      <c r="F793" s="61"/>
      <c r="G793" s="61"/>
      <c r="H793" s="10"/>
      <c r="I793" s="12"/>
      <c r="J793" s="63"/>
      <c r="K793" s="10"/>
      <c r="L793" s="12"/>
      <c r="M793" s="12"/>
      <c r="N793" s="12"/>
      <c r="O793" s="12"/>
      <c r="P793" s="12"/>
      <c r="Q793" s="12"/>
      <c r="R793" s="12"/>
      <c r="S793" s="12"/>
      <c r="T793" s="12"/>
      <c r="U793" s="12"/>
    </row>
    <row r="794" customFormat="false" ht="15" hidden="false" customHeight="false" outlineLevel="0" collapsed="false">
      <c r="A794" s="12"/>
      <c r="B794" s="61"/>
      <c r="C794" s="61"/>
      <c r="D794" s="61"/>
      <c r="E794" s="62"/>
      <c r="F794" s="61"/>
      <c r="G794" s="61"/>
      <c r="H794" s="10"/>
      <c r="I794" s="12"/>
      <c r="J794" s="63"/>
      <c r="K794" s="10"/>
      <c r="L794" s="12"/>
      <c r="M794" s="12"/>
      <c r="N794" s="12"/>
      <c r="O794" s="12"/>
      <c r="P794" s="12"/>
      <c r="Q794" s="12"/>
      <c r="R794" s="12"/>
      <c r="S794" s="12"/>
      <c r="T794" s="12"/>
      <c r="U794" s="12"/>
    </row>
    <row r="795" customFormat="false" ht="15" hidden="false" customHeight="false" outlineLevel="0" collapsed="false">
      <c r="A795" s="12"/>
      <c r="B795" s="61"/>
      <c r="C795" s="61"/>
      <c r="D795" s="61"/>
      <c r="E795" s="62"/>
      <c r="F795" s="61"/>
      <c r="G795" s="61"/>
      <c r="H795" s="10"/>
      <c r="I795" s="12"/>
      <c r="J795" s="63"/>
      <c r="K795" s="10"/>
      <c r="L795" s="12"/>
      <c r="M795" s="12"/>
      <c r="N795" s="12"/>
      <c r="O795" s="12"/>
      <c r="P795" s="12"/>
      <c r="Q795" s="12"/>
      <c r="R795" s="12"/>
      <c r="S795" s="12"/>
      <c r="T795" s="12"/>
      <c r="U795" s="12"/>
    </row>
    <row r="796" customFormat="false" ht="15" hidden="false" customHeight="false" outlineLevel="0" collapsed="false">
      <c r="A796" s="12"/>
      <c r="B796" s="61"/>
      <c r="C796" s="61"/>
      <c r="D796" s="61"/>
      <c r="E796" s="62"/>
      <c r="F796" s="61"/>
      <c r="G796" s="61"/>
      <c r="H796" s="10"/>
      <c r="I796" s="12"/>
      <c r="J796" s="63"/>
      <c r="K796" s="10"/>
      <c r="L796" s="12"/>
      <c r="M796" s="12"/>
      <c r="N796" s="12"/>
      <c r="O796" s="12"/>
      <c r="P796" s="12"/>
      <c r="Q796" s="12"/>
      <c r="R796" s="12"/>
      <c r="S796" s="12"/>
      <c r="T796" s="12"/>
      <c r="U796" s="12"/>
    </row>
    <row r="797" customFormat="false" ht="15" hidden="false" customHeight="false" outlineLevel="0" collapsed="false">
      <c r="A797" s="12"/>
      <c r="B797" s="61"/>
      <c r="C797" s="61"/>
      <c r="D797" s="61"/>
      <c r="E797" s="62"/>
      <c r="F797" s="61"/>
      <c r="G797" s="61"/>
      <c r="H797" s="10"/>
      <c r="I797" s="12"/>
      <c r="J797" s="63"/>
      <c r="K797" s="10"/>
      <c r="L797" s="12"/>
      <c r="M797" s="12"/>
      <c r="N797" s="12"/>
      <c r="O797" s="12"/>
      <c r="P797" s="12"/>
      <c r="Q797" s="12"/>
      <c r="R797" s="12"/>
      <c r="S797" s="12"/>
      <c r="T797" s="12"/>
      <c r="U797" s="12"/>
    </row>
    <row r="798" customFormat="false" ht="15" hidden="false" customHeight="false" outlineLevel="0" collapsed="false">
      <c r="A798" s="12"/>
      <c r="B798" s="61"/>
      <c r="C798" s="61"/>
      <c r="D798" s="61"/>
      <c r="E798" s="62"/>
      <c r="F798" s="61"/>
      <c r="G798" s="61"/>
      <c r="H798" s="10"/>
      <c r="I798" s="12"/>
      <c r="J798" s="63"/>
      <c r="K798" s="10"/>
      <c r="L798" s="12"/>
      <c r="M798" s="12"/>
      <c r="N798" s="12"/>
      <c r="O798" s="12"/>
      <c r="P798" s="12"/>
      <c r="Q798" s="12"/>
      <c r="R798" s="12"/>
      <c r="S798" s="12"/>
      <c r="T798" s="12"/>
      <c r="U798" s="12"/>
    </row>
    <row r="799" customFormat="false" ht="15" hidden="false" customHeight="false" outlineLevel="0" collapsed="false">
      <c r="A799" s="12"/>
      <c r="B799" s="61"/>
      <c r="C799" s="61"/>
      <c r="D799" s="61"/>
      <c r="E799" s="62"/>
      <c r="F799" s="61"/>
      <c r="G799" s="61"/>
      <c r="H799" s="10"/>
      <c r="I799" s="12"/>
      <c r="J799" s="63"/>
      <c r="K799" s="10"/>
      <c r="L799" s="12"/>
      <c r="M799" s="12"/>
      <c r="N799" s="12"/>
      <c r="O799" s="12"/>
      <c r="P799" s="12"/>
      <c r="Q799" s="12"/>
      <c r="R799" s="12"/>
      <c r="S799" s="12"/>
      <c r="T799" s="12"/>
      <c r="U799" s="12"/>
    </row>
    <row r="800" customFormat="false" ht="15" hidden="false" customHeight="false" outlineLevel="0" collapsed="false">
      <c r="A800" s="12"/>
      <c r="B800" s="61"/>
      <c r="C800" s="61"/>
      <c r="D800" s="61"/>
      <c r="E800" s="62"/>
      <c r="F800" s="61"/>
      <c r="G800" s="61"/>
      <c r="H800" s="10"/>
      <c r="I800" s="12"/>
      <c r="J800" s="63"/>
      <c r="K800" s="10"/>
      <c r="L800" s="12"/>
      <c r="M800" s="12"/>
      <c r="N800" s="12"/>
      <c r="O800" s="12"/>
      <c r="P800" s="12"/>
      <c r="Q800" s="12"/>
      <c r="R800" s="12"/>
      <c r="S800" s="12"/>
      <c r="T800" s="12"/>
      <c r="U800" s="12"/>
    </row>
    <row r="801" customFormat="false" ht="15" hidden="false" customHeight="false" outlineLevel="0" collapsed="false">
      <c r="A801" s="12"/>
      <c r="B801" s="61"/>
      <c r="C801" s="61"/>
      <c r="D801" s="61"/>
      <c r="E801" s="62"/>
      <c r="F801" s="61"/>
      <c r="G801" s="61"/>
      <c r="H801" s="10"/>
      <c r="I801" s="12"/>
      <c r="J801" s="63"/>
      <c r="K801" s="10"/>
      <c r="L801" s="12"/>
      <c r="M801" s="12"/>
      <c r="N801" s="12"/>
      <c r="O801" s="12"/>
      <c r="P801" s="12"/>
      <c r="Q801" s="12"/>
      <c r="R801" s="12"/>
      <c r="S801" s="12"/>
      <c r="T801" s="12"/>
      <c r="U801" s="12"/>
    </row>
    <row r="802" customFormat="false" ht="15" hidden="false" customHeight="false" outlineLevel="0" collapsed="false">
      <c r="A802" s="12"/>
      <c r="B802" s="61"/>
      <c r="C802" s="61"/>
      <c r="D802" s="61"/>
      <c r="E802" s="62"/>
      <c r="F802" s="61"/>
      <c r="G802" s="61"/>
      <c r="H802" s="10"/>
      <c r="I802" s="12"/>
      <c r="J802" s="63"/>
      <c r="K802" s="10"/>
      <c r="L802" s="12"/>
      <c r="M802" s="12"/>
      <c r="N802" s="12"/>
      <c r="O802" s="12"/>
      <c r="P802" s="12"/>
      <c r="Q802" s="12"/>
      <c r="R802" s="12"/>
      <c r="S802" s="12"/>
      <c r="T802" s="12"/>
      <c r="U802" s="12"/>
    </row>
    <row r="803" customFormat="false" ht="15" hidden="false" customHeight="false" outlineLevel="0" collapsed="false">
      <c r="A803" s="12"/>
      <c r="B803" s="61"/>
      <c r="C803" s="61"/>
      <c r="D803" s="61"/>
      <c r="E803" s="62"/>
      <c r="F803" s="61"/>
      <c r="G803" s="61"/>
      <c r="H803" s="10"/>
      <c r="I803" s="12"/>
      <c r="J803" s="63"/>
      <c r="K803" s="10"/>
      <c r="L803" s="12"/>
      <c r="M803" s="12"/>
      <c r="N803" s="12"/>
      <c r="O803" s="12"/>
      <c r="P803" s="12"/>
      <c r="Q803" s="12"/>
      <c r="R803" s="12"/>
      <c r="S803" s="12"/>
      <c r="T803" s="12"/>
      <c r="U803" s="12"/>
    </row>
    <row r="804" customFormat="false" ht="15" hidden="false" customHeight="false" outlineLevel="0" collapsed="false">
      <c r="A804" s="12"/>
      <c r="B804" s="61"/>
      <c r="C804" s="61"/>
      <c r="D804" s="61"/>
      <c r="E804" s="62"/>
      <c r="F804" s="61"/>
      <c r="G804" s="61"/>
      <c r="H804" s="10"/>
      <c r="I804" s="12"/>
      <c r="J804" s="63"/>
      <c r="K804" s="10"/>
      <c r="L804" s="12"/>
      <c r="M804" s="12"/>
      <c r="N804" s="12"/>
      <c r="O804" s="12"/>
      <c r="P804" s="12"/>
      <c r="Q804" s="12"/>
      <c r="R804" s="12"/>
      <c r="S804" s="12"/>
      <c r="T804" s="12"/>
      <c r="U804" s="12"/>
    </row>
    <row r="805" customFormat="false" ht="15" hidden="false" customHeight="false" outlineLevel="0" collapsed="false">
      <c r="A805" s="12"/>
      <c r="B805" s="61"/>
      <c r="C805" s="61"/>
      <c r="D805" s="61"/>
      <c r="E805" s="62"/>
      <c r="F805" s="61"/>
      <c r="G805" s="61"/>
      <c r="H805" s="10"/>
      <c r="I805" s="12"/>
      <c r="J805" s="63"/>
      <c r="K805" s="10"/>
      <c r="L805" s="12"/>
      <c r="M805" s="12"/>
      <c r="N805" s="12"/>
      <c r="O805" s="12"/>
      <c r="P805" s="12"/>
      <c r="Q805" s="12"/>
      <c r="R805" s="12"/>
      <c r="S805" s="12"/>
      <c r="T805" s="12"/>
      <c r="U805" s="12"/>
    </row>
    <row r="806" customFormat="false" ht="15" hidden="false" customHeight="false" outlineLevel="0" collapsed="false">
      <c r="A806" s="12"/>
      <c r="B806" s="61"/>
      <c r="C806" s="61"/>
      <c r="D806" s="61"/>
      <c r="E806" s="62"/>
      <c r="F806" s="61"/>
      <c r="G806" s="61"/>
      <c r="H806" s="10"/>
      <c r="I806" s="12"/>
      <c r="J806" s="63"/>
      <c r="K806" s="10"/>
      <c r="L806" s="12"/>
      <c r="M806" s="12"/>
      <c r="N806" s="12"/>
      <c r="O806" s="12"/>
      <c r="P806" s="12"/>
      <c r="Q806" s="12"/>
      <c r="R806" s="12"/>
      <c r="S806" s="12"/>
      <c r="T806" s="12"/>
      <c r="U806" s="12"/>
    </row>
    <row r="807" customFormat="false" ht="15" hidden="false" customHeight="false" outlineLevel="0" collapsed="false">
      <c r="A807" s="12"/>
      <c r="B807" s="61"/>
      <c r="C807" s="61"/>
      <c r="D807" s="61"/>
      <c r="E807" s="62"/>
      <c r="F807" s="61"/>
      <c r="G807" s="61"/>
      <c r="H807" s="10"/>
      <c r="I807" s="12"/>
      <c r="J807" s="63"/>
      <c r="K807" s="10"/>
      <c r="L807" s="12"/>
      <c r="M807" s="12"/>
      <c r="N807" s="12"/>
      <c r="O807" s="12"/>
      <c r="P807" s="12"/>
      <c r="Q807" s="12"/>
      <c r="R807" s="12"/>
      <c r="S807" s="12"/>
      <c r="T807" s="12"/>
      <c r="U807" s="12"/>
    </row>
    <row r="808" customFormat="false" ht="15" hidden="false" customHeight="false" outlineLevel="0" collapsed="false">
      <c r="A808" s="12"/>
      <c r="B808" s="61"/>
      <c r="C808" s="61"/>
      <c r="D808" s="61"/>
      <c r="E808" s="62"/>
      <c r="F808" s="61"/>
      <c r="G808" s="61"/>
      <c r="H808" s="10"/>
      <c r="I808" s="12"/>
      <c r="J808" s="63"/>
      <c r="K808" s="10"/>
      <c r="L808" s="12"/>
      <c r="M808" s="12"/>
      <c r="N808" s="12"/>
      <c r="O808" s="12"/>
      <c r="P808" s="12"/>
      <c r="Q808" s="12"/>
      <c r="R808" s="12"/>
      <c r="S808" s="12"/>
      <c r="T808" s="12"/>
      <c r="U808" s="12"/>
    </row>
    <row r="809" customFormat="false" ht="15" hidden="false" customHeight="false" outlineLevel="0" collapsed="false">
      <c r="A809" s="12"/>
      <c r="B809" s="61"/>
      <c r="C809" s="61"/>
      <c r="D809" s="61"/>
      <c r="E809" s="62"/>
      <c r="F809" s="61"/>
      <c r="G809" s="61"/>
      <c r="H809" s="10"/>
      <c r="I809" s="12"/>
      <c r="J809" s="63"/>
      <c r="K809" s="10"/>
      <c r="L809" s="12"/>
      <c r="M809" s="12"/>
      <c r="N809" s="12"/>
      <c r="O809" s="12"/>
      <c r="P809" s="12"/>
      <c r="Q809" s="12"/>
      <c r="R809" s="12"/>
      <c r="S809" s="12"/>
      <c r="T809" s="12"/>
      <c r="U809" s="12"/>
    </row>
    <row r="810" customFormat="false" ht="15" hidden="false" customHeight="false" outlineLevel="0" collapsed="false">
      <c r="A810" s="12"/>
      <c r="B810" s="61"/>
      <c r="C810" s="61"/>
      <c r="D810" s="61"/>
      <c r="E810" s="62"/>
      <c r="F810" s="61"/>
      <c r="G810" s="61"/>
      <c r="H810" s="10"/>
      <c r="I810" s="12"/>
      <c r="J810" s="63"/>
      <c r="K810" s="10"/>
      <c r="L810" s="12"/>
      <c r="M810" s="12"/>
      <c r="N810" s="12"/>
      <c r="O810" s="12"/>
      <c r="P810" s="12"/>
      <c r="Q810" s="12"/>
      <c r="R810" s="12"/>
      <c r="S810" s="12"/>
      <c r="T810" s="12"/>
      <c r="U810" s="12"/>
    </row>
    <row r="811" customFormat="false" ht="15" hidden="false" customHeight="false" outlineLevel="0" collapsed="false">
      <c r="A811" s="12"/>
      <c r="B811" s="61"/>
      <c r="C811" s="61"/>
      <c r="D811" s="61"/>
      <c r="E811" s="62"/>
      <c r="F811" s="61"/>
      <c r="G811" s="61"/>
      <c r="H811" s="10"/>
      <c r="I811" s="12"/>
      <c r="J811" s="63"/>
      <c r="K811" s="10"/>
      <c r="L811" s="12"/>
      <c r="M811" s="12"/>
      <c r="N811" s="12"/>
      <c r="O811" s="12"/>
      <c r="P811" s="12"/>
      <c r="Q811" s="12"/>
      <c r="R811" s="12"/>
      <c r="S811" s="12"/>
      <c r="T811" s="12"/>
      <c r="U811" s="12"/>
    </row>
    <row r="812" customFormat="false" ht="15" hidden="false" customHeight="false" outlineLevel="0" collapsed="false">
      <c r="A812" s="12"/>
      <c r="B812" s="61"/>
      <c r="C812" s="61"/>
      <c r="D812" s="61"/>
      <c r="E812" s="62"/>
      <c r="F812" s="61"/>
      <c r="G812" s="61"/>
      <c r="H812" s="10"/>
      <c r="I812" s="12"/>
      <c r="J812" s="63"/>
      <c r="K812" s="10"/>
      <c r="L812" s="12"/>
      <c r="M812" s="12"/>
      <c r="N812" s="12"/>
      <c r="O812" s="12"/>
      <c r="P812" s="12"/>
      <c r="Q812" s="12"/>
      <c r="R812" s="12"/>
      <c r="S812" s="12"/>
      <c r="T812" s="12"/>
      <c r="U812" s="12"/>
    </row>
    <row r="813" customFormat="false" ht="15" hidden="false" customHeight="false" outlineLevel="0" collapsed="false">
      <c r="A813" s="12"/>
      <c r="B813" s="61"/>
      <c r="C813" s="61"/>
      <c r="D813" s="61"/>
      <c r="E813" s="62"/>
      <c r="F813" s="61"/>
      <c r="G813" s="61"/>
      <c r="H813" s="10"/>
      <c r="I813" s="12"/>
      <c r="J813" s="63"/>
      <c r="K813" s="10"/>
      <c r="L813" s="12"/>
      <c r="M813" s="12"/>
      <c r="N813" s="12"/>
      <c r="O813" s="12"/>
      <c r="P813" s="12"/>
      <c r="Q813" s="12"/>
      <c r="R813" s="12"/>
      <c r="S813" s="12"/>
      <c r="T813" s="12"/>
      <c r="U813" s="12"/>
    </row>
    <row r="814" customFormat="false" ht="15" hidden="false" customHeight="false" outlineLevel="0" collapsed="false">
      <c r="A814" s="12"/>
      <c r="B814" s="61"/>
      <c r="C814" s="61"/>
      <c r="D814" s="61"/>
      <c r="E814" s="62"/>
      <c r="F814" s="61"/>
      <c r="G814" s="61"/>
      <c r="H814" s="10"/>
      <c r="I814" s="12"/>
      <c r="J814" s="63"/>
      <c r="K814" s="10"/>
      <c r="L814" s="12"/>
      <c r="M814" s="12"/>
      <c r="N814" s="12"/>
      <c r="O814" s="12"/>
      <c r="P814" s="12"/>
      <c r="Q814" s="12"/>
      <c r="R814" s="12"/>
      <c r="S814" s="12"/>
      <c r="T814" s="12"/>
      <c r="U814" s="12"/>
    </row>
    <row r="815" customFormat="false" ht="15" hidden="false" customHeight="false" outlineLevel="0" collapsed="false">
      <c r="A815" s="12"/>
      <c r="B815" s="61"/>
      <c r="C815" s="61"/>
      <c r="D815" s="61"/>
      <c r="E815" s="62"/>
      <c r="F815" s="61"/>
      <c r="G815" s="61"/>
      <c r="H815" s="10"/>
      <c r="I815" s="12"/>
      <c r="J815" s="63"/>
      <c r="K815" s="10"/>
      <c r="L815" s="12"/>
      <c r="M815" s="12"/>
      <c r="N815" s="12"/>
      <c r="O815" s="12"/>
      <c r="P815" s="12"/>
      <c r="Q815" s="12"/>
      <c r="R815" s="12"/>
      <c r="S815" s="12"/>
      <c r="T815" s="12"/>
      <c r="U815" s="12"/>
    </row>
    <row r="816" customFormat="false" ht="15" hidden="false" customHeight="false" outlineLevel="0" collapsed="false">
      <c r="A816" s="12"/>
      <c r="B816" s="61"/>
      <c r="C816" s="61"/>
      <c r="D816" s="61"/>
      <c r="E816" s="62"/>
      <c r="F816" s="61"/>
      <c r="G816" s="61"/>
      <c r="H816" s="10"/>
      <c r="I816" s="12"/>
      <c r="J816" s="63"/>
      <c r="K816" s="10"/>
      <c r="L816" s="12"/>
      <c r="M816" s="12"/>
      <c r="N816" s="12"/>
      <c r="O816" s="12"/>
      <c r="P816" s="12"/>
      <c r="Q816" s="12"/>
      <c r="R816" s="12"/>
      <c r="S816" s="12"/>
      <c r="T816" s="12"/>
      <c r="U816" s="12"/>
    </row>
    <row r="817" customFormat="false" ht="15" hidden="false" customHeight="false" outlineLevel="0" collapsed="false">
      <c r="A817" s="12"/>
      <c r="B817" s="61"/>
      <c r="C817" s="61"/>
      <c r="D817" s="61"/>
      <c r="E817" s="62"/>
      <c r="F817" s="61"/>
      <c r="G817" s="61"/>
      <c r="H817" s="10"/>
      <c r="I817" s="12"/>
      <c r="J817" s="63"/>
      <c r="K817" s="10"/>
      <c r="L817" s="12"/>
      <c r="M817" s="12"/>
      <c r="N817" s="12"/>
      <c r="O817" s="12"/>
      <c r="P817" s="12"/>
      <c r="Q817" s="12"/>
      <c r="R817" s="12"/>
      <c r="S817" s="12"/>
      <c r="T817" s="12"/>
      <c r="U817" s="12"/>
    </row>
    <row r="818" customFormat="false" ht="15" hidden="false" customHeight="false" outlineLevel="0" collapsed="false">
      <c r="A818" s="12"/>
      <c r="B818" s="61"/>
      <c r="C818" s="61"/>
      <c r="D818" s="61"/>
      <c r="E818" s="62"/>
      <c r="F818" s="61"/>
      <c r="G818" s="61"/>
      <c r="H818" s="10"/>
      <c r="I818" s="12"/>
      <c r="J818" s="63"/>
      <c r="K818" s="10"/>
      <c r="L818" s="12"/>
      <c r="M818" s="12"/>
      <c r="N818" s="12"/>
      <c r="O818" s="12"/>
      <c r="P818" s="12"/>
      <c r="Q818" s="12"/>
      <c r="R818" s="12"/>
      <c r="S818" s="12"/>
      <c r="T818" s="12"/>
      <c r="U818" s="12"/>
    </row>
    <row r="819" customFormat="false" ht="15" hidden="false" customHeight="false" outlineLevel="0" collapsed="false">
      <c r="A819" s="12"/>
      <c r="B819" s="61"/>
      <c r="C819" s="61"/>
      <c r="D819" s="61"/>
      <c r="E819" s="62"/>
      <c r="F819" s="61"/>
      <c r="G819" s="61"/>
      <c r="H819" s="10"/>
      <c r="I819" s="12"/>
      <c r="J819" s="63"/>
      <c r="K819" s="10"/>
      <c r="L819" s="12"/>
      <c r="M819" s="12"/>
      <c r="N819" s="12"/>
      <c r="O819" s="12"/>
      <c r="P819" s="12"/>
      <c r="Q819" s="12"/>
      <c r="R819" s="12"/>
      <c r="S819" s="12"/>
      <c r="T819" s="12"/>
      <c r="U819" s="12"/>
    </row>
    <row r="820" customFormat="false" ht="15" hidden="false" customHeight="false" outlineLevel="0" collapsed="false">
      <c r="A820" s="12"/>
      <c r="B820" s="61"/>
      <c r="C820" s="61"/>
      <c r="D820" s="61"/>
      <c r="E820" s="62"/>
      <c r="F820" s="61"/>
      <c r="G820" s="61"/>
      <c r="H820" s="10"/>
      <c r="I820" s="12"/>
      <c r="J820" s="63"/>
      <c r="K820" s="10"/>
      <c r="L820" s="12"/>
      <c r="M820" s="12"/>
      <c r="N820" s="12"/>
      <c r="O820" s="12"/>
      <c r="P820" s="12"/>
      <c r="Q820" s="12"/>
      <c r="R820" s="12"/>
      <c r="S820" s="12"/>
      <c r="T820" s="12"/>
      <c r="U820" s="12"/>
    </row>
    <row r="821" customFormat="false" ht="15" hidden="false" customHeight="false" outlineLevel="0" collapsed="false">
      <c r="A821" s="12"/>
      <c r="B821" s="61"/>
      <c r="C821" s="61"/>
      <c r="D821" s="61"/>
      <c r="E821" s="62"/>
      <c r="F821" s="61"/>
      <c r="G821" s="61"/>
      <c r="H821" s="10"/>
      <c r="I821" s="12"/>
      <c r="J821" s="63"/>
      <c r="K821" s="10"/>
      <c r="L821" s="12"/>
      <c r="M821" s="12"/>
      <c r="N821" s="12"/>
      <c r="O821" s="12"/>
      <c r="P821" s="12"/>
      <c r="Q821" s="12"/>
      <c r="R821" s="12"/>
      <c r="S821" s="12"/>
      <c r="T821" s="12"/>
      <c r="U821" s="12"/>
    </row>
    <row r="822" customFormat="false" ht="15" hidden="false" customHeight="false" outlineLevel="0" collapsed="false">
      <c r="A822" s="12"/>
      <c r="B822" s="61"/>
      <c r="C822" s="61"/>
      <c r="D822" s="61"/>
      <c r="E822" s="62"/>
      <c r="F822" s="61"/>
      <c r="G822" s="61"/>
      <c r="H822" s="10"/>
      <c r="I822" s="12"/>
      <c r="J822" s="63"/>
      <c r="K822" s="10"/>
      <c r="L822" s="12"/>
      <c r="M822" s="12"/>
      <c r="N822" s="12"/>
      <c r="O822" s="12"/>
      <c r="P822" s="12"/>
      <c r="Q822" s="12"/>
      <c r="R822" s="12"/>
      <c r="S822" s="12"/>
      <c r="T822" s="12"/>
      <c r="U822" s="12"/>
    </row>
    <row r="823" customFormat="false" ht="15" hidden="false" customHeight="false" outlineLevel="0" collapsed="false">
      <c r="A823" s="12"/>
      <c r="B823" s="61"/>
      <c r="C823" s="61"/>
      <c r="D823" s="61"/>
      <c r="E823" s="62"/>
      <c r="F823" s="61"/>
      <c r="G823" s="61"/>
      <c r="H823" s="10"/>
      <c r="I823" s="12"/>
      <c r="J823" s="63"/>
      <c r="K823" s="10"/>
      <c r="L823" s="12"/>
      <c r="M823" s="12"/>
      <c r="N823" s="12"/>
      <c r="O823" s="12"/>
      <c r="P823" s="12"/>
      <c r="Q823" s="12"/>
      <c r="R823" s="12"/>
      <c r="S823" s="12"/>
      <c r="T823" s="12"/>
      <c r="U823" s="12"/>
    </row>
    <row r="824" customFormat="false" ht="15" hidden="false" customHeight="false" outlineLevel="0" collapsed="false">
      <c r="A824" s="12"/>
      <c r="B824" s="61"/>
      <c r="C824" s="61"/>
      <c r="D824" s="61"/>
      <c r="E824" s="62"/>
      <c r="F824" s="61"/>
      <c r="G824" s="61"/>
      <c r="H824" s="10"/>
      <c r="I824" s="12"/>
      <c r="J824" s="63"/>
      <c r="K824" s="10"/>
      <c r="L824" s="12"/>
      <c r="M824" s="12"/>
      <c r="N824" s="12"/>
      <c r="O824" s="12"/>
      <c r="P824" s="12"/>
      <c r="Q824" s="12"/>
      <c r="R824" s="12"/>
      <c r="S824" s="12"/>
      <c r="T824" s="12"/>
      <c r="U824" s="12"/>
    </row>
    <row r="825" customFormat="false" ht="15" hidden="false" customHeight="false" outlineLevel="0" collapsed="false">
      <c r="A825" s="12"/>
      <c r="B825" s="61"/>
      <c r="C825" s="61"/>
      <c r="D825" s="61"/>
      <c r="E825" s="62"/>
      <c r="F825" s="61"/>
      <c r="G825" s="61"/>
      <c r="H825" s="10"/>
      <c r="I825" s="12"/>
      <c r="J825" s="63"/>
      <c r="K825" s="10"/>
      <c r="L825" s="12"/>
      <c r="M825" s="12"/>
      <c r="N825" s="12"/>
      <c r="O825" s="12"/>
      <c r="P825" s="12"/>
      <c r="Q825" s="12"/>
      <c r="R825" s="12"/>
      <c r="S825" s="12"/>
      <c r="T825" s="12"/>
      <c r="U825" s="12"/>
    </row>
    <row r="826" customFormat="false" ht="15" hidden="false" customHeight="false" outlineLevel="0" collapsed="false">
      <c r="A826" s="12"/>
      <c r="B826" s="61"/>
      <c r="C826" s="61"/>
      <c r="D826" s="61"/>
      <c r="E826" s="62"/>
      <c r="F826" s="61"/>
      <c r="G826" s="61"/>
      <c r="H826" s="10"/>
      <c r="I826" s="12"/>
      <c r="J826" s="63"/>
      <c r="K826" s="10"/>
      <c r="L826" s="12"/>
      <c r="M826" s="12"/>
      <c r="N826" s="12"/>
      <c r="O826" s="12"/>
      <c r="P826" s="12"/>
      <c r="Q826" s="12"/>
      <c r="R826" s="12"/>
      <c r="S826" s="12"/>
      <c r="T826" s="12"/>
      <c r="U826" s="12"/>
    </row>
    <row r="827" customFormat="false" ht="15" hidden="false" customHeight="false" outlineLevel="0" collapsed="false">
      <c r="A827" s="12"/>
      <c r="B827" s="61"/>
      <c r="C827" s="61"/>
      <c r="D827" s="61"/>
      <c r="E827" s="62"/>
      <c r="F827" s="61"/>
      <c r="G827" s="61"/>
      <c r="H827" s="10"/>
      <c r="I827" s="12"/>
      <c r="J827" s="63"/>
      <c r="K827" s="10"/>
      <c r="L827" s="12"/>
      <c r="M827" s="12"/>
      <c r="N827" s="12"/>
      <c r="O827" s="12"/>
      <c r="P827" s="12"/>
      <c r="Q827" s="12"/>
      <c r="R827" s="12"/>
      <c r="S827" s="12"/>
      <c r="T827" s="12"/>
      <c r="U827" s="12"/>
    </row>
    <row r="828" customFormat="false" ht="15" hidden="false" customHeight="false" outlineLevel="0" collapsed="false">
      <c r="A828" s="12"/>
      <c r="B828" s="61"/>
      <c r="C828" s="61"/>
      <c r="D828" s="61"/>
      <c r="E828" s="62"/>
      <c r="F828" s="61"/>
      <c r="G828" s="61"/>
      <c r="H828" s="10"/>
      <c r="I828" s="12"/>
      <c r="J828" s="63"/>
      <c r="K828" s="10"/>
      <c r="L828" s="12"/>
      <c r="M828" s="12"/>
      <c r="N828" s="12"/>
      <c r="O828" s="12"/>
      <c r="P828" s="12"/>
      <c r="Q828" s="12"/>
      <c r="R828" s="12"/>
      <c r="S828" s="12"/>
      <c r="T828" s="12"/>
      <c r="U828" s="12"/>
    </row>
    <row r="829" customFormat="false" ht="15" hidden="false" customHeight="false" outlineLevel="0" collapsed="false">
      <c r="A829" s="12"/>
      <c r="B829" s="61"/>
      <c r="C829" s="61"/>
      <c r="D829" s="61"/>
      <c r="E829" s="62"/>
      <c r="F829" s="61"/>
      <c r="G829" s="61"/>
      <c r="H829" s="10"/>
      <c r="I829" s="12"/>
      <c r="J829" s="63"/>
      <c r="K829" s="10"/>
      <c r="L829" s="12"/>
      <c r="M829" s="12"/>
      <c r="N829" s="12"/>
      <c r="O829" s="12"/>
      <c r="P829" s="12"/>
      <c r="Q829" s="12"/>
      <c r="R829" s="12"/>
      <c r="S829" s="12"/>
      <c r="T829" s="12"/>
      <c r="U829" s="12"/>
    </row>
    <row r="830" customFormat="false" ht="15" hidden="false" customHeight="false" outlineLevel="0" collapsed="false">
      <c r="A830" s="12"/>
      <c r="B830" s="61"/>
      <c r="C830" s="61"/>
      <c r="D830" s="61"/>
      <c r="E830" s="62"/>
      <c r="F830" s="61"/>
      <c r="G830" s="61"/>
      <c r="H830" s="10"/>
      <c r="I830" s="12"/>
      <c r="J830" s="63"/>
      <c r="K830" s="10"/>
      <c r="L830" s="12"/>
      <c r="M830" s="12"/>
      <c r="N830" s="12"/>
      <c r="O830" s="12"/>
      <c r="P830" s="12"/>
      <c r="Q830" s="12"/>
      <c r="R830" s="12"/>
      <c r="S830" s="12"/>
      <c r="T830" s="12"/>
      <c r="U830" s="12"/>
    </row>
    <row r="831" customFormat="false" ht="15" hidden="false" customHeight="false" outlineLevel="0" collapsed="false">
      <c r="A831" s="12"/>
      <c r="B831" s="61"/>
      <c r="C831" s="61"/>
      <c r="D831" s="61"/>
      <c r="E831" s="62"/>
      <c r="F831" s="61"/>
      <c r="G831" s="61"/>
      <c r="H831" s="10"/>
      <c r="I831" s="12"/>
      <c r="J831" s="63"/>
      <c r="K831" s="10"/>
      <c r="L831" s="12"/>
      <c r="M831" s="12"/>
      <c r="N831" s="12"/>
      <c r="O831" s="12"/>
      <c r="P831" s="12"/>
      <c r="Q831" s="12"/>
      <c r="R831" s="12"/>
      <c r="S831" s="12"/>
      <c r="T831" s="12"/>
      <c r="U831" s="12"/>
    </row>
    <row r="832" customFormat="false" ht="15" hidden="false" customHeight="false" outlineLevel="0" collapsed="false">
      <c r="A832" s="12"/>
      <c r="B832" s="61"/>
      <c r="C832" s="61"/>
      <c r="D832" s="61"/>
      <c r="E832" s="62"/>
      <c r="F832" s="61"/>
      <c r="G832" s="61"/>
      <c r="H832" s="10"/>
      <c r="I832" s="12"/>
      <c r="J832" s="63"/>
      <c r="K832" s="10"/>
      <c r="L832" s="12"/>
      <c r="M832" s="12"/>
      <c r="N832" s="12"/>
      <c r="O832" s="12"/>
      <c r="P832" s="12"/>
      <c r="Q832" s="12"/>
      <c r="R832" s="12"/>
      <c r="S832" s="12"/>
      <c r="T832" s="12"/>
      <c r="U832" s="12"/>
    </row>
    <row r="833" customFormat="false" ht="15" hidden="false" customHeight="false" outlineLevel="0" collapsed="false">
      <c r="A833" s="12"/>
      <c r="B833" s="61"/>
      <c r="C833" s="61"/>
      <c r="D833" s="61"/>
      <c r="E833" s="62"/>
      <c r="F833" s="61"/>
      <c r="G833" s="61"/>
      <c r="H833" s="10"/>
      <c r="I833" s="12"/>
      <c r="J833" s="63"/>
      <c r="K833" s="10"/>
      <c r="L833" s="12"/>
      <c r="M833" s="12"/>
      <c r="N833" s="12"/>
      <c r="O833" s="12"/>
      <c r="P833" s="12"/>
      <c r="Q833" s="12"/>
      <c r="R833" s="12"/>
      <c r="S833" s="12"/>
      <c r="T833" s="12"/>
      <c r="U833" s="12"/>
    </row>
    <row r="834" customFormat="false" ht="15" hidden="false" customHeight="false" outlineLevel="0" collapsed="false">
      <c r="A834" s="12"/>
      <c r="B834" s="61"/>
      <c r="C834" s="61"/>
      <c r="D834" s="61"/>
      <c r="E834" s="62"/>
      <c r="F834" s="61"/>
      <c r="G834" s="61"/>
      <c r="H834" s="10"/>
      <c r="I834" s="12"/>
      <c r="J834" s="63"/>
      <c r="K834" s="10"/>
      <c r="L834" s="12"/>
      <c r="M834" s="12"/>
      <c r="N834" s="12"/>
      <c r="O834" s="12"/>
      <c r="P834" s="12"/>
      <c r="Q834" s="12"/>
      <c r="R834" s="12"/>
      <c r="S834" s="12"/>
      <c r="T834" s="12"/>
      <c r="U834" s="12"/>
    </row>
    <row r="835" customFormat="false" ht="15" hidden="false" customHeight="false" outlineLevel="0" collapsed="false">
      <c r="A835" s="12"/>
      <c r="B835" s="61"/>
      <c r="C835" s="61"/>
      <c r="D835" s="61"/>
      <c r="E835" s="62"/>
      <c r="F835" s="61"/>
      <c r="G835" s="61"/>
      <c r="H835" s="10"/>
      <c r="I835" s="12"/>
      <c r="J835" s="63"/>
      <c r="K835" s="10"/>
      <c r="L835" s="12"/>
      <c r="M835" s="12"/>
      <c r="N835" s="12"/>
      <c r="O835" s="12"/>
      <c r="P835" s="12"/>
      <c r="Q835" s="12"/>
      <c r="R835" s="12"/>
      <c r="S835" s="12"/>
      <c r="T835" s="12"/>
      <c r="U835" s="12"/>
    </row>
    <row r="836" customFormat="false" ht="15" hidden="false" customHeight="false" outlineLevel="0" collapsed="false">
      <c r="A836" s="12"/>
      <c r="B836" s="61"/>
      <c r="C836" s="61"/>
      <c r="D836" s="61"/>
      <c r="E836" s="62"/>
      <c r="F836" s="61"/>
      <c r="G836" s="61"/>
      <c r="H836" s="10"/>
      <c r="I836" s="12"/>
      <c r="J836" s="63"/>
      <c r="K836" s="10"/>
      <c r="L836" s="12"/>
      <c r="M836" s="12"/>
      <c r="N836" s="12"/>
      <c r="O836" s="12"/>
      <c r="P836" s="12"/>
      <c r="Q836" s="12"/>
      <c r="R836" s="12"/>
      <c r="S836" s="12"/>
      <c r="T836" s="12"/>
      <c r="U836" s="12"/>
    </row>
    <row r="837" customFormat="false" ht="15" hidden="false" customHeight="false" outlineLevel="0" collapsed="false">
      <c r="A837" s="12"/>
      <c r="B837" s="61"/>
      <c r="C837" s="61"/>
      <c r="D837" s="61"/>
      <c r="E837" s="62"/>
      <c r="F837" s="61"/>
      <c r="G837" s="61"/>
      <c r="H837" s="10"/>
      <c r="I837" s="12"/>
      <c r="J837" s="63"/>
      <c r="K837" s="10"/>
      <c r="L837" s="12"/>
      <c r="M837" s="12"/>
      <c r="N837" s="12"/>
      <c r="O837" s="12"/>
      <c r="P837" s="12"/>
      <c r="Q837" s="12"/>
      <c r="R837" s="12"/>
      <c r="S837" s="12"/>
      <c r="T837" s="12"/>
      <c r="U837" s="12"/>
    </row>
    <row r="838" customFormat="false" ht="15" hidden="false" customHeight="false" outlineLevel="0" collapsed="false">
      <c r="A838" s="12"/>
      <c r="B838" s="61"/>
      <c r="C838" s="61"/>
      <c r="D838" s="61"/>
      <c r="E838" s="62"/>
      <c r="F838" s="61"/>
      <c r="G838" s="61"/>
      <c r="H838" s="10"/>
      <c r="I838" s="12"/>
      <c r="J838" s="63"/>
      <c r="K838" s="10"/>
      <c r="L838" s="12"/>
      <c r="M838" s="12"/>
      <c r="N838" s="12"/>
      <c r="O838" s="12"/>
      <c r="P838" s="12"/>
      <c r="Q838" s="12"/>
      <c r="R838" s="12"/>
      <c r="S838" s="12"/>
      <c r="T838" s="12"/>
      <c r="U838" s="12"/>
    </row>
    <row r="839" customFormat="false" ht="15" hidden="false" customHeight="false" outlineLevel="0" collapsed="false">
      <c r="A839" s="12"/>
      <c r="B839" s="61"/>
      <c r="C839" s="61"/>
      <c r="D839" s="61"/>
      <c r="E839" s="62"/>
      <c r="F839" s="61"/>
      <c r="G839" s="61"/>
      <c r="H839" s="10"/>
      <c r="I839" s="12"/>
      <c r="J839" s="63"/>
      <c r="K839" s="10"/>
      <c r="L839" s="12"/>
      <c r="M839" s="12"/>
      <c r="N839" s="12"/>
      <c r="O839" s="12"/>
      <c r="P839" s="12"/>
      <c r="Q839" s="12"/>
      <c r="R839" s="12"/>
      <c r="S839" s="12"/>
      <c r="T839" s="12"/>
      <c r="U839" s="12"/>
    </row>
    <row r="840" customFormat="false" ht="15" hidden="false" customHeight="false" outlineLevel="0" collapsed="false">
      <c r="A840" s="12"/>
      <c r="B840" s="61"/>
      <c r="C840" s="61"/>
      <c r="D840" s="61"/>
      <c r="E840" s="62"/>
      <c r="F840" s="61"/>
      <c r="G840" s="61"/>
      <c r="H840" s="10"/>
      <c r="I840" s="12"/>
      <c r="J840" s="63"/>
      <c r="K840" s="10"/>
      <c r="L840" s="12"/>
      <c r="M840" s="12"/>
      <c r="N840" s="12"/>
      <c r="O840" s="12"/>
      <c r="P840" s="12"/>
      <c r="Q840" s="12"/>
      <c r="R840" s="12"/>
      <c r="S840" s="12"/>
      <c r="T840" s="12"/>
      <c r="U840" s="12"/>
    </row>
    <row r="841" customFormat="false" ht="15" hidden="false" customHeight="false" outlineLevel="0" collapsed="false">
      <c r="A841" s="12"/>
      <c r="B841" s="61"/>
      <c r="C841" s="61"/>
      <c r="D841" s="61"/>
      <c r="E841" s="62"/>
      <c r="F841" s="61"/>
      <c r="G841" s="61"/>
      <c r="H841" s="10"/>
      <c r="I841" s="12"/>
      <c r="J841" s="63"/>
      <c r="K841" s="10"/>
      <c r="L841" s="12"/>
      <c r="M841" s="12"/>
      <c r="N841" s="12"/>
      <c r="O841" s="12"/>
      <c r="P841" s="12"/>
      <c r="Q841" s="12"/>
      <c r="R841" s="12"/>
      <c r="S841" s="12"/>
      <c r="T841" s="12"/>
      <c r="U841" s="12"/>
    </row>
    <row r="842" customFormat="false" ht="15" hidden="false" customHeight="false" outlineLevel="0" collapsed="false">
      <c r="A842" s="12"/>
      <c r="B842" s="61"/>
      <c r="C842" s="61"/>
      <c r="D842" s="61"/>
      <c r="E842" s="62"/>
      <c r="F842" s="61"/>
      <c r="G842" s="61"/>
      <c r="H842" s="10"/>
      <c r="I842" s="12"/>
      <c r="J842" s="63"/>
      <c r="K842" s="10"/>
      <c r="L842" s="12"/>
      <c r="M842" s="12"/>
      <c r="N842" s="12"/>
      <c r="O842" s="12"/>
      <c r="P842" s="12"/>
      <c r="Q842" s="12"/>
      <c r="R842" s="12"/>
      <c r="S842" s="12"/>
      <c r="T842" s="12"/>
      <c r="U842" s="12"/>
    </row>
    <row r="843" customFormat="false" ht="15" hidden="false" customHeight="false" outlineLevel="0" collapsed="false">
      <c r="A843" s="12"/>
      <c r="B843" s="61"/>
      <c r="C843" s="61"/>
      <c r="D843" s="61"/>
      <c r="E843" s="62"/>
      <c r="F843" s="61"/>
      <c r="G843" s="61"/>
      <c r="H843" s="10"/>
      <c r="I843" s="12"/>
      <c r="J843" s="63"/>
      <c r="K843" s="10"/>
      <c r="L843" s="12"/>
      <c r="M843" s="12"/>
      <c r="N843" s="12"/>
      <c r="O843" s="12"/>
      <c r="P843" s="12"/>
      <c r="Q843" s="12"/>
      <c r="R843" s="12"/>
      <c r="S843" s="12"/>
      <c r="T843" s="12"/>
      <c r="U843" s="12"/>
    </row>
    <row r="844" customFormat="false" ht="15" hidden="false" customHeight="false" outlineLevel="0" collapsed="false">
      <c r="A844" s="12"/>
      <c r="B844" s="61"/>
      <c r="C844" s="61"/>
      <c r="D844" s="61"/>
      <c r="E844" s="62"/>
      <c r="F844" s="61"/>
      <c r="G844" s="61"/>
      <c r="H844" s="10"/>
      <c r="I844" s="12"/>
      <c r="J844" s="63"/>
      <c r="K844" s="10"/>
      <c r="L844" s="12"/>
      <c r="M844" s="12"/>
      <c r="N844" s="12"/>
      <c r="O844" s="12"/>
      <c r="P844" s="12"/>
      <c r="Q844" s="12"/>
      <c r="R844" s="12"/>
      <c r="S844" s="12"/>
      <c r="T844" s="12"/>
      <c r="U844" s="12"/>
    </row>
    <row r="845" customFormat="false" ht="15" hidden="false" customHeight="false" outlineLevel="0" collapsed="false">
      <c r="A845" s="12"/>
      <c r="B845" s="61"/>
      <c r="C845" s="61"/>
      <c r="D845" s="61"/>
      <c r="E845" s="62"/>
      <c r="F845" s="61"/>
      <c r="G845" s="61"/>
      <c r="H845" s="10"/>
      <c r="I845" s="12"/>
      <c r="J845" s="63"/>
      <c r="K845" s="10"/>
      <c r="L845" s="12"/>
      <c r="M845" s="12"/>
      <c r="N845" s="12"/>
      <c r="O845" s="12"/>
      <c r="P845" s="12"/>
      <c r="Q845" s="12"/>
      <c r="R845" s="12"/>
      <c r="S845" s="12"/>
      <c r="T845" s="12"/>
      <c r="U845" s="12"/>
    </row>
    <row r="846" customFormat="false" ht="15" hidden="false" customHeight="false" outlineLevel="0" collapsed="false">
      <c r="A846" s="12"/>
      <c r="B846" s="61"/>
      <c r="C846" s="61"/>
      <c r="D846" s="61"/>
      <c r="E846" s="62"/>
      <c r="F846" s="61"/>
      <c r="G846" s="61"/>
      <c r="H846" s="10"/>
      <c r="I846" s="12"/>
      <c r="J846" s="63"/>
      <c r="K846" s="10"/>
      <c r="L846" s="12"/>
      <c r="M846" s="12"/>
      <c r="N846" s="12"/>
      <c r="O846" s="12"/>
      <c r="P846" s="12"/>
      <c r="Q846" s="12"/>
      <c r="R846" s="12"/>
      <c r="S846" s="12"/>
      <c r="T846" s="12"/>
      <c r="U846" s="12"/>
    </row>
    <row r="847" customFormat="false" ht="15" hidden="false" customHeight="false" outlineLevel="0" collapsed="false">
      <c r="A847" s="12"/>
      <c r="B847" s="61"/>
      <c r="C847" s="61"/>
      <c r="D847" s="61"/>
      <c r="E847" s="62"/>
      <c r="F847" s="61"/>
      <c r="G847" s="61"/>
      <c r="H847" s="10"/>
      <c r="I847" s="12"/>
      <c r="J847" s="63"/>
      <c r="K847" s="10"/>
      <c r="L847" s="12"/>
      <c r="M847" s="12"/>
      <c r="N847" s="12"/>
      <c r="O847" s="12"/>
      <c r="P847" s="12"/>
      <c r="Q847" s="12"/>
      <c r="R847" s="12"/>
      <c r="S847" s="12"/>
      <c r="T847" s="12"/>
      <c r="U847" s="12"/>
    </row>
    <row r="848" customFormat="false" ht="15" hidden="false" customHeight="false" outlineLevel="0" collapsed="false">
      <c r="A848" s="12"/>
      <c r="B848" s="61"/>
      <c r="C848" s="61"/>
      <c r="D848" s="61"/>
      <c r="E848" s="62"/>
      <c r="F848" s="61"/>
      <c r="G848" s="61"/>
      <c r="H848" s="10"/>
      <c r="I848" s="12"/>
      <c r="J848" s="63"/>
      <c r="K848" s="10"/>
      <c r="L848" s="12"/>
      <c r="M848" s="12"/>
      <c r="N848" s="12"/>
      <c r="O848" s="12"/>
      <c r="P848" s="12"/>
      <c r="Q848" s="12"/>
      <c r="R848" s="12"/>
      <c r="S848" s="12"/>
      <c r="T848" s="12"/>
      <c r="U848" s="12"/>
    </row>
    <row r="849" customFormat="false" ht="15" hidden="false" customHeight="false" outlineLevel="0" collapsed="false">
      <c r="A849" s="12"/>
      <c r="B849" s="61"/>
      <c r="C849" s="61"/>
      <c r="D849" s="61"/>
      <c r="E849" s="62"/>
      <c r="F849" s="61"/>
      <c r="G849" s="61"/>
      <c r="H849" s="10"/>
      <c r="I849" s="12"/>
      <c r="J849" s="63"/>
      <c r="K849" s="10"/>
      <c r="L849" s="12"/>
      <c r="M849" s="12"/>
      <c r="N849" s="12"/>
      <c r="O849" s="12"/>
      <c r="P849" s="12"/>
      <c r="Q849" s="12"/>
      <c r="R849" s="12"/>
      <c r="S849" s="12"/>
      <c r="T849" s="12"/>
      <c r="U849" s="12"/>
    </row>
    <row r="850" customFormat="false" ht="15" hidden="false" customHeight="false" outlineLevel="0" collapsed="false">
      <c r="A850" s="12"/>
      <c r="B850" s="61"/>
      <c r="C850" s="61"/>
      <c r="D850" s="61"/>
      <c r="E850" s="62"/>
      <c r="F850" s="61"/>
      <c r="G850" s="61"/>
      <c r="H850" s="10"/>
      <c r="I850" s="12"/>
      <c r="J850" s="63"/>
      <c r="K850" s="10"/>
      <c r="L850" s="12"/>
      <c r="M850" s="12"/>
      <c r="N850" s="12"/>
      <c r="O850" s="12"/>
      <c r="P850" s="12"/>
      <c r="Q850" s="12"/>
      <c r="R850" s="12"/>
      <c r="S850" s="12"/>
      <c r="T850" s="12"/>
      <c r="U850" s="12"/>
    </row>
    <row r="851" customFormat="false" ht="15" hidden="false" customHeight="false" outlineLevel="0" collapsed="false">
      <c r="A851" s="12"/>
      <c r="B851" s="61"/>
      <c r="C851" s="61"/>
      <c r="D851" s="61"/>
      <c r="E851" s="62"/>
      <c r="F851" s="61"/>
      <c r="G851" s="61"/>
      <c r="H851" s="10"/>
      <c r="I851" s="12"/>
      <c r="J851" s="63"/>
      <c r="K851" s="10"/>
      <c r="L851" s="12"/>
      <c r="M851" s="12"/>
      <c r="N851" s="12"/>
      <c r="O851" s="12"/>
      <c r="P851" s="12"/>
      <c r="Q851" s="12"/>
      <c r="R851" s="12"/>
      <c r="S851" s="12"/>
      <c r="T851" s="12"/>
      <c r="U851" s="12"/>
    </row>
    <row r="852" customFormat="false" ht="15" hidden="false" customHeight="false" outlineLevel="0" collapsed="false">
      <c r="A852" s="12"/>
      <c r="B852" s="61"/>
      <c r="C852" s="61"/>
      <c r="D852" s="61"/>
      <c r="E852" s="62"/>
      <c r="F852" s="61"/>
      <c r="G852" s="61"/>
      <c r="H852" s="10"/>
      <c r="I852" s="12"/>
      <c r="J852" s="63"/>
      <c r="K852" s="10"/>
      <c r="L852" s="12"/>
      <c r="M852" s="12"/>
      <c r="N852" s="12"/>
      <c r="O852" s="12"/>
      <c r="P852" s="12"/>
      <c r="Q852" s="12"/>
      <c r="R852" s="12"/>
      <c r="S852" s="12"/>
      <c r="T852" s="12"/>
      <c r="U852" s="12"/>
    </row>
    <row r="853" customFormat="false" ht="15" hidden="false" customHeight="false" outlineLevel="0" collapsed="false">
      <c r="A853" s="12"/>
      <c r="B853" s="61"/>
      <c r="C853" s="61"/>
      <c r="D853" s="61"/>
      <c r="E853" s="62"/>
      <c r="F853" s="61"/>
      <c r="G853" s="61"/>
      <c r="H853" s="10"/>
      <c r="I853" s="12"/>
      <c r="J853" s="63"/>
      <c r="K853" s="10"/>
      <c r="L853" s="12"/>
      <c r="M853" s="12"/>
      <c r="N853" s="12"/>
      <c r="O853" s="12"/>
      <c r="P853" s="12"/>
      <c r="Q853" s="12"/>
      <c r="R853" s="12"/>
      <c r="S853" s="12"/>
      <c r="T853" s="12"/>
      <c r="U853" s="12"/>
    </row>
    <row r="854" customFormat="false" ht="15" hidden="false" customHeight="false" outlineLevel="0" collapsed="false">
      <c r="A854" s="12"/>
      <c r="B854" s="61"/>
      <c r="C854" s="61"/>
      <c r="D854" s="61"/>
      <c r="E854" s="62"/>
      <c r="F854" s="61"/>
      <c r="G854" s="61"/>
      <c r="H854" s="10"/>
      <c r="I854" s="12"/>
      <c r="J854" s="63"/>
      <c r="K854" s="10"/>
      <c r="L854" s="12"/>
      <c r="M854" s="12"/>
      <c r="N854" s="12"/>
      <c r="O854" s="12"/>
      <c r="P854" s="12"/>
      <c r="Q854" s="12"/>
      <c r="R854" s="12"/>
      <c r="S854" s="12"/>
      <c r="T854" s="12"/>
      <c r="U854" s="12"/>
    </row>
    <row r="855" customFormat="false" ht="15" hidden="false" customHeight="false" outlineLevel="0" collapsed="false">
      <c r="A855" s="12"/>
      <c r="B855" s="61"/>
      <c r="C855" s="61"/>
      <c r="D855" s="61"/>
      <c r="E855" s="62"/>
      <c r="F855" s="61"/>
      <c r="G855" s="61"/>
      <c r="H855" s="10"/>
      <c r="I855" s="12"/>
      <c r="J855" s="63"/>
      <c r="K855" s="10"/>
      <c r="L855" s="12"/>
      <c r="M855" s="12"/>
      <c r="N855" s="12"/>
      <c r="O855" s="12"/>
      <c r="P855" s="12"/>
      <c r="Q855" s="12"/>
      <c r="R855" s="12"/>
      <c r="S855" s="12"/>
      <c r="T855" s="12"/>
      <c r="U855" s="12"/>
    </row>
    <row r="856" customFormat="false" ht="15" hidden="false" customHeight="false" outlineLevel="0" collapsed="false">
      <c r="A856" s="12"/>
      <c r="B856" s="61"/>
      <c r="C856" s="61"/>
      <c r="D856" s="61"/>
      <c r="E856" s="62"/>
      <c r="F856" s="61"/>
      <c r="G856" s="61"/>
      <c r="H856" s="10"/>
      <c r="I856" s="12"/>
      <c r="J856" s="63"/>
      <c r="K856" s="10"/>
      <c r="L856" s="12"/>
      <c r="M856" s="12"/>
      <c r="N856" s="12"/>
      <c r="O856" s="12"/>
      <c r="P856" s="12"/>
      <c r="Q856" s="12"/>
      <c r="R856" s="12"/>
      <c r="S856" s="12"/>
      <c r="T856" s="12"/>
      <c r="U856" s="12"/>
    </row>
    <row r="857" customFormat="false" ht="15" hidden="false" customHeight="false" outlineLevel="0" collapsed="false">
      <c r="A857" s="12"/>
      <c r="B857" s="61"/>
      <c r="C857" s="61"/>
      <c r="D857" s="61"/>
      <c r="E857" s="62"/>
      <c r="F857" s="61"/>
      <c r="G857" s="61"/>
      <c r="H857" s="10"/>
      <c r="I857" s="12"/>
      <c r="J857" s="63"/>
      <c r="K857" s="10"/>
      <c r="L857" s="12"/>
      <c r="M857" s="12"/>
      <c r="N857" s="12"/>
      <c r="O857" s="12"/>
      <c r="P857" s="12"/>
      <c r="Q857" s="12"/>
      <c r="R857" s="12"/>
      <c r="S857" s="12"/>
      <c r="T857" s="12"/>
      <c r="U857" s="12"/>
    </row>
    <row r="858" customFormat="false" ht="15" hidden="false" customHeight="false" outlineLevel="0" collapsed="false">
      <c r="A858" s="12"/>
      <c r="B858" s="61"/>
      <c r="C858" s="61"/>
      <c r="D858" s="61"/>
      <c r="E858" s="62"/>
      <c r="F858" s="61"/>
      <c r="G858" s="61"/>
      <c r="H858" s="10"/>
      <c r="I858" s="12"/>
      <c r="J858" s="63"/>
      <c r="K858" s="10"/>
      <c r="L858" s="12"/>
      <c r="M858" s="12"/>
      <c r="N858" s="12"/>
      <c r="O858" s="12"/>
      <c r="P858" s="12"/>
      <c r="Q858" s="12"/>
      <c r="R858" s="12"/>
      <c r="S858" s="12"/>
      <c r="T858" s="12"/>
      <c r="U858" s="12"/>
    </row>
    <row r="859" customFormat="false" ht="15" hidden="false" customHeight="false" outlineLevel="0" collapsed="false">
      <c r="A859" s="12"/>
      <c r="B859" s="61"/>
      <c r="C859" s="61"/>
      <c r="D859" s="61"/>
      <c r="E859" s="62"/>
      <c r="F859" s="61"/>
      <c r="G859" s="61"/>
      <c r="H859" s="10"/>
      <c r="I859" s="12"/>
      <c r="J859" s="63"/>
      <c r="K859" s="10"/>
      <c r="L859" s="12"/>
      <c r="M859" s="12"/>
      <c r="N859" s="12"/>
      <c r="O859" s="12"/>
      <c r="P859" s="12"/>
      <c r="Q859" s="12"/>
      <c r="R859" s="12"/>
      <c r="S859" s="12"/>
      <c r="T859" s="12"/>
      <c r="U859" s="12"/>
    </row>
    <row r="860" customFormat="false" ht="15" hidden="false" customHeight="false" outlineLevel="0" collapsed="false">
      <c r="A860" s="12"/>
      <c r="B860" s="61"/>
      <c r="C860" s="61"/>
      <c r="D860" s="61"/>
      <c r="E860" s="62"/>
      <c r="F860" s="61"/>
      <c r="G860" s="61"/>
      <c r="H860" s="10"/>
      <c r="I860" s="12"/>
      <c r="J860" s="63"/>
      <c r="K860" s="10"/>
      <c r="L860" s="12"/>
      <c r="M860" s="12"/>
      <c r="N860" s="12"/>
      <c r="O860" s="12"/>
      <c r="P860" s="12"/>
      <c r="Q860" s="12"/>
      <c r="R860" s="12"/>
      <c r="S860" s="12"/>
      <c r="T860" s="12"/>
      <c r="U860" s="12"/>
    </row>
    <row r="861" customFormat="false" ht="15" hidden="false" customHeight="false" outlineLevel="0" collapsed="false">
      <c r="A861" s="12"/>
      <c r="B861" s="61"/>
      <c r="C861" s="61"/>
      <c r="D861" s="61"/>
      <c r="E861" s="62"/>
      <c r="F861" s="61"/>
      <c r="G861" s="61"/>
      <c r="H861" s="10"/>
      <c r="I861" s="12"/>
      <c r="J861" s="63"/>
      <c r="K861" s="10"/>
      <c r="L861" s="12"/>
      <c r="M861" s="12"/>
      <c r="N861" s="12"/>
      <c r="O861" s="12"/>
      <c r="P861" s="12"/>
      <c r="Q861" s="12"/>
      <c r="R861" s="12"/>
      <c r="S861" s="12"/>
      <c r="T861" s="12"/>
      <c r="U861" s="12"/>
    </row>
    <row r="862" customFormat="false" ht="15" hidden="false" customHeight="false" outlineLevel="0" collapsed="false">
      <c r="A862" s="12"/>
      <c r="B862" s="61"/>
      <c r="C862" s="61"/>
      <c r="D862" s="61"/>
      <c r="E862" s="62"/>
      <c r="F862" s="61"/>
      <c r="G862" s="61"/>
      <c r="H862" s="10"/>
      <c r="I862" s="12"/>
      <c r="J862" s="63"/>
      <c r="K862" s="10"/>
      <c r="L862" s="12"/>
      <c r="M862" s="12"/>
      <c r="N862" s="12"/>
      <c r="O862" s="12"/>
      <c r="P862" s="12"/>
      <c r="Q862" s="12"/>
      <c r="R862" s="12"/>
      <c r="S862" s="12"/>
      <c r="T862" s="12"/>
      <c r="U862" s="12"/>
    </row>
    <row r="863" customFormat="false" ht="15" hidden="false" customHeight="false" outlineLevel="0" collapsed="false">
      <c r="A863" s="12"/>
      <c r="B863" s="61"/>
      <c r="C863" s="61"/>
      <c r="D863" s="61"/>
      <c r="E863" s="62"/>
      <c r="F863" s="61"/>
      <c r="G863" s="61"/>
      <c r="H863" s="10"/>
      <c r="I863" s="12"/>
      <c r="J863" s="63"/>
      <c r="K863" s="10"/>
      <c r="L863" s="12"/>
      <c r="M863" s="12"/>
      <c r="N863" s="12"/>
      <c r="O863" s="12"/>
      <c r="P863" s="12"/>
      <c r="Q863" s="12"/>
      <c r="R863" s="12"/>
      <c r="S863" s="12"/>
      <c r="T863" s="12"/>
      <c r="U863" s="12"/>
    </row>
    <row r="864" customFormat="false" ht="15" hidden="false" customHeight="false" outlineLevel="0" collapsed="false">
      <c r="A864" s="12"/>
      <c r="B864" s="61"/>
      <c r="C864" s="61"/>
      <c r="D864" s="61"/>
      <c r="E864" s="62"/>
      <c r="F864" s="61"/>
      <c r="G864" s="61"/>
      <c r="H864" s="10"/>
      <c r="I864" s="12"/>
      <c r="J864" s="63"/>
      <c r="K864" s="10"/>
      <c r="L864" s="12"/>
      <c r="M864" s="12"/>
      <c r="N864" s="12"/>
      <c r="O864" s="12"/>
      <c r="P864" s="12"/>
      <c r="Q864" s="12"/>
      <c r="R864" s="12"/>
      <c r="S864" s="12"/>
      <c r="T864" s="12"/>
      <c r="U864" s="12"/>
    </row>
    <row r="865" customFormat="false" ht="15" hidden="false" customHeight="false" outlineLevel="0" collapsed="false">
      <c r="A865" s="12"/>
      <c r="B865" s="61"/>
      <c r="C865" s="61"/>
      <c r="D865" s="61"/>
      <c r="E865" s="62"/>
      <c r="F865" s="61"/>
      <c r="G865" s="61"/>
      <c r="H865" s="10"/>
      <c r="I865" s="12"/>
      <c r="J865" s="63"/>
      <c r="K865" s="10"/>
      <c r="L865" s="12"/>
      <c r="M865" s="12"/>
      <c r="N865" s="12"/>
      <c r="O865" s="12"/>
      <c r="P865" s="12"/>
      <c r="Q865" s="12"/>
      <c r="R865" s="12"/>
      <c r="S865" s="12"/>
      <c r="T865" s="12"/>
      <c r="U865" s="12"/>
    </row>
    <row r="866" customFormat="false" ht="15" hidden="false" customHeight="false" outlineLevel="0" collapsed="false">
      <c r="A866" s="12"/>
      <c r="B866" s="61"/>
      <c r="C866" s="61"/>
      <c r="D866" s="61"/>
      <c r="E866" s="62"/>
      <c r="F866" s="61"/>
      <c r="G866" s="61"/>
      <c r="H866" s="10"/>
      <c r="I866" s="12"/>
      <c r="J866" s="63"/>
      <c r="K866" s="10"/>
      <c r="L866" s="12"/>
      <c r="M866" s="12"/>
      <c r="N866" s="12"/>
      <c r="O866" s="12"/>
      <c r="P866" s="12"/>
      <c r="Q866" s="12"/>
      <c r="R866" s="12"/>
      <c r="S866" s="12"/>
      <c r="T866" s="12"/>
      <c r="U866" s="12"/>
    </row>
    <row r="867" customFormat="false" ht="15" hidden="false" customHeight="false" outlineLevel="0" collapsed="false">
      <c r="A867" s="12"/>
      <c r="B867" s="61"/>
      <c r="C867" s="61"/>
      <c r="D867" s="61"/>
      <c r="E867" s="62"/>
      <c r="F867" s="61"/>
      <c r="G867" s="61"/>
      <c r="H867" s="10"/>
      <c r="I867" s="12"/>
      <c r="J867" s="63"/>
      <c r="K867" s="10"/>
      <c r="L867" s="12"/>
      <c r="M867" s="12"/>
      <c r="N867" s="12"/>
      <c r="O867" s="12"/>
      <c r="P867" s="12"/>
      <c r="Q867" s="12"/>
      <c r="R867" s="12"/>
      <c r="S867" s="12"/>
      <c r="T867" s="12"/>
      <c r="U867" s="12"/>
    </row>
    <row r="868" customFormat="false" ht="15" hidden="false" customHeight="false" outlineLevel="0" collapsed="false">
      <c r="A868" s="12"/>
      <c r="B868" s="61"/>
      <c r="C868" s="61"/>
      <c r="D868" s="61"/>
      <c r="E868" s="62"/>
      <c r="F868" s="61"/>
      <c r="G868" s="61"/>
      <c r="H868" s="10"/>
      <c r="I868" s="12"/>
      <c r="J868" s="63"/>
      <c r="K868" s="10"/>
      <c r="L868" s="12"/>
      <c r="M868" s="12"/>
      <c r="N868" s="12"/>
      <c r="O868" s="12"/>
      <c r="P868" s="12"/>
      <c r="Q868" s="12"/>
      <c r="R868" s="12"/>
      <c r="S868" s="12"/>
      <c r="T868" s="12"/>
      <c r="U868" s="12"/>
    </row>
    <row r="869" customFormat="false" ht="15" hidden="false" customHeight="false" outlineLevel="0" collapsed="false">
      <c r="A869" s="12"/>
      <c r="B869" s="61"/>
      <c r="C869" s="61"/>
      <c r="D869" s="61"/>
      <c r="E869" s="62"/>
      <c r="F869" s="61"/>
      <c r="G869" s="61"/>
      <c r="H869" s="10"/>
      <c r="I869" s="12"/>
      <c r="J869" s="63"/>
      <c r="K869" s="10"/>
      <c r="L869" s="12"/>
      <c r="M869" s="12"/>
      <c r="N869" s="12"/>
      <c r="O869" s="12"/>
      <c r="P869" s="12"/>
      <c r="Q869" s="12"/>
      <c r="R869" s="12"/>
      <c r="S869" s="12"/>
      <c r="T869" s="12"/>
      <c r="U869" s="12"/>
    </row>
    <row r="870" customFormat="false" ht="15" hidden="false" customHeight="false" outlineLevel="0" collapsed="false">
      <c r="A870" s="12"/>
      <c r="B870" s="61"/>
      <c r="C870" s="61"/>
      <c r="D870" s="61"/>
      <c r="E870" s="62"/>
      <c r="F870" s="61"/>
      <c r="G870" s="61"/>
      <c r="H870" s="10"/>
      <c r="I870" s="12"/>
      <c r="J870" s="63"/>
      <c r="K870" s="10"/>
      <c r="L870" s="12"/>
      <c r="M870" s="12"/>
      <c r="N870" s="12"/>
      <c r="O870" s="12"/>
      <c r="P870" s="12"/>
      <c r="Q870" s="12"/>
      <c r="R870" s="12"/>
      <c r="S870" s="12"/>
      <c r="T870" s="12"/>
      <c r="U870" s="12"/>
    </row>
    <row r="871" customFormat="false" ht="15" hidden="false" customHeight="false" outlineLevel="0" collapsed="false">
      <c r="A871" s="12"/>
      <c r="B871" s="61"/>
      <c r="C871" s="61"/>
      <c r="D871" s="61"/>
      <c r="E871" s="62"/>
      <c r="F871" s="61"/>
      <c r="G871" s="61"/>
      <c r="H871" s="10"/>
      <c r="I871" s="12"/>
      <c r="J871" s="63"/>
      <c r="K871" s="10"/>
      <c r="L871" s="12"/>
      <c r="M871" s="12"/>
      <c r="N871" s="12"/>
      <c r="O871" s="12"/>
      <c r="P871" s="12"/>
      <c r="Q871" s="12"/>
      <c r="R871" s="12"/>
      <c r="S871" s="12"/>
      <c r="T871" s="12"/>
      <c r="U871" s="12"/>
    </row>
    <row r="872" customFormat="false" ht="15" hidden="false" customHeight="false" outlineLevel="0" collapsed="false">
      <c r="A872" s="12"/>
      <c r="B872" s="61"/>
      <c r="C872" s="61"/>
      <c r="D872" s="61"/>
      <c r="E872" s="62"/>
      <c r="F872" s="61"/>
      <c r="G872" s="61"/>
      <c r="H872" s="10"/>
      <c r="I872" s="12"/>
      <c r="J872" s="63"/>
      <c r="K872" s="10"/>
      <c r="L872" s="12"/>
      <c r="M872" s="12"/>
      <c r="N872" s="12"/>
      <c r="O872" s="12"/>
      <c r="P872" s="12"/>
      <c r="Q872" s="12"/>
      <c r="R872" s="12"/>
      <c r="S872" s="12"/>
      <c r="T872" s="12"/>
      <c r="U872" s="12"/>
    </row>
    <row r="873" customFormat="false" ht="15" hidden="false" customHeight="false" outlineLevel="0" collapsed="false">
      <c r="A873" s="12"/>
      <c r="B873" s="61"/>
      <c r="C873" s="61"/>
      <c r="D873" s="61"/>
      <c r="E873" s="62"/>
      <c r="F873" s="61"/>
      <c r="G873" s="61"/>
      <c r="H873" s="10"/>
      <c r="I873" s="12"/>
      <c r="J873" s="63"/>
      <c r="K873" s="10"/>
      <c r="L873" s="12"/>
      <c r="M873" s="12"/>
      <c r="N873" s="12"/>
      <c r="O873" s="12"/>
      <c r="P873" s="12"/>
      <c r="Q873" s="12"/>
      <c r="R873" s="12"/>
      <c r="S873" s="12"/>
      <c r="T873" s="12"/>
      <c r="U873" s="12"/>
    </row>
    <row r="874" customFormat="false" ht="15" hidden="false" customHeight="false" outlineLevel="0" collapsed="false">
      <c r="A874" s="12"/>
      <c r="B874" s="61"/>
      <c r="C874" s="61"/>
      <c r="D874" s="61"/>
      <c r="E874" s="62"/>
      <c r="F874" s="61"/>
      <c r="G874" s="61"/>
      <c r="H874" s="10"/>
      <c r="I874" s="12"/>
      <c r="J874" s="63"/>
      <c r="K874" s="10"/>
      <c r="L874" s="12"/>
      <c r="M874" s="12"/>
      <c r="N874" s="12"/>
      <c r="O874" s="12"/>
      <c r="P874" s="12"/>
      <c r="Q874" s="12"/>
      <c r="R874" s="12"/>
      <c r="S874" s="12"/>
      <c r="T874" s="12"/>
      <c r="U874" s="12"/>
    </row>
    <row r="875" customFormat="false" ht="15" hidden="false" customHeight="false" outlineLevel="0" collapsed="false">
      <c r="A875" s="12"/>
      <c r="B875" s="61"/>
      <c r="C875" s="61"/>
      <c r="D875" s="61"/>
      <c r="E875" s="62"/>
      <c r="F875" s="61"/>
      <c r="G875" s="61"/>
      <c r="H875" s="10"/>
      <c r="I875" s="12"/>
      <c r="J875" s="63"/>
      <c r="K875" s="10"/>
      <c r="L875" s="12"/>
      <c r="M875" s="12"/>
      <c r="N875" s="12"/>
      <c r="O875" s="12"/>
      <c r="P875" s="12"/>
      <c r="Q875" s="12"/>
      <c r="R875" s="12"/>
      <c r="S875" s="12"/>
      <c r="T875" s="12"/>
      <c r="U875" s="12"/>
    </row>
    <row r="876" customFormat="false" ht="15" hidden="false" customHeight="false" outlineLevel="0" collapsed="false">
      <c r="A876" s="12"/>
      <c r="B876" s="61"/>
      <c r="C876" s="61"/>
      <c r="D876" s="61"/>
      <c r="E876" s="62"/>
      <c r="F876" s="61"/>
      <c r="G876" s="61"/>
      <c r="H876" s="10"/>
      <c r="I876" s="12"/>
      <c r="J876" s="63"/>
      <c r="K876" s="10"/>
      <c r="L876" s="12"/>
      <c r="M876" s="12"/>
      <c r="N876" s="12"/>
      <c r="O876" s="12"/>
      <c r="P876" s="12"/>
      <c r="Q876" s="12"/>
      <c r="R876" s="12"/>
      <c r="S876" s="12"/>
      <c r="T876" s="12"/>
      <c r="U876" s="12"/>
    </row>
    <row r="877" customFormat="false" ht="15" hidden="false" customHeight="false" outlineLevel="0" collapsed="false">
      <c r="A877" s="12"/>
      <c r="B877" s="61"/>
      <c r="C877" s="61"/>
      <c r="D877" s="61"/>
      <c r="E877" s="62"/>
      <c r="F877" s="61"/>
      <c r="G877" s="61"/>
      <c r="H877" s="10"/>
      <c r="I877" s="12"/>
      <c r="J877" s="63"/>
      <c r="K877" s="10"/>
      <c r="L877" s="12"/>
      <c r="M877" s="12"/>
      <c r="N877" s="12"/>
      <c r="O877" s="12"/>
      <c r="P877" s="12"/>
      <c r="Q877" s="12"/>
      <c r="R877" s="12"/>
      <c r="S877" s="12"/>
      <c r="T877" s="12"/>
      <c r="U877" s="12"/>
    </row>
    <row r="878" customFormat="false" ht="15" hidden="false" customHeight="false" outlineLevel="0" collapsed="false">
      <c r="A878" s="12"/>
      <c r="B878" s="61"/>
      <c r="C878" s="61"/>
      <c r="D878" s="61"/>
      <c r="E878" s="62"/>
      <c r="F878" s="61"/>
      <c r="G878" s="61"/>
      <c r="H878" s="10"/>
      <c r="I878" s="12"/>
      <c r="J878" s="63"/>
      <c r="K878" s="10"/>
      <c r="L878" s="12"/>
      <c r="M878" s="12"/>
      <c r="N878" s="12"/>
      <c r="O878" s="12"/>
      <c r="P878" s="12"/>
      <c r="Q878" s="12"/>
      <c r="R878" s="12"/>
      <c r="S878" s="12"/>
      <c r="T878" s="12"/>
      <c r="U878" s="12"/>
    </row>
    <row r="879" customFormat="false" ht="15" hidden="false" customHeight="false" outlineLevel="0" collapsed="false">
      <c r="A879" s="12"/>
      <c r="B879" s="61"/>
      <c r="C879" s="61"/>
      <c r="D879" s="61"/>
      <c r="E879" s="62"/>
      <c r="F879" s="61"/>
      <c r="G879" s="61"/>
      <c r="H879" s="10"/>
      <c r="I879" s="12"/>
      <c r="J879" s="63"/>
      <c r="K879" s="10"/>
      <c r="L879" s="12"/>
      <c r="M879" s="12"/>
      <c r="N879" s="12"/>
      <c r="O879" s="12"/>
      <c r="P879" s="12"/>
      <c r="Q879" s="12"/>
      <c r="R879" s="12"/>
      <c r="S879" s="12"/>
      <c r="T879" s="12"/>
      <c r="U879" s="12"/>
    </row>
    <row r="880" customFormat="false" ht="15" hidden="false" customHeight="false" outlineLevel="0" collapsed="false">
      <c r="A880" s="12"/>
      <c r="B880" s="61"/>
      <c r="C880" s="61"/>
      <c r="D880" s="61"/>
      <c r="E880" s="62"/>
      <c r="F880" s="61"/>
      <c r="G880" s="61"/>
      <c r="H880" s="10"/>
      <c r="I880" s="12"/>
      <c r="J880" s="63"/>
      <c r="K880" s="10"/>
      <c r="L880" s="12"/>
      <c r="M880" s="12"/>
      <c r="N880" s="12"/>
      <c r="O880" s="12"/>
      <c r="P880" s="12"/>
      <c r="Q880" s="12"/>
      <c r="R880" s="12"/>
      <c r="S880" s="12"/>
      <c r="T880" s="12"/>
      <c r="U880" s="12"/>
    </row>
    <row r="881" customFormat="false" ht="15" hidden="false" customHeight="false" outlineLevel="0" collapsed="false">
      <c r="A881" s="12"/>
      <c r="B881" s="61"/>
      <c r="C881" s="61"/>
      <c r="D881" s="61"/>
      <c r="E881" s="62"/>
      <c r="F881" s="61"/>
      <c r="G881" s="61"/>
      <c r="H881" s="10"/>
      <c r="I881" s="12"/>
      <c r="J881" s="63"/>
      <c r="K881" s="10"/>
      <c r="L881" s="12"/>
      <c r="M881" s="12"/>
      <c r="N881" s="12"/>
      <c r="O881" s="12"/>
      <c r="P881" s="12"/>
      <c r="Q881" s="12"/>
      <c r="R881" s="12"/>
      <c r="S881" s="12"/>
      <c r="T881" s="12"/>
      <c r="U881" s="12"/>
    </row>
    <row r="882" customFormat="false" ht="15" hidden="false" customHeight="false" outlineLevel="0" collapsed="false">
      <c r="A882" s="12"/>
      <c r="B882" s="61"/>
      <c r="C882" s="61"/>
      <c r="D882" s="61"/>
      <c r="E882" s="62"/>
      <c r="F882" s="61"/>
      <c r="G882" s="61"/>
      <c r="H882" s="10"/>
      <c r="I882" s="12"/>
      <c r="J882" s="63"/>
      <c r="K882" s="10"/>
      <c r="L882" s="12"/>
      <c r="M882" s="12"/>
      <c r="N882" s="12"/>
      <c r="O882" s="12"/>
      <c r="P882" s="12"/>
      <c r="Q882" s="12"/>
      <c r="R882" s="12"/>
      <c r="S882" s="12"/>
      <c r="T882" s="12"/>
      <c r="U882" s="12"/>
    </row>
    <row r="883" customFormat="false" ht="15" hidden="false" customHeight="false" outlineLevel="0" collapsed="false">
      <c r="A883" s="12"/>
      <c r="B883" s="61"/>
      <c r="C883" s="61"/>
      <c r="D883" s="61"/>
      <c r="E883" s="62"/>
      <c r="F883" s="61"/>
      <c r="G883" s="61"/>
      <c r="H883" s="10"/>
      <c r="I883" s="12"/>
      <c r="J883" s="63"/>
      <c r="K883" s="10"/>
      <c r="L883" s="12"/>
      <c r="M883" s="12"/>
      <c r="N883" s="12"/>
      <c r="O883" s="12"/>
      <c r="P883" s="12"/>
      <c r="Q883" s="12"/>
      <c r="R883" s="12"/>
      <c r="S883" s="12"/>
      <c r="T883" s="12"/>
      <c r="U883" s="12"/>
    </row>
    <row r="884" customFormat="false" ht="15" hidden="false" customHeight="false" outlineLevel="0" collapsed="false">
      <c r="A884" s="12"/>
      <c r="B884" s="61"/>
      <c r="C884" s="61"/>
      <c r="D884" s="61"/>
      <c r="E884" s="62"/>
      <c r="F884" s="61"/>
      <c r="G884" s="61"/>
      <c r="H884" s="10"/>
      <c r="I884" s="12"/>
      <c r="J884" s="63"/>
      <c r="K884" s="10"/>
      <c r="L884" s="12"/>
      <c r="M884" s="12"/>
      <c r="N884" s="12"/>
      <c r="O884" s="12"/>
      <c r="P884" s="12"/>
      <c r="Q884" s="12"/>
      <c r="R884" s="12"/>
      <c r="S884" s="12"/>
      <c r="T884" s="12"/>
      <c r="U884" s="12"/>
    </row>
    <row r="885" customFormat="false" ht="15" hidden="false" customHeight="false" outlineLevel="0" collapsed="false">
      <c r="A885" s="12"/>
      <c r="B885" s="61"/>
      <c r="C885" s="61"/>
      <c r="D885" s="61"/>
      <c r="E885" s="62"/>
      <c r="F885" s="61"/>
      <c r="G885" s="61"/>
      <c r="H885" s="10"/>
      <c r="I885" s="12"/>
      <c r="J885" s="63"/>
      <c r="K885" s="10"/>
      <c r="L885" s="12"/>
      <c r="M885" s="12"/>
      <c r="N885" s="12"/>
      <c r="O885" s="12"/>
      <c r="P885" s="12"/>
      <c r="Q885" s="12"/>
      <c r="R885" s="12"/>
      <c r="S885" s="12"/>
      <c r="T885" s="12"/>
      <c r="U885" s="12"/>
    </row>
    <row r="886" customFormat="false" ht="15" hidden="false" customHeight="false" outlineLevel="0" collapsed="false">
      <c r="A886" s="12"/>
      <c r="B886" s="61"/>
      <c r="C886" s="61"/>
      <c r="D886" s="61"/>
      <c r="E886" s="62"/>
      <c r="F886" s="61"/>
      <c r="G886" s="61"/>
      <c r="H886" s="10"/>
      <c r="I886" s="12"/>
      <c r="J886" s="63"/>
      <c r="K886" s="10"/>
      <c r="L886" s="12"/>
      <c r="M886" s="12"/>
      <c r="N886" s="12"/>
      <c r="O886" s="12"/>
      <c r="P886" s="12"/>
      <c r="Q886" s="12"/>
      <c r="R886" s="12"/>
      <c r="S886" s="12"/>
      <c r="T886" s="12"/>
      <c r="U886" s="12"/>
    </row>
    <row r="887" customFormat="false" ht="15" hidden="false" customHeight="false" outlineLevel="0" collapsed="false">
      <c r="A887" s="12"/>
      <c r="B887" s="61"/>
      <c r="C887" s="61"/>
      <c r="D887" s="61"/>
      <c r="E887" s="62"/>
      <c r="F887" s="61"/>
      <c r="G887" s="61"/>
      <c r="H887" s="10"/>
      <c r="I887" s="12"/>
      <c r="J887" s="63"/>
      <c r="K887" s="10"/>
      <c r="L887" s="12"/>
      <c r="M887" s="12"/>
      <c r="N887" s="12"/>
      <c r="O887" s="12"/>
      <c r="P887" s="12"/>
      <c r="Q887" s="12"/>
      <c r="R887" s="12"/>
      <c r="S887" s="12"/>
      <c r="T887" s="12"/>
      <c r="U887" s="12"/>
    </row>
    <row r="888" customFormat="false" ht="15" hidden="false" customHeight="false" outlineLevel="0" collapsed="false">
      <c r="A888" s="12"/>
      <c r="B888" s="61"/>
      <c r="C888" s="61"/>
      <c r="D888" s="61"/>
      <c r="E888" s="62"/>
      <c r="F888" s="61"/>
      <c r="G888" s="61"/>
      <c r="H888" s="10"/>
      <c r="I888" s="12"/>
      <c r="J888" s="63"/>
      <c r="K888" s="10"/>
      <c r="L888" s="12"/>
      <c r="M888" s="12"/>
      <c r="N888" s="12"/>
      <c r="O888" s="12"/>
      <c r="P888" s="12"/>
      <c r="Q888" s="12"/>
      <c r="R888" s="12"/>
      <c r="S888" s="12"/>
      <c r="T888" s="12"/>
      <c r="U888" s="12"/>
    </row>
    <row r="889" customFormat="false" ht="15" hidden="false" customHeight="false" outlineLevel="0" collapsed="false">
      <c r="A889" s="12"/>
      <c r="B889" s="61"/>
      <c r="C889" s="61"/>
      <c r="D889" s="61"/>
      <c r="E889" s="62"/>
      <c r="F889" s="61"/>
      <c r="G889" s="61"/>
      <c r="H889" s="10"/>
      <c r="I889" s="12"/>
      <c r="J889" s="63"/>
      <c r="K889" s="10"/>
      <c r="L889" s="12"/>
      <c r="M889" s="12"/>
      <c r="N889" s="12"/>
      <c r="O889" s="12"/>
      <c r="P889" s="12"/>
      <c r="Q889" s="12"/>
      <c r="R889" s="12"/>
      <c r="S889" s="12"/>
      <c r="T889" s="12"/>
      <c r="U889" s="12"/>
    </row>
    <row r="890" customFormat="false" ht="15" hidden="false" customHeight="false" outlineLevel="0" collapsed="false">
      <c r="A890" s="12"/>
      <c r="B890" s="61"/>
      <c r="C890" s="61"/>
      <c r="D890" s="61"/>
      <c r="E890" s="62"/>
      <c r="F890" s="61"/>
      <c r="G890" s="61"/>
      <c r="H890" s="10"/>
      <c r="I890" s="12"/>
      <c r="J890" s="63"/>
      <c r="K890" s="10"/>
      <c r="L890" s="12"/>
      <c r="M890" s="12"/>
      <c r="N890" s="12"/>
      <c r="O890" s="12"/>
      <c r="P890" s="12"/>
      <c r="Q890" s="12"/>
      <c r="R890" s="12"/>
      <c r="S890" s="12"/>
      <c r="T890" s="12"/>
      <c r="U890" s="12"/>
    </row>
    <row r="891" customFormat="false" ht="15" hidden="false" customHeight="false" outlineLevel="0" collapsed="false">
      <c r="A891" s="12"/>
      <c r="B891" s="61"/>
      <c r="C891" s="61"/>
      <c r="D891" s="61"/>
      <c r="E891" s="62"/>
      <c r="F891" s="61"/>
      <c r="G891" s="61"/>
      <c r="H891" s="10"/>
      <c r="I891" s="12"/>
      <c r="J891" s="63"/>
      <c r="K891" s="10"/>
      <c r="L891" s="12"/>
      <c r="M891" s="12"/>
      <c r="N891" s="12"/>
      <c r="O891" s="12"/>
      <c r="P891" s="12"/>
      <c r="Q891" s="12"/>
      <c r="R891" s="12"/>
      <c r="S891" s="12"/>
      <c r="T891" s="12"/>
      <c r="U891" s="12"/>
    </row>
    <row r="892" customFormat="false" ht="15" hidden="false" customHeight="false" outlineLevel="0" collapsed="false">
      <c r="A892" s="12"/>
      <c r="B892" s="61"/>
      <c r="C892" s="61"/>
      <c r="D892" s="61"/>
      <c r="E892" s="62"/>
      <c r="F892" s="61"/>
      <c r="G892" s="61"/>
      <c r="H892" s="10"/>
      <c r="I892" s="12"/>
      <c r="J892" s="63"/>
      <c r="K892" s="10"/>
      <c r="L892" s="12"/>
      <c r="M892" s="12"/>
      <c r="N892" s="12"/>
      <c r="O892" s="12"/>
      <c r="P892" s="12"/>
      <c r="Q892" s="12"/>
      <c r="R892" s="12"/>
      <c r="S892" s="12"/>
      <c r="T892" s="12"/>
      <c r="U892" s="12"/>
    </row>
    <row r="893" customFormat="false" ht="15" hidden="false" customHeight="false" outlineLevel="0" collapsed="false">
      <c r="A893" s="12"/>
      <c r="B893" s="61"/>
      <c r="C893" s="61"/>
      <c r="D893" s="61"/>
      <c r="E893" s="62"/>
      <c r="F893" s="61"/>
      <c r="G893" s="61"/>
      <c r="H893" s="10"/>
      <c r="I893" s="12"/>
      <c r="J893" s="63"/>
      <c r="K893" s="10"/>
      <c r="L893" s="12"/>
      <c r="M893" s="12"/>
      <c r="N893" s="12"/>
      <c r="O893" s="12"/>
      <c r="P893" s="12"/>
      <c r="Q893" s="12"/>
      <c r="R893" s="12"/>
      <c r="S893" s="12"/>
      <c r="T893" s="12"/>
      <c r="U893" s="12"/>
    </row>
    <row r="894" customFormat="false" ht="15" hidden="false" customHeight="false" outlineLevel="0" collapsed="false">
      <c r="A894" s="12"/>
      <c r="B894" s="61"/>
      <c r="C894" s="61"/>
      <c r="D894" s="61"/>
      <c r="E894" s="62"/>
      <c r="F894" s="61"/>
      <c r="G894" s="61"/>
      <c r="H894" s="10"/>
      <c r="I894" s="12"/>
      <c r="J894" s="63"/>
      <c r="K894" s="10"/>
      <c r="L894" s="12"/>
      <c r="M894" s="12"/>
      <c r="N894" s="12"/>
      <c r="O894" s="12"/>
      <c r="P894" s="12"/>
      <c r="Q894" s="12"/>
      <c r="R894" s="12"/>
      <c r="S894" s="12"/>
      <c r="T894" s="12"/>
      <c r="U894" s="12"/>
    </row>
    <row r="895" customFormat="false" ht="15" hidden="false" customHeight="false" outlineLevel="0" collapsed="false">
      <c r="A895" s="12"/>
      <c r="B895" s="61"/>
      <c r="C895" s="61"/>
      <c r="D895" s="61"/>
      <c r="E895" s="62"/>
      <c r="F895" s="61"/>
      <c r="G895" s="61"/>
      <c r="H895" s="10"/>
      <c r="I895" s="12"/>
      <c r="J895" s="63"/>
      <c r="K895" s="10"/>
      <c r="L895" s="12"/>
      <c r="M895" s="12"/>
      <c r="N895" s="12"/>
      <c r="O895" s="12"/>
      <c r="P895" s="12"/>
      <c r="Q895" s="12"/>
      <c r="R895" s="12"/>
      <c r="S895" s="12"/>
      <c r="T895" s="12"/>
      <c r="U895" s="12"/>
    </row>
    <row r="896" customFormat="false" ht="15" hidden="false" customHeight="false" outlineLevel="0" collapsed="false">
      <c r="A896" s="12"/>
      <c r="B896" s="61"/>
      <c r="C896" s="61"/>
      <c r="D896" s="61"/>
      <c r="E896" s="62"/>
      <c r="F896" s="61"/>
      <c r="G896" s="61"/>
      <c r="H896" s="10"/>
      <c r="I896" s="12"/>
      <c r="J896" s="63"/>
      <c r="K896" s="10"/>
      <c r="L896" s="12"/>
      <c r="M896" s="12"/>
      <c r="N896" s="12"/>
      <c r="O896" s="12"/>
      <c r="P896" s="12"/>
      <c r="Q896" s="12"/>
      <c r="R896" s="12"/>
      <c r="S896" s="12"/>
      <c r="T896" s="12"/>
      <c r="U896" s="12"/>
    </row>
    <row r="897" customFormat="false" ht="15" hidden="false" customHeight="false" outlineLevel="0" collapsed="false">
      <c r="A897" s="12"/>
      <c r="B897" s="61"/>
      <c r="C897" s="61"/>
      <c r="D897" s="61"/>
      <c r="E897" s="62"/>
      <c r="F897" s="61"/>
      <c r="G897" s="61"/>
      <c r="H897" s="10"/>
      <c r="I897" s="12"/>
      <c r="J897" s="63"/>
      <c r="K897" s="10"/>
      <c r="L897" s="12"/>
      <c r="M897" s="12"/>
      <c r="N897" s="12"/>
      <c r="O897" s="12"/>
      <c r="P897" s="12"/>
      <c r="Q897" s="12"/>
      <c r="R897" s="12"/>
      <c r="S897" s="12"/>
      <c r="T897" s="12"/>
      <c r="U897" s="12"/>
    </row>
    <row r="898" customFormat="false" ht="15" hidden="false" customHeight="false" outlineLevel="0" collapsed="false">
      <c r="A898" s="12"/>
      <c r="B898" s="61"/>
      <c r="C898" s="61"/>
      <c r="D898" s="61"/>
      <c r="E898" s="62"/>
      <c r="F898" s="61"/>
      <c r="G898" s="61"/>
      <c r="H898" s="10"/>
      <c r="I898" s="12"/>
      <c r="J898" s="63"/>
      <c r="K898" s="10"/>
      <c r="L898" s="12"/>
      <c r="M898" s="12"/>
      <c r="N898" s="12"/>
      <c r="O898" s="12"/>
      <c r="P898" s="12"/>
      <c r="Q898" s="12"/>
      <c r="R898" s="12"/>
      <c r="S898" s="12"/>
      <c r="T898" s="12"/>
      <c r="U898" s="12"/>
    </row>
    <row r="899" customFormat="false" ht="15" hidden="false" customHeight="false" outlineLevel="0" collapsed="false">
      <c r="A899" s="12"/>
      <c r="B899" s="61"/>
      <c r="C899" s="61"/>
      <c r="D899" s="61"/>
      <c r="E899" s="62"/>
      <c r="F899" s="61"/>
      <c r="G899" s="61"/>
      <c r="H899" s="10"/>
      <c r="I899" s="12"/>
      <c r="J899" s="63"/>
      <c r="K899" s="10"/>
      <c r="L899" s="12"/>
      <c r="M899" s="12"/>
      <c r="N899" s="12"/>
      <c r="O899" s="12"/>
      <c r="P899" s="12"/>
      <c r="Q899" s="12"/>
      <c r="R899" s="12"/>
      <c r="S899" s="12"/>
      <c r="T899" s="12"/>
      <c r="U899" s="12"/>
    </row>
    <row r="900" customFormat="false" ht="15" hidden="false" customHeight="false" outlineLevel="0" collapsed="false">
      <c r="A900" s="12"/>
      <c r="B900" s="61"/>
      <c r="C900" s="61"/>
      <c r="D900" s="61"/>
      <c r="E900" s="62"/>
      <c r="F900" s="61"/>
      <c r="G900" s="61"/>
      <c r="H900" s="10"/>
      <c r="I900" s="12"/>
      <c r="J900" s="63"/>
      <c r="K900" s="10"/>
      <c r="L900" s="12"/>
      <c r="M900" s="12"/>
      <c r="N900" s="12"/>
      <c r="O900" s="12"/>
      <c r="P900" s="12"/>
      <c r="Q900" s="12"/>
      <c r="R900" s="12"/>
      <c r="S900" s="12"/>
      <c r="T900" s="12"/>
      <c r="U900" s="12"/>
    </row>
    <row r="901" customFormat="false" ht="15" hidden="false" customHeight="false" outlineLevel="0" collapsed="false">
      <c r="A901" s="12"/>
      <c r="B901" s="61"/>
      <c r="C901" s="61"/>
      <c r="D901" s="61"/>
      <c r="E901" s="62"/>
      <c r="F901" s="61"/>
      <c r="G901" s="61"/>
      <c r="H901" s="10"/>
      <c r="I901" s="12"/>
      <c r="J901" s="63"/>
      <c r="K901" s="10"/>
      <c r="L901" s="12"/>
      <c r="M901" s="12"/>
      <c r="N901" s="12"/>
      <c r="O901" s="12"/>
      <c r="P901" s="12"/>
      <c r="Q901" s="12"/>
      <c r="R901" s="12"/>
      <c r="S901" s="12"/>
      <c r="T901" s="12"/>
      <c r="U901" s="12"/>
    </row>
    <row r="902" customFormat="false" ht="15" hidden="false" customHeight="false" outlineLevel="0" collapsed="false">
      <c r="A902" s="12"/>
      <c r="B902" s="61"/>
      <c r="C902" s="61"/>
      <c r="D902" s="61"/>
      <c r="E902" s="62"/>
      <c r="F902" s="61"/>
      <c r="G902" s="61"/>
      <c r="H902" s="10"/>
      <c r="I902" s="12"/>
      <c r="J902" s="63"/>
      <c r="K902" s="10"/>
      <c r="L902" s="12"/>
      <c r="M902" s="12"/>
      <c r="N902" s="12"/>
      <c r="O902" s="12"/>
      <c r="P902" s="12"/>
      <c r="Q902" s="12"/>
      <c r="R902" s="12"/>
      <c r="S902" s="12"/>
      <c r="T902" s="12"/>
      <c r="U902" s="12"/>
    </row>
    <row r="903" customFormat="false" ht="15" hidden="false" customHeight="false" outlineLevel="0" collapsed="false">
      <c r="A903" s="12"/>
      <c r="B903" s="61"/>
      <c r="C903" s="61"/>
      <c r="D903" s="61"/>
      <c r="E903" s="62"/>
      <c r="F903" s="61"/>
      <c r="G903" s="61"/>
      <c r="H903" s="10"/>
      <c r="I903" s="12"/>
      <c r="J903" s="63"/>
      <c r="K903" s="10"/>
      <c r="L903" s="12"/>
      <c r="M903" s="12"/>
      <c r="N903" s="12"/>
      <c r="O903" s="12"/>
      <c r="P903" s="12"/>
      <c r="Q903" s="12"/>
      <c r="R903" s="12"/>
      <c r="S903" s="12"/>
      <c r="T903" s="12"/>
      <c r="U903" s="12"/>
    </row>
    <row r="904" customFormat="false" ht="15" hidden="false" customHeight="false" outlineLevel="0" collapsed="false">
      <c r="A904" s="12"/>
      <c r="B904" s="61"/>
      <c r="C904" s="61"/>
      <c r="D904" s="61"/>
      <c r="E904" s="62"/>
      <c r="F904" s="61"/>
      <c r="G904" s="61"/>
      <c r="H904" s="10"/>
      <c r="I904" s="12"/>
      <c r="J904" s="63"/>
      <c r="K904" s="10"/>
      <c r="L904" s="12"/>
      <c r="M904" s="12"/>
      <c r="N904" s="12"/>
      <c r="O904" s="12"/>
      <c r="P904" s="12"/>
      <c r="Q904" s="12"/>
      <c r="R904" s="12"/>
      <c r="S904" s="12"/>
      <c r="T904" s="12"/>
      <c r="U904" s="12"/>
    </row>
    <row r="905" customFormat="false" ht="15" hidden="false" customHeight="false" outlineLevel="0" collapsed="false">
      <c r="A905" s="12"/>
      <c r="B905" s="61"/>
      <c r="C905" s="61"/>
      <c r="D905" s="61"/>
      <c r="E905" s="62"/>
      <c r="F905" s="61"/>
      <c r="G905" s="61"/>
      <c r="H905" s="10"/>
      <c r="I905" s="12"/>
      <c r="J905" s="63"/>
      <c r="K905" s="10"/>
      <c r="L905" s="12"/>
      <c r="M905" s="12"/>
      <c r="N905" s="12"/>
      <c r="O905" s="12"/>
      <c r="P905" s="12"/>
      <c r="Q905" s="12"/>
      <c r="R905" s="12"/>
      <c r="S905" s="12"/>
      <c r="T905" s="12"/>
      <c r="U905" s="12"/>
    </row>
    <row r="906" customFormat="false" ht="15" hidden="false" customHeight="false" outlineLevel="0" collapsed="false">
      <c r="A906" s="12"/>
      <c r="B906" s="61"/>
      <c r="C906" s="61"/>
      <c r="D906" s="61"/>
      <c r="E906" s="62"/>
      <c r="F906" s="61"/>
      <c r="G906" s="61"/>
      <c r="H906" s="10"/>
      <c r="I906" s="12"/>
      <c r="J906" s="63"/>
      <c r="K906" s="10"/>
      <c r="L906" s="12"/>
      <c r="M906" s="12"/>
      <c r="N906" s="12"/>
      <c r="O906" s="12"/>
      <c r="P906" s="12"/>
      <c r="Q906" s="12"/>
      <c r="R906" s="12"/>
      <c r="S906" s="12"/>
      <c r="T906" s="12"/>
      <c r="U906" s="12"/>
    </row>
    <row r="907" customFormat="false" ht="15" hidden="false" customHeight="false" outlineLevel="0" collapsed="false">
      <c r="A907" s="12"/>
      <c r="B907" s="61"/>
      <c r="C907" s="61"/>
      <c r="D907" s="61"/>
      <c r="E907" s="62"/>
      <c r="F907" s="61"/>
      <c r="G907" s="61"/>
      <c r="H907" s="10"/>
      <c r="I907" s="12"/>
      <c r="J907" s="63"/>
      <c r="K907" s="10"/>
      <c r="L907" s="12"/>
      <c r="M907" s="12"/>
      <c r="N907" s="12"/>
      <c r="O907" s="12"/>
      <c r="P907" s="12"/>
      <c r="Q907" s="12"/>
      <c r="R907" s="12"/>
      <c r="S907" s="12"/>
      <c r="T907" s="12"/>
      <c r="U907" s="12"/>
    </row>
    <row r="908" customFormat="false" ht="15" hidden="false" customHeight="false" outlineLevel="0" collapsed="false">
      <c r="A908" s="12"/>
      <c r="B908" s="61"/>
      <c r="C908" s="61"/>
      <c r="D908" s="61"/>
      <c r="E908" s="62"/>
      <c r="F908" s="61"/>
      <c r="G908" s="61"/>
      <c r="H908" s="10"/>
      <c r="I908" s="12"/>
      <c r="J908" s="63"/>
      <c r="K908" s="10"/>
      <c r="L908" s="12"/>
      <c r="M908" s="12"/>
      <c r="N908" s="12"/>
      <c r="O908" s="12"/>
      <c r="P908" s="12"/>
      <c r="Q908" s="12"/>
      <c r="R908" s="12"/>
      <c r="S908" s="12"/>
      <c r="T908" s="12"/>
      <c r="U908" s="12"/>
    </row>
    <row r="909" customFormat="false" ht="15" hidden="false" customHeight="false" outlineLevel="0" collapsed="false">
      <c r="A909" s="12"/>
      <c r="B909" s="61"/>
      <c r="C909" s="61"/>
      <c r="D909" s="61"/>
      <c r="E909" s="62"/>
      <c r="F909" s="61"/>
      <c r="G909" s="61"/>
      <c r="H909" s="10"/>
      <c r="I909" s="12"/>
      <c r="J909" s="63"/>
      <c r="K909" s="10"/>
      <c r="L909" s="12"/>
      <c r="M909" s="12"/>
      <c r="N909" s="12"/>
      <c r="O909" s="12"/>
      <c r="P909" s="12"/>
      <c r="Q909" s="12"/>
      <c r="R909" s="12"/>
      <c r="S909" s="12"/>
      <c r="T909" s="12"/>
      <c r="U909" s="12"/>
    </row>
    <row r="910" customFormat="false" ht="15" hidden="false" customHeight="false" outlineLevel="0" collapsed="false">
      <c r="A910" s="12"/>
      <c r="B910" s="61"/>
      <c r="C910" s="61"/>
      <c r="D910" s="61"/>
      <c r="E910" s="62"/>
      <c r="F910" s="61"/>
      <c r="G910" s="61"/>
      <c r="H910" s="10"/>
      <c r="I910" s="12"/>
      <c r="J910" s="63"/>
      <c r="K910" s="10"/>
      <c r="L910" s="12"/>
      <c r="M910" s="12"/>
      <c r="N910" s="12"/>
      <c r="O910" s="12"/>
      <c r="P910" s="12"/>
      <c r="Q910" s="12"/>
      <c r="R910" s="12"/>
      <c r="S910" s="12"/>
      <c r="T910" s="12"/>
      <c r="U910" s="12"/>
    </row>
    <row r="911" customFormat="false" ht="15" hidden="false" customHeight="false" outlineLevel="0" collapsed="false">
      <c r="A911" s="12"/>
      <c r="B911" s="61"/>
      <c r="C911" s="61"/>
      <c r="D911" s="61"/>
      <c r="E911" s="62"/>
      <c r="F911" s="61"/>
      <c r="G911" s="61"/>
      <c r="H911" s="10"/>
      <c r="I911" s="12"/>
      <c r="J911" s="63"/>
      <c r="K911" s="10"/>
      <c r="L911" s="12"/>
      <c r="M911" s="12"/>
      <c r="N911" s="12"/>
      <c r="O911" s="12"/>
      <c r="P911" s="12"/>
      <c r="Q911" s="12"/>
      <c r="R911" s="12"/>
      <c r="S911" s="12"/>
      <c r="T911" s="12"/>
      <c r="U911" s="12"/>
    </row>
    <row r="912" customFormat="false" ht="15" hidden="false" customHeight="false" outlineLevel="0" collapsed="false">
      <c r="A912" s="12"/>
      <c r="B912" s="61"/>
      <c r="C912" s="61"/>
      <c r="D912" s="61"/>
      <c r="E912" s="62"/>
      <c r="F912" s="61"/>
      <c r="G912" s="61"/>
      <c r="H912" s="10"/>
      <c r="I912" s="12"/>
      <c r="J912" s="63"/>
      <c r="K912" s="10"/>
      <c r="L912" s="12"/>
      <c r="M912" s="12"/>
      <c r="N912" s="12"/>
      <c r="O912" s="12"/>
      <c r="P912" s="12"/>
      <c r="Q912" s="12"/>
      <c r="R912" s="12"/>
      <c r="S912" s="12"/>
      <c r="T912" s="12"/>
      <c r="U912" s="12"/>
    </row>
    <row r="913" customFormat="false" ht="15" hidden="false" customHeight="false" outlineLevel="0" collapsed="false">
      <c r="A913" s="12"/>
      <c r="B913" s="61"/>
      <c r="C913" s="61"/>
      <c r="D913" s="61"/>
      <c r="E913" s="62"/>
      <c r="F913" s="61"/>
      <c r="G913" s="61"/>
      <c r="H913" s="10"/>
      <c r="I913" s="12"/>
      <c r="J913" s="63"/>
      <c r="K913" s="10"/>
      <c r="L913" s="12"/>
      <c r="M913" s="12"/>
      <c r="N913" s="12"/>
      <c r="O913" s="12"/>
      <c r="P913" s="12"/>
      <c r="Q913" s="12"/>
      <c r="R913" s="12"/>
      <c r="S913" s="12"/>
      <c r="T913" s="12"/>
      <c r="U913" s="12"/>
    </row>
    <row r="914" customFormat="false" ht="15" hidden="false" customHeight="false" outlineLevel="0" collapsed="false">
      <c r="A914" s="12"/>
      <c r="B914" s="61"/>
      <c r="C914" s="61"/>
      <c r="D914" s="61"/>
      <c r="E914" s="62"/>
      <c r="F914" s="61"/>
      <c r="G914" s="61"/>
      <c r="H914" s="10"/>
      <c r="I914" s="12"/>
      <c r="J914" s="63"/>
      <c r="K914" s="10"/>
      <c r="L914" s="12"/>
      <c r="M914" s="12"/>
      <c r="N914" s="12"/>
      <c r="O914" s="12"/>
      <c r="P914" s="12"/>
      <c r="Q914" s="12"/>
      <c r="R914" s="12"/>
      <c r="S914" s="12"/>
      <c r="T914" s="12"/>
      <c r="U914" s="12"/>
    </row>
    <row r="915" customFormat="false" ht="15" hidden="false" customHeight="false" outlineLevel="0" collapsed="false">
      <c r="A915" s="12"/>
      <c r="B915" s="61"/>
      <c r="C915" s="61"/>
      <c r="D915" s="61"/>
      <c r="E915" s="62"/>
      <c r="F915" s="61"/>
      <c r="G915" s="61"/>
      <c r="H915" s="10"/>
      <c r="I915" s="12"/>
      <c r="J915" s="63"/>
      <c r="K915" s="10"/>
      <c r="L915" s="12"/>
      <c r="M915" s="12"/>
      <c r="N915" s="12"/>
      <c r="O915" s="12"/>
      <c r="P915" s="12"/>
      <c r="Q915" s="12"/>
      <c r="R915" s="12"/>
      <c r="S915" s="12"/>
      <c r="T915" s="12"/>
      <c r="U915" s="12"/>
    </row>
    <row r="916" customFormat="false" ht="15" hidden="false" customHeight="false" outlineLevel="0" collapsed="false">
      <c r="A916" s="12"/>
      <c r="B916" s="61"/>
      <c r="C916" s="61"/>
      <c r="D916" s="61"/>
      <c r="E916" s="62"/>
      <c r="F916" s="61"/>
      <c r="G916" s="61"/>
      <c r="H916" s="10"/>
      <c r="I916" s="12"/>
      <c r="J916" s="63"/>
      <c r="K916" s="10"/>
      <c r="L916" s="12"/>
      <c r="M916" s="12"/>
      <c r="N916" s="12"/>
      <c r="O916" s="12"/>
      <c r="P916" s="12"/>
      <c r="Q916" s="12"/>
      <c r="R916" s="12"/>
      <c r="S916" s="12"/>
      <c r="T916" s="12"/>
      <c r="U916" s="12"/>
    </row>
    <row r="917" customFormat="false" ht="15" hidden="false" customHeight="false" outlineLevel="0" collapsed="false">
      <c r="A917" s="12"/>
      <c r="B917" s="61"/>
      <c r="C917" s="61"/>
      <c r="D917" s="61"/>
      <c r="E917" s="62"/>
      <c r="F917" s="61"/>
      <c r="G917" s="61"/>
      <c r="H917" s="10"/>
      <c r="I917" s="12"/>
      <c r="J917" s="63"/>
      <c r="K917" s="10"/>
      <c r="L917" s="12"/>
      <c r="M917" s="12"/>
      <c r="N917" s="12"/>
      <c r="O917" s="12"/>
      <c r="P917" s="12"/>
      <c r="Q917" s="12"/>
      <c r="R917" s="12"/>
      <c r="S917" s="12"/>
      <c r="T917" s="12"/>
      <c r="U917" s="12"/>
    </row>
    <row r="918" customFormat="false" ht="15" hidden="false" customHeight="false" outlineLevel="0" collapsed="false">
      <c r="A918" s="12"/>
      <c r="B918" s="61"/>
      <c r="C918" s="61"/>
      <c r="D918" s="61"/>
      <c r="E918" s="62"/>
      <c r="F918" s="61"/>
      <c r="G918" s="61"/>
      <c r="H918" s="10"/>
      <c r="I918" s="12"/>
      <c r="J918" s="63"/>
      <c r="K918" s="10"/>
      <c r="L918" s="12"/>
      <c r="M918" s="12"/>
      <c r="N918" s="12"/>
      <c r="O918" s="12"/>
      <c r="P918" s="12"/>
      <c r="Q918" s="12"/>
      <c r="R918" s="12"/>
      <c r="S918" s="12"/>
      <c r="T918" s="12"/>
      <c r="U918" s="12"/>
    </row>
    <row r="919" customFormat="false" ht="15" hidden="false" customHeight="false" outlineLevel="0" collapsed="false">
      <c r="A919" s="12"/>
      <c r="B919" s="61"/>
      <c r="C919" s="61"/>
      <c r="D919" s="61"/>
      <c r="E919" s="62"/>
      <c r="F919" s="61"/>
      <c r="G919" s="61"/>
      <c r="H919" s="10"/>
      <c r="I919" s="12"/>
      <c r="J919" s="63"/>
      <c r="K919" s="10"/>
      <c r="L919" s="12"/>
      <c r="M919" s="12"/>
      <c r="N919" s="12"/>
      <c r="O919" s="12"/>
      <c r="P919" s="12"/>
      <c r="Q919" s="12"/>
      <c r="R919" s="12"/>
      <c r="S919" s="12"/>
      <c r="T919" s="12"/>
      <c r="U919" s="12"/>
    </row>
    <row r="920" customFormat="false" ht="15" hidden="false" customHeight="false" outlineLevel="0" collapsed="false">
      <c r="A920" s="12"/>
      <c r="B920" s="61"/>
      <c r="C920" s="61"/>
      <c r="D920" s="61"/>
      <c r="E920" s="62"/>
      <c r="F920" s="61"/>
      <c r="G920" s="61"/>
      <c r="H920" s="10"/>
      <c r="I920" s="12"/>
      <c r="J920" s="63"/>
      <c r="K920" s="10"/>
      <c r="L920" s="12"/>
      <c r="M920" s="12"/>
      <c r="N920" s="12"/>
      <c r="O920" s="12"/>
      <c r="P920" s="12"/>
      <c r="Q920" s="12"/>
      <c r="R920" s="12"/>
      <c r="S920" s="12"/>
      <c r="T920" s="12"/>
      <c r="U920" s="12"/>
    </row>
    <row r="921" customFormat="false" ht="15" hidden="false" customHeight="false" outlineLevel="0" collapsed="false">
      <c r="A921" s="12"/>
      <c r="B921" s="61"/>
      <c r="C921" s="61"/>
      <c r="D921" s="61"/>
      <c r="E921" s="62"/>
      <c r="F921" s="61"/>
      <c r="G921" s="61"/>
      <c r="H921" s="10"/>
      <c r="I921" s="12"/>
      <c r="J921" s="63"/>
      <c r="K921" s="10"/>
      <c r="L921" s="12"/>
      <c r="M921" s="12"/>
      <c r="N921" s="12"/>
      <c r="O921" s="12"/>
      <c r="P921" s="12"/>
      <c r="Q921" s="12"/>
      <c r="R921" s="12"/>
      <c r="S921" s="12"/>
      <c r="T921" s="12"/>
      <c r="U921" s="12"/>
    </row>
    <row r="922" customFormat="false" ht="15" hidden="false" customHeight="false" outlineLevel="0" collapsed="false">
      <c r="A922" s="12"/>
      <c r="B922" s="61"/>
      <c r="C922" s="61"/>
      <c r="D922" s="61"/>
      <c r="E922" s="62"/>
      <c r="F922" s="61"/>
      <c r="G922" s="61"/>
      <c r="H922" s="10"/>
      <c r="I922" s="12"/>
      <c r="J922" s="63"/>
      <c r="K922" s="10"/>
      <c r="L922" s="12"/>
      <c r="M922" s="12"/>
      <c r="N922" s="12"/>
      <c r="O922" s="12"/>
      <c r="P922" s="12"/>
      <c r="Q922" s="12"/>
      <c r="R922" s="12"/>
      <c r="S922" s="12"/>
      <c r="T922" s="12"/>
      <c r="U922" s="12"/>
    </row>
    <row r="923" customFormat="false" ht="15" hidden="false" customHeight="false" outlineLevel="0" collapsed="false">
      <c r="A923" s="12"/>
      <c r="B923" s="61"/>
      <c r="C923" s="61"/>
      <c r="D923" s="61"/>
      <c r="E923" s="62"/>
      <c r="F923" s="61"/>
      <c r="G923" s="61"/>
      <c r="H923" s="10"/>
      <c r="I923" s="12"/>
      <c r="J923" s="63"/>
      <c r="K923" s="10"/>
      <c r="L923" s="12"/>
      <c r="M923" s="12"/>
      <c r="N923" s="12"/>
      <c r="O923" s="12"/>
      <c r="P923" s="12"/>
      <c r="Q923" s="12"/>
      <c r="R923" s="12"/>
      <c r="S923" s="12"/>
      <c r="T923" s="12"/>
      <c r="U923" s="12"/>
    </row>
    <row r="924" customFormat="false" ht="15" hidden="false" customHeight="false" outlineLevel="0" collapsed="false">
      <c r="A924" s="12"/>
      <c r="B924" s="61"/>
      <c r="C924" s="61"/>
      <c r="D924" s="61"/>
      <c r="E924" s="62"/>
      <c r="F924" s="61"/>
      <c r="G924" s="61"/>
      <c r="H924" s="10"/>
      <c r="I924" s="12"/>
      <c r="J924" s="63"/>
      <c r="K924" s="10"/>
      <c r="L924" s="12"/>
      <c r="M924" s="12"/>
      <c r="N924" s="12"/>
      <c r="O924" s="12"/>
      <c r="P924" s="12"/>
      <c r="Q924" s="12"/>
      <c r="R924" s="12"/>
      <c r="S924" s="12"/>
      <c r="T924" s="12"/>
      <c r="U924" s="12"/>
    </row>
    <row r="925" customFormat="false" ht="15" hidden="false" customHeight="false" outlineLevel="0" collapsed="false">
      <c r="A925" s="12"/>
      <c r="B925" s="61"/>
      <c r="C925" s="61"/>
      <c r="D925" s="61"/>
      <c r="E925" s="62"/>
      <c r="F925" s="61"/>
      <c r="G925" s="61"/>
      <c r="H925" s="10"/>
      <c r="I925" s="12"/>
      <c r="J925" s="63"/>
      <c r="K925" s="10"/>
      <c r="L925" s="12"/>
      <c r="M925" s="12"/>
      <c r="N925" s="12"/>
      <c r="O925" s="12"/>
      <c r="P925" s="12"/>
      <c r="Q925" s="12"/>
      <c r="R925" s="12"/>
      <c r="S925" s="12"/>
      <c r="T925" s="12"/>
      <c r="U925" s="12"/>
    </row>
    <row r="926" customFormat="false" ht="15" hidden="false" customHeight="false" outlineLevel="0" collapsed="false">
      <c r="A926" s="12"/>
      <c r="B926" s="61"/>
      <c r="C926" s="61"/>
      <c r="D926" s="61"/>
      <c r="E926" s="62"/>
      <c r="F926" s="61"/>
      <c r="G926" s="61"/>
      <c r="H926" s="10"/>
      <c r="I926" s="12"/>
      <c r="J926" s="63"/>
      <c r="K926" s="10"/>
      <c r="L926" s="12"/>
      <c r="M926" s="12"/>
      <c r="N926" s="12"/>
      <c r="O926" s="12"/>
      <c r="P926" s="12"/>
      <c r="Q926" s="12"/>
      <c r="R926" s="12"/>
      <c r="S926" s="12"/>
      <c r="T926" s="12"/>
      <c r="U926" s="12"/>
    </row>
    <row r="927" customFormat="false" ht="15" hidden="false" customHeight="false" outlineLevel="0" collapsed="false">
      <c r="A927" s="12"/>
      <c r="B927" s="61"/>
      <c r="C927" s="61"/>
      <c r="D927" s="61"/>
      <c r="E927" s="62"/>
      <c r="F927" s="61"/>
      <c r="G927" s="61"/>
      <c r="H927" s="10"/>
      <c r="I927" s="12"/>
      <c r="J927" s="63"/>
      <c r="K927" s="10"/>
      <c r="L927" s="12"/>
      <c r="M927" s="12"/>
      <c r="N927" s="12"/>
      <c r="O927" s="12"/>
      <c r="P927" s="12"/>
      <c r="Q927" s="12"/>
      <c r="R927" s="12"/>
      <c r="S927" s="12"/>
      <c r="T927" s="12"/>
      <c r="U927" s="12"/>
    </row>
    <row r="928" customFormat="false" ht="15" hidden="false" customHeight="false" outlineLevel="0" collapsed="false">
      <c r="A928" s="12"/>
      <c r="B928" s="61"/>
      <c r="C928" s="61"/>
      <c r="D928" s="61"/>
      <c r="E928" s="62"/>
      <c r="F928" s="61"/>
      <c r="G928" s="61"/>
      <c r="H928" s="10"/>
      <c r="I928" s="12"/>
      <c r="J928" s="63"/>
      <c r="K928" s="10"/>
      <c r="L928" s="12"/>
      <c r="M928" s="12"/>
      <c r="N928" s="12"/>
      <c r="O928" s="12"/>
      <c r="P928" s="12"/>
      <c r="Q928" s="12"/>
      <c r="R928" s="12"/>
      <c r="S928" s="12"/>
      <c r="T928" s="12"/>
      <c r="U928" s="12"/>
    </row>
    <row r="929" customFormat="false" ht="15" hidden="false" customHeight="false" outlineLevel="0" collapsed="false">
      <c r="A929" s="12"/>
      <c r="B929" s="61"/>
      <c r="C929" s="61"/>
      <c r="D929" s="61"/>
      <c r="E929" s="62"/>
      <c r="F929" s="61"/>
      <c r="G929" s="61"/>
      <c r="H929" s="10"/>
      <c r="I929" s="12"/>
      <c r="J929" s="63"/>
      <c r="K929" s="10"/>
      <c r="L929" s="12"/>
      <c r="M929" s="12"/>
      <c r="N929" s="12"/>
      <c r="O929" s="12"/>
      <c r="P929" s="12"/>
      <c r="Q929" s="12"/>
      <c r="R929" s="12"/>
      <c r="S929" s="12"/>
      <c r="T929" s="12"/>
      <c r="U929" s="12"/>
    </row>
    <row r="930" customFormat="false" ht="15" hidden="false" customHeight="false" outlineLevel="0" collapsed="false">
      <c r="A930" s="12"/>
      <c r="B930" s="61"/>
      <c r="C930" s="61"/>
      <c r="D930" s="61"/>
      <c r="E930" s="62"/>
      <c r="F930" s="61"/>
      <c r="G930" s="61"/>
      <c r="H930" s="10"/>
      <c r="I930" s="12"/>
      <c r="J930" s="63"/>
      <c r="K930" s="10"/>
      <c r="L930" s="12"/>
      <c r="M930" s="12"/>
      <c r="N930" s="12"/>
      <c r="O930" s="12"/>
      <c r="P930" s="12"/>
      <c r="Q930" s="12"/>
      <c r="R930" s="12"/>
      <c r="S930" s="12"/>
      <c r="T930" s="12"/>
      <c r="U930" s="12"/>
    </row>
    <row r="931" customFormat="false" ht="15" hidden="false" customHeight="false" outlineLevel="0" collapsed="false">
      <c r="A931" s="12"/>
      <c r="B931" s="61"/>
      <c r="C931" s="61"/>
      <c r="D931" s="61"/>
      <c r="E931" s="62"/>
      <c r="F931" s="61"/>
      <c r="G931" s="61"/>
      <c r="H931" s="10"/>
      <c r="I931" s="12"/>
      <c r="J931" s="63"/>
      <c r="K931" s="10"/>
      <c r="L931" s="12"/>
      <c r="M931" s="12"/>
      <c r="N931" s="12"/>
      <c r="O931" s="12"/>
      <c r="P931" s="12"/>
      <c r="Q931" s="12"/>
      <c r="R931" s="12"/>
      <c r="S931" s="12"/>
      <c r="T931" s="12"/>
      <c r="U931" s="12"/>
    </row>
    <row r="932" customFormat="false" ht="15" hidden="false" customHeight="false" outlineLevel="0" collapsed="false">
      <c r="A932" s="12"/>
      <c r="B932" s="61"/>
      <c r="C932" s="61"/>
      <c r="D932" s="61"/>
      <c r="E932" s="62"/>
      <c r="F932" s="61"/>
      <c r="G932" s="61"/>
      <c r="H932" s="10"/>
      <c r="I932" s="12"/>
      <c r="J932" s="63"/>
      <c r="K932" s="10"/>
      <c r="L932" s="12"/>
      <c r="M932" s="12"/>
      <c r="N932" s="12"/>
      <c r="O932" s="12"/>
      <c r="P932" s="12"/>
      <c r="Q932" s="12"/>
      <c r="R932" s="12"/>
      <c r="S932" s="12"/>
      <c r="T932" s="12"/>
      <c r="U932" s="12"/>
    </row>
    <row r="933" customFormat="false" ht="15" hidden="false" customHeight="false" outlineLevel="0" collapsed="false">
      <c r="A933" s="12"/>
      <c r="B933" s="61"/>
      <c r="C933" s="61"/>
      <c r="D933" s="61"/>
      <c r="E933" s="62"/>
      <c r="F933" s="61"/>
      <c r="G933" s="61"/>
      <c r="H933" s="10"/>
      <c r="I933" s="12"/>
      <c r="J933" s="63"/>
      <c r="K933" s="10"/>
      <c r="L933" s="12"/>
      <c r="M933" s="12"/>
      <c r="N933" s="12"/>
      <c r="O933" s="12"/>
      <c r="P933" s="12"/>
      <c r="Q933" s="12"/>
      <c r="R933" s="12"/>
      <c r="S933" s="12"/>
      <c r="T933" s="12"/>
      <c r="U933" s="12"/>
    </row>
    <row r="934" customFormat="false" ht="15" hidden="false" customHeight="false" outlineLevel="0" collapsed="false">
      <c r="A934" s="12"/>
      <c r="B934" s="61"/>
      <c r="C934" s="61"/>
      <c r="D934" s="61"/>
      <c r="E934" s="62"/>
      <c r="F934" s="61"/>
      <c r="G934" s="61"/>
      <c r="H934" s="10"/>
      <c r="I934" s="12"/>
      <c r="J934" s="63"/>
      <c r="K934" s="10"/>
      <c r="L934" s="12"/>
      <c r="M934" s="12"/>
      <c r="N934" s="12"/>
      <c r="O934" s="12"/>
      <c r="P934" s="12"/>
      <c r="Q934" s="12"/>
      <c r="R934" s="12"/>
      <c r="S934" s="12"/>
      <c r="T934" s="12"/>
      <c r="U934" s="12"/>
    </row>
    <row r="935" customFormat="false" ht="15" hidden="false" customHeight="false" outlineLevel="0" collapsed="false">
      <c r="A935" s="12"/>
      <c r="B935" s="61"/>
      <c r="C935" s="61"/>
      <c r="D935" s="61"/>
      <c r="E935" s="62"/>
      <c r="F935" s="61"/>
      <c r="G935" s="61"/>
      <c r="H935" s="10"/>
      <c r="I935" s="12"/>
      <c r="J935" s="63"/>
      <c r="K935" s="10"/>
      <c r="L935" s="12"/>
      <c r="M935" s="12"/>
      <c r="N935" s="12"/>
      <c r="O935" s="12"/>
      <c r="P935" s="12"/>
      <c r="Q935" s="12"/>
      <c r="R935" s="12"/>
      <c r="S935" s="12"/>
      <c r="T935" s="12"/>
      <c r="U935" s="12"/>
    </row>
    <row r="936" customFormat="false" ht="15" hidden="false" customHeight="false" outlineLevel="0" collapsed="false">
      <c r="A936" s="12"/>
      <c r="B936" s="61"/>
      <c r="C936" s="61"/>
      <c r="D936" s="61"/>
      <c r="E936" s="62"/>
      <c r="F936" s="61"/>
      <c r="G936" s="61"/>
      <c r="H936" s="10"/>
      <c r="I936" s="12"/>
      <c r="J936" s="63"/>
      <c r="K936" s="10"/>
      <c r="L936" s="12"/>
      <c r="M936" s="12"/>
      <c r="N936" s="12"/>
      <c r="O936" s="12"/>
      <c r="P936" s="12"/>
      <c r="Q936" s="12"/>
      <c r="R936" s="12"/>
      <c r="S936" s="12"/>
      <c r="T936" s="12"/>
      <c r="U936" s="12"/>
    </row>
    <row r="937" customFormat="false" ht="15" hidden="false" customHeight="false" outlineLevel="0" collapsed="false">
      <c r="A937" s="12"/>
      <c r="B937" s="61"/>
      <c r="C937" s="61"/>
      <c r="D937" s="61"/>
      <c r="E937" s="62"/>
      <c r="F937" s="61"/>
      <c r="G937" s="61"/>
      <c r="H937" s="10"/>
      <c r="I937" s="12"/>
      <c r="J937" s="63"/>
      <c r="K937" s="10"/>
      <c r="L937" s="12"/>
      <c r="M937" s="12"/>
      <c r="N937" s="12"/>
      <c r="O937" s="12"/>
      <c r="P937" s="12"/>
      <c r="Q937" s="12"/>
      <c r="R937" s="12"/>
      <c r="S937" s="12"/>
      <c r="T937" s="12"/>
      <c r="U937" s="12"/>
    </row>
    <row r="938" customFormat="false" ht="15" hidden="false" customHeight="false" outlineLevel="0" collapsed="false">
      <c r="A938" s="12"/>
      <c r="B938" s="61"/>
      <c r="C938" s="61"/>
      <c r="D938" s="61"/>
      <c r="E938" s="62"/>
      <c r="F938" s="61"/>
      <c r="G938" s="61"/>
      <c r="H938" s="10"/>
      <c r="I938" s="12"/>
      <c r="J938" s="63"/>
      <c r="K938" s="10"/>
      <c r="L938" s="12"/>
      <c r="M938" s="12"/>
      <c r="N938" s="12"/>
      <c r="O938" s="12"/>
      <c r="P938" s="12"/>
      <c r="Q938" s="12"/>
      <c r="R938" s="12"/>
      <c r="S938" s="12"/>
      <c r="T938" s="12"/>
      <c r="U938" s="12"/>
    </row>
    <row r="939" customFormat="false" ht="15" hidden="false" customHeight="false" outlineLevel="0" collapsed="false">
      <c r="A939" s="12"/>
      <c r="B939" s="61"/>
      <c r="C939" s="61"/>
      <c r="D939" s="61"/>
      <c r="E939" s="62"/>
      <c r="F939" s="61"/>
      <c r="G939" s="61"/>
      <c r="H939" s="10"/>
      <c r="I939" s="12"/>
      <c r="J939" s="63"/>
      <c r="K939" s="10"/>
      <c r="L939" s="12"/>
      <c r="M939" s="12"/>
      <c r="N939" s="12"/>
      <c r="O939" s="12"/>
      <c r="P939" s="12"/>
      <c r="Q939" s="12"/>
      <c r="R939" s="12"/>
      <c r="S939" s="12"/>
      <c r="T939" s="12"/>
      <c r="U939" s="12"/>
    </row>
    <row r="940" customFormat="false" ht="15" hidden="false" customHeight="false" outlineLevel="0" collapsed="false">
      <c r="A940" s="12"/>
      <c r="B940" s="61"/>
      <c r="C940" s="61"/>
      <c r="D940" s="61"/>
      <c r="E940" s="62"/>
      <c r="F940" s="61"/>
      <c r="G940" s="61"/>
      <c r="H940" s="10"/>
      <c r="I940" s="12"/>
      <c r="J940" s="63"/>
      <c r="K940" s="10"/>
      <c r="L940" s="12"/>
      <c r="M940" s="12"/>
      <c r="N940" s="12"/>
      <c r="O940" s="12"/>
      <c r="P940" s="12"/>
      <c r="Q940" s="12"/>
      <c r="R940" s="12"/>
      <c r="S940" s="12"/>
      <c r="T940" s="12"/>
      <c r="U940" s="12"/>
    </row>
    <row r="941" customFormat="false" ht="15" hidden="false" customHeight="false" outlineLevel="0" collapsed="false">
      <c r="A941" s="12"/>
      <c r="B941" s="61"/>
      <c r="C941" s="61"/>
      <c r="D941" s="61"/>
      <c r="E941" s="62"/>
      <c r="F941" s="61"/>
      <c r="G941" s="61"/>
      <c r="H941" s="10"/>
      <c r="I941" s="12"/>
      <c r="J941" s="63"/>
      <c r="K941" s="10"/>
      <c r="L941" s="12"/>
      <c r="M941" s="12"/>
      <c r="N941" s="12"/>
      <c r="O941" s="12"/>
      <c r="P941" s="12"/>
      <c r="Q941" s="12"/>
      <c r="R941" s="12"/>
      <c r="S941" s="12"/>
      <c r="T941" s="12"/>
      <c r="U941" s="12"/>
    </row>
    <row r="942" customFormat="false" ht="15" hidden="false" customHeight="false" outlineLevel="0" collapsed="false">
      <c r="A942" s="12"/>
      <c r="B942" s="61"/>
      <c r="C942" s="61"/>
      <c r="D942" s="61"/>
      <c r="E942" s="62"/>
      <c r="F942" s="61"/>
      <c r="G942" s="61"/>
      <c r="H942" s="10"/>
      <c r="I942" s="12"/>
      <c r="J942" s="63"/>
      <c r="K942" s="10"/>
      <c r="L942" s="12"/>
      <c r="M942" s="12"/>
      <c r="N942" s="12"/>
      <c r="O942" s="12"/>
      <c r="P942" s="12"/>
      <c r="Q942" s="12"/>
      <c r="R942" s="12"/>
      <c r="S942" s="12"/>
      <c r="T942" s="12"/>
      <c r="U942" s="12"/>
    </row>
    <row r="943" customFormat="false" ht="15" hidden="false" customHeight="false" outlineLevel="0" collapsed="false">
      <c r="A943" s="12"/>
      <c r="B943" s="61"/>
      <c r="C943" s="61"/>
      <c r="D943" s="61"/>
      <c r="E943" s="62"/>
      <c r="F943" s="61"/>
      <c r="G943" s="61"/>
      <c r="H943" s="10"/>
      <c r="I943" s="12"/>
      <c r="J943" s="63"/>
      <c r="K943" s="10"/>
      <c r="L943" s="12"/>
      <c r="M943" s="12"/>
      <c r="N943" s="12"/>
      <c r="O943" s="12"/>
      <c r="P943" s="12"/>
      <c r="Q943" s="12"/>
      <c r="R943" s="12"/>
      <c r="S943" s="12"/>
      <c r="T943" s="12"/>
      <c r="U943" s="12"/>
    </row>
    <row r="944" customFormat="false" ht="15" hidden="false" customHeight="false" outlineLevel="0" collapsed="false">
      <c r="A944" s="12"/>
      <c r="B944" s="61"/>
      <c r="C944" s="61"/>
      <c r="D944" s="61"/>
      <c r="E944" s="62"/>
      <c r="F944" s="61"/>
      <c r="G944" s="61"/>
      <c r="H944" s="10"/>
      <c r="I944" s="12"/>
      <c r="J944" s="63"/>
      <c r="K944" s="10"/>
      <c r="L944" s="12"/>
      <c r="M944" s="12"/>
      <c r="N944" s="12"/>
      <c r="O944" s="12"/>
      <c r="P944" s="12"/>
      <c r="Q944" s="12"/>
      <c r="R944" s="12"/>
      <c r="S944" s="12"/>
      <c r="T944" s="12"/>
      <c r="U944" s="12"/>
    </row>
    <row r="945" customFormat="false" ht="15" hidden="false" customHeight="false" outlineLevel="0" collapsed="false">
      <c r="A945" s="12"/>
      <c r="B945" s="61"/>
      <c r="C945" s="61"/>
      <c r="D945" s="61"/>
      <c r="E945" s="62"/>
      <c r="F945" s="61"/>
      <c r="G945" s="61"/>
      <c r="H945" s="10"/>
      <c r="I945" s="12"/>
      <c r="J945" s="63"/>
      <c r="K945" s="10"/>
      <c r="L945" s="12"/>
      <c r="M945" s="12"/>
      <c r="N945" s="12"/>
      <c r="O945" s="12"/>
      <c r="P945" s="12"/>
      <c r="Q945" s="12"/>
      <c r="R945" s="12"/>
      <c r="S945" s="12"/>
      <c r="T945" s="12"/>
      <c r="U945" s="12"/>
    </row>
    <row r="946" customFormat="false" ht="15" hidden="false" customHeight="false" outlineLevel="0" collapsed="false">
      <c r="A946" s="12"/>
      <c r="B946" s="61"/>
      <c r="C946" s="61"/>
      <c r="D946" s="61"/>
      <c r="E946" s="62"/>
      <c r="F946" s="61"/>
      <c r="G946" s="61"/>
      <c r="H946" s="10"/>
      <c r="I946" s="12"/>
      <c r="J946" s="63"/>
      <c r="K946" s="10"/>
      <c r="L946" s="12"/>
      <c r="M946" s="12"/>
      <c r="N946" s="12"/>
      <c r="O946" s="12"/>
      <c r="P946" s="12"/>
      <c r="Q946" s="12"/>
      <c r="R946" s="12"/>
      <c r="S946" s="12"/>
      <c r="T946" s="12"/>
      <c r="U946" s="12"/>
    </row>
    <row r="947" customFormat="false" ht="15" hidden="false" customHeight="false" outlineLevel="0" collapsed="false">
      <c r="A947" s="12"/>
      <c r="B947" s="61"/>
      <c r="C947" s="61"/>
      <c r="D947" s="61"/>
      <c r="E947" s="62"/>
      <c r="F947" s="61"/>
      <c r="G947" s="61"/>
      <c r="H947" s="10"/>
      <c r="I947" s="12"/>
      <c r="J947" s="63"/>
      <c r="K947" s="10"/>
      <c r="L947" s="12"/>
      <c r="M947" s="12"/>
      <c r="N947" s="12"/>
      <c r="O947" s="12"/>
      <c r="P947" s="12"/>
      <c r="Q947" s="12"/>
      <c r="R947" s="12"/>
      <c r="S947" s="12"/>
      <c r="T947" s="12"/>
      <c r="U947" s="12"/>
    </row>
    <row r="948" customFormat="false" ht="15" hidden="false" customHeight="false" outlineLevel="0" collapsed="false">
      <c r="A948" s="12"/>
      <c r="B948" s="61"/>
      <c r="C948" s="61"/>
      <c r="D948" s="61"/>
      <c r="E948" s="62"/>
      <c r="F948" s="61"/>
      <c r="G948" s="61"/>
      <c r="H948" s="10"/>
      <c r="I948" s="12"/>
      <c r="J948" s="63"/>
      <c r="K948" s="10"/>
      <c r="L948" s="12"/>
      <c r="M948" s="12"/>
      <c r="N948" s="12"/>
      <c r="O948" s="12"/>
      <c r="P948" s="12"/>
      <c r="Q948" s="12"/>
      <c r="R948" s="12"/>
      <c r="S948" s="12"/>
      <c r="T948" s="12"/>
      <c r="U948" s="12"/>
    </row>
    <row r="949" customFormat="false" ht="15" hidden="false" customHeight="false" outlineLevel="0" collapsed="false">
      <c r="A949" s="12"/>
      <c r="B949" s="61"/>
      <c r="C949" s="61"/>
      <c r="D949" s="61"/>
      <c r="E949" s="62"/>
      <c r="F949" s="61"/>
      <c r="G949" s="61"/>
      <c r="H949" s="10"/>
      <c r="I949" s="12"/>
      <c r="J949" s="63"/>
      <c r="K949" s="10"/>
      <c r="L949" s="12"/>
      <c r="M949" s="12"/>
      <c r="N949" s="12"/>
      <c r="O949" s="12"/>
      <c r="P949" s="12"/>
      <c r="Q949" s="12"/>
      <c r="R949" s="12"/>
      <c r="S949" s="12"/>
      <c r="T949" s="12"/>
      <c r="U949" s="12"/>
    </row>
    <row r="950" customFormat="false" ht="15" hidden="false" customHeight="false" outlineLevel="0" collapsed="false">
      <c r="A950" s="12"/>
      <c r="B950" s="61"/>
      <c r="C950" s="61"/>
      <c r="D950" s="61"/>
      <c r="E950" s="62"/>
      <c r="F950" s="61"/>
      <c r="G950" s="61"/>
      <c r="H950" s="10"/>
      <c r="I950" s="12"/>
      <c r="J950" s="63"/>
      <c r="K950" s="10"/>
      <c r="L950" s="12"/>
      <c r="M950" s="12"/>
      <c r="N950" s="12"/>
      <c r="O950" s="12"/>
      <c r="P950" s="12"/>
      <c r="Q950" s="12"/>
      <c r="R950" s="12"/>
      <c r="S950" s="12"/>
      <c r="T950" s="12"/>
      <c r="U950" s="12"/>
    </row>
    <row r="951" customFormat="false" ht="15" hidden="false" customHeight="false" outlineLevel="0" collapsed="false">
      <c r="A951" s="12"/>
      <c r="B951" s="61"/>
      <c r="C951" s="61"/>
      <c r="D951" s="61"/>
      <c r="E951" s="62"/>
      <c r="F951" s="61"/>
      <c r="G951" s="61"/>
      <c r="H951" s="10"/>
      <c r="I951" s="12"/>
      <c r="J951" s="63"/>
      <c r="K951" s="10"/>
      <c r="L951" s="12"/>
      <c r="M951" s="12"/>
      <c r="N951" s="12"/>
      <c r="O951" s="12"/>
      <c r="P951" s="12"/>
      <c r="Q951" s="12"/>
      <c r="R951" s="12"/>
      <c r="S951" s="12"/>
      <c r="T951" s="12"/>
      <c r="U951" s="12"/>
    </row>
    <row r="952" customFormat="false" ht="15" hidden="false" customHeight="false" outlineLevel="0" collapsed="false">
      <c r="A952" s="12"/>
      <c r="B952" s="61"/>
      <c r="C952" s="61"/>
      <c r="D952" s="61"/>
      <c r="E952" s="62"/>
      <c r="F952" s="61"/>
      <c r="G952" s="61"/>
      <c r="H952" s="10"/>
      <c r="I952" s="12"/>
      <c r="J952" s="63"/>
      <c r="K952" s="10"/>
      <c r="L952" s="12"/>
      <c r="M952" s="12"/>
      <c r="N952" s="12"/>
      <c r="O952" s="12"/>
      <c r="P952" s="12"/>
      <c r="Q952" s="12"/>
      <c r="R952" s="12"/>
      <c r="S952" s="12"/>
      <c r="T952" s="12"/>
      <c r="U952" s="12"/>
    </row>
    <row r="953" customFormat="false" ht="15" hidden="false" customHeight="false" outlineLevel="0" collapsed="false">
      <c r="A953" s="12"/>
      <c r="B953" s="61"/>
      <c r="C953" s="61"/>
      <c r="D953" s="61"/>
      <c r="E953" s="62"/>
      <c r="F953" s="61"/>
      <c r="G953" s="61"/>
      <c r="H953" s="10"/>
      <c r="I953" s="12"/>
      <c r="J953" s="63"/>
      <c r="K953" s="10"/>
      <c r="L953" s="12"/>
      <c r="M953" s="12"/>
      <c r="N953" s="12"/>
      <c r="O953" s="12"/>
      <c r="P953" s="12"/>
      <c r="Q953" s="12"/>
      <c r="R953" s="12"/>
      <c r="S953" s="12"/>
      <c r="T953" s="12"/>
      <c r="U953" s="12"/>
    </row>
    <row r="954" customFormat="false" ht="15" hidden="false" customHeight="false" outlineLevel="0" collapsed="false">
      <c r="A954" s="12"/>
      <c r="B954" s="61"/>
      <c r="C954" s="61"/>
      <c r="D954" s="61"/>
      <c r="E954" s="62"/>
      <c r="F954" s="61"/>
      <c r="G954" s="61"/>
      <c r="H954" s="10"/>
      <c r="I954" s="12"/>
      <c r="J954" s="63"/>
      <c r="K954" s="10"/>
      <c r="L954" s="12"/>
      <c r="M954" s="12"/>
      <c r="N954" s="12"/>
      <c r="O954" s="12"/>
      <c r="P954" s="12"/>
      <c r="Q954" s="12"/>
      <c r="R954" s="12"/>
      <c r="S954" s="12"/>
      <c r="T954" s="12"/>
      <c r="U954" s="12"/>
    </row>
    <row r="955" customFormat="false" ht="15" hidden="false" customHeight="false" outlineLevel="0" collapsed="false">
      <c r="A955" s="12"/>
      <c r="B955" s="61"/>
      <c r="C955" s="61"/>
      <c r="D955" s="61"/>
      <c r="E955" s="62"/>
      <c r="F955" s="61"/>
      <c r="G955" s="61"/>
      <c r="H955" s="10"/>
      <c r="I955" s="12"/>
      <c r="J955" s="63"/>
      <c r="K955" s="10"/>
      <c r="L955" s="12"/>
      <c r="M955" s="12"/>
      <c r="N955" s="12"/>
      <c r="O955" s="12"/>
      <c r="P955" s="12"/>
      <c r="Q955" s="12"/>
      <c r="R955" s="12"/>
      <c r="S955" s="12"/>
      <c r="T955" s="12"/>
      <c r="U955" s="12"/>
    </row>
    <row r="956" customFormat="false" ht="15" hidden="false" customHeight="false" outlineLevel="0" collapsed="false">
      <c r="A956" s="12"/>
      <c r="B956" s="61"/>
      <c r="C956" s="61"/>
      <c r="D956" s="61"/>
      <c r="E956" s="62"/>
      <c r="F956" s="61"/>
      <c r="G956" s="61"/>
      <c r="H956" s="10"/>
      <c r="I956" s="12"/>
      <c r="J956" s="63"/>
      <c r="K956" s="10"/>
      <c r="L956" s="12"/>
      <c r="M956" s="12"/>
      <c r="N956" s="12"/>
      <c r="O956" s="12"/>
      <c r="P956" s="12"/>
      <c r="Q956" s="12"/>
      <c r="R956" s="12"/>
      <c r="S956" s="12"/>
      <c r="T956" s="12"/>
      <c r="U956" s="12"/>
    </row>
    <row r="957" customFormat="false" ht="15" hidden="false" customHeight="false" outlineLevel="0" collapsed="false">
      <c r="A957" s="12"/>
      <c r="B957" s="61"/>
      <c r="C957" s="61"/>
      <c r="D957" s="61"/>
      <c r="E957" s="62"/>
      <c r="F957" s="61"/>
      <c r="G957" s="61"/>
      <c r="H957" s="10"/>
      <c r="I957" s="12"/>
      <c r="J957" s="63"/>
      <c r="K957" s="10"/>
      <c r="L957" s="12"/>
      <c r="M957" s="12"/>
      <c r="N957" s="12"/>
      <c r="O957" s="12"/>
      <c r="P957" s="12"/>
      <c r="Q957" s="12"/>
      <c r="R957" s="12"/>
      <c r="S957" s="12"/>
      <c r="T957" s="12"/>
      <c r="U957" s="12"/>
    </row>
    <row r="958" customFormat="false" ht="15" hidden="false" customHeight="false" outlineLevel="0" collapsed="false">
      <c r="A958" s="12"/>
      <c r="B958" s="61"/>
      <c r="C958" s="61"/>
      <c r="D958" s="61"/>
      <c r="E958" s="62"/>
      <c r="F958" s="61"/>
      <c r="G958" s="61"/>
      <c r="H958" s="10"/>
      <c r="I958" s="12"/>
      <c r="J958" s="63"/>
      <c r="K958" s="10"/>
      <c r="L958" s="12"/>
      <c r="M958" s="12"/>
      <c r="N958" s="12"/>
      <c r="O958" s="12"/>
      <c r="P958" s="12"/>
      <c r="Q958" s="12"/>
      <c r="R958" s="12"/>
      <c r="S958" s="12"/>
      <c r="T958" s="12"/>
      <c r="U958" s="12"/>
    </row>
    <row r="959" customFormat="false" ht="15" hidden="false" customHeight="false" outlineLevel="0" collapsed="false">
      <c r="A959" s="12"/>
      <c r="B959" s="61"/>
      <c r="C959" s="61"/>
      <c r="D959" s="61"/>
      <c r="E959" s="62"/>
      <c r="F959" s="61"/>
      <c r="G959" s="61"/>
      <c r="H959" s="10"/>
      <c r="I959" s="12"/>
      <c r="J959" s="63"/>
      <c r="K959" s="10"/>
      <c r="L959" s="12"/>
      <c r="M959" s="12"/>
      <c r="N959" s="12"/>
      <c r="O959" s="12"/>
      <c r="P959" s="12"/>
      <c r="Q959" s="12"/>
      <c r="R959" s="12"/>
      <c r="S959" s="12"/>
      <c r="T959" s="12"/>
      <c r="U959" s="12"/>
    </row>
    <row r="960" customFormat="false" ht="15" hidden="false" customHeight="false" outlineLevel="0" collapsed="false">
      <c r="A960" s="12"/>
      <c r="B960" s="61"/>
      <c r="C960" s="61"/>
      <c r="D960" s="61"/>
      <c r="E960" s="62"/>
      <c r="F960" s="61"/>
      <c r="G960" s="61"/>
      <c r="H960" s="10"/>
      <c r="I960" s="12"/>
      <c r="J960" s="63"/>
      <c r="K960" s="10"/>
      <c r="L960" s="12"/>
      <c r="M960" s="12"/>
      <c r="N960" s="12"/>
      <c r="O960" s="12"/>
      <c r="P960" s="12"/>
      <c r="Q960" s="12"/>
      <c r="R960" s="12"/>
      <c r="S960" s="12"/>
      <c r="T960" s="12"/>
      <c r="U960" s="12"/>
    </row>
    <row r="961" customFormat="false" ht="15" hidden="false" customHeight="false" outlineLevel="0" collapsed="false">
      <c r="A961" s="12"/>
      <c r="B961" s="61"/>
      <c r="C961" s="61"/>
      <c r="D961" s="61"/>
      <c r="E961" s="62"/>
      <c r="F961" s="61"/>
      <c r="G961" s="61"/>
      <c r="H961" s="10"/>
      <c r="I961" s="12"/>
      <c r="J961" s="63"/>
      <c r="K961" s="10"/>
      <c r="L961" s="12"/>
      <c r="M961" s="12"/>
      <c r="N961" s="12"/>
      <c r="O961" s="12"/>
      <c r="P961" s="12"/>
      <c r="Q961" s="12"/>
      <c r="R961" s="12"/>
      <c r="S961" s="12"/>
      <c r="T961" s="12"/>
      <c r="U961" s="12"/>
    </row>
    <row r="962" customFormat="false" ht="15" hidden="false" customHeight="false" outlineLevel="0" collapsed="false">
      <c r="A962" s="12"/>
      <c r="B962" s="61"/>
      <c r="C962" s="61"/>
      <c r="D962" s="61"/>
      <c r="E962" s="62"/>
      <c r="F962" s="61"/>
      <c r="G962" s="61"/>
      <c r="H962" s="10"/>
      <c r="I962" s="12"/>
      <c r="J962" s="63"/>
      <c r="K962" s="10"/>
      <c r="L962" s="12"/>
      <c r="M962" s="12"/>
      <c r="N962" s="12"/>
      <c r="O962" s="12"/>
      <c r="P962" s="12"/>
      <c r="Q962" s="12"/>
      <c r="R962" s="12"/>
      <c r="S962" s="12"/>
      <c r="T962" s="12"/>
      <c r="U962" s="12"/>
    </row>
    <row r="963" customFormat="false" ht="15" hidden="false" customHeight="false" outlineLevel="0" collapsed="false">
      <c r="A963" s="12"/>
      <c r="B963" s="61"/>
      <c r="C963" s="61"/>
      <c r="D963" s="61"/>
      <c r="E963" s="62"/>
      <c r="F963" s="61"/>
      <c r="G963" s="61"/>
      <c r="H963" s="10"/>
      <c r="I963" s="12"/>
      <c r="J963" s="63"/>
      <c r="K963" s="10"/>
      <c r="L963" s="12"/>
      <c r="M963" s="12"/>
      <c r="N963" s="12"/>
      <c r="O963" s="12"/>
      <c r="P963" s="12"/>
      <c r="Q963" s="12"/>
      <c r="R963" s="12"/>
      <c r="S963" s="12"/>
      <c r="T963" s="12"/>
      <c r="U963" s="12"/>
    </row>
    <row r="964" customFormat="false" ht="15" hidden="false" customHeight="false" outlineLevel="0" collapsed="false">
      <c r="A964" s="12"/>
      <c r="B964" s="61"/>
      <c r="C964" s="61"/>
      <c r="D964" s="61"/>
      <c r="E964" s="62"/>
      <c r="F964" s="61"/>
      <c r="G964" s="61"/>
      <c r="H964" s="10"/>
      <c r="I964" s="12"/>
      <c r="J964" s="63"/>
      <c r="K964" s="10"/>
      <c r="L964" s="12"/>
      <c r="M964" s="12"/>
      <c r="N964" s="12"/>
      <c r="O964" s="12"/>
      <c r="P964" s="12"/>
      <c r="Q964" s="12"/>
      <c r="R964" s="12"/>
      <c r="S964" s="12"/>
      <c r="T964" s="12"/>
      <c r="U964" s="12"/>
    </row>
    <row r="965" customFormat="false" ht="15" hidden="false" customHeight="false" outlineLevel="0" collapsed="false">
      <c r="A965" s="12"/>
      <c r="B965" s="61"/>
      <c r="C965" s="61"/>
      <c r="D965" s="61"/>
      <c r="E965" s="62"/>
      <c r="F965" s="61"/>
      <c r="G965" s="61"/>
      <c r="H965" s="10"/>
      <c r="I965" s="12"/>
      <c r="J965" s="63"/>
      <c r="K965" s="10"/>
      <c r="L965" s="12"/>
      <c r="M965" s="12"/>
      <c r="N965" s="12"/>
      <c r="O965" s="12"/>
      <c r="P965" s="12"/>
      <c r="Q965" s="12"/>
      <c r="R965" s="12"/>
      <c r="S965" s="12"/>
      <c r="T965" s="12"/>
      <c r="U965" s="12"/>
    </row>
    <row r="966" customFormat="false" ht="15" hidden="false" customHeight="false" outlineLevel="0" collapsed="false">
      <c r="A966" s="12"/>
      <c r="B966" s="61"/>
      <c r="C966" s="61"/>
      <c r="D966" s="61"/>
      <c r="E966" s="62"/>
      <c r="F966" s="61"/>
      <c r="G966" s="61"/>
      <c r="H966" s="10"/>
      <c r="I966" s="12"/>
      <c r="J966" s="63"/>
      <c r="K966" s="10"/>
      <c r="L966" s="12"/>
      <c r="M966" s="12"/>
      <c r="N966" s="12"/>
      <c r="O966" s="12"/>
      <c r="P966" s="12"/>
      <c r="Q966" s="12"/>
      <c r="R966" s="12"/>
      <c r="S966" s="12"/>
      <c r="T966" s="12"/>
      <c r="U966" s="12"/>
    </row>
    <row r="967" customFormat="false" ht="15" hidden="false" customHeight="false" outlineLevel="0" collapsed="false">
      <c r="A967" s="12"/>
      <c r="B967" s="61"/>
      <c r="C967" s="61"/>
      <c r="D967" s="61"/>
      <c r="E967" s="62"/>
      <c r="F967" s="61"/>
      <c r="G967" s="61"/>
      <c r="H967" s="10"/>
      <c r="I967" s="12"/>
      <c r="J967" s="63"/>
      <c r="K967" s="10"/>
      <c r="L967" s="12"/>
      <c r="M967" s="12"/>
      <c r="N967" s="12"/>
      <c r="O967" s="12"/>
      <c r="P967" s="12"/>
      <c r="Q967" s="12"/>
      <c r="R967" s="12"/>
      <c r="S967" s="12"/>
      <c r="T967" s="12"/>
      <c r="U967" s="12"/>
    </row>
    <row r="968" customFormat="false" ht="15" hidden="false" customHeight="false" outlineLevel="0" collapsed="false">
      <c r="A968" s="12"/>
      <c r="B968" s="61"/>
      <c r="C968" s="61"/>
      <c r="D968" s="61"/>
      <c r="E968" s="62"/>
      <c r="F968" s="61"/>
      <c r="G968" s="61"/>
      <c r="H968" s="10"/>
      <c r="I968" s="12"/>
      <c r="J968" s="63"/>
      <c r="K968" s="10"/>
      <c r="L968" s="12"/>
      <c r="M968" s="12"/>
      <c r="N968" s="12"/>
      <c r="O968" s="12"/>
      <c r="P968" s="12"/>
      <c r="Q968" s="12"/>
      <c r="R968" s="12"/>
      <c r="S968" s="12"/>
      <c r="T968" s="12"/>
      <c r="U968" s="12"/>
    </row>
    <row r="969" customFormat="false" ht="15" hidden="false" customHeight="false" outlineLevel="0" collapsed="false">
      <c r="A969" s="12"/>
      <c r="B969" s="61"/>
      <c r="C969" s="61"/>
      <c r="D969" s="61"/>
      <c r="E969" s="62"/>
      <c r="F969" s="61"/>
      <c r="G969" s="61"/>
      <c r="H969" s="10"/>
      <c r="I969" s="12"/>
      <c r="J969" s="63"/>
      <c r="K969" s="10"/>
      <c r="L969" s="12"/>
      <c r="M969" s="12"/>
      <c r="N969" s="12"/>
      <c r="O969" s="12"/>
      <c r="P969" s="12"/>
      <c r="Q969" s="12"/>
      <c r="R969" s="12"/>
      <c r="S969" s="12"/>
      <c r="T969" s="12"/>
      <c r="U969" s="12"/>
    </row>
    <row r="970" customFormat="false" ht="15" hidden="false" customHeight="false" outlineLevel="0" collapsed="false">
      <c r="A970" s="12"/>
      <c r="B970" s="61"/>
      <c r="C970" s="61"/>
      <c r="D970" s="61"/>
      <c r="E970" s="62"/>
      <c r="F970" s="61"/>
      <c r="G970" s="61"/>
      <c r="H970" s="10"/>
      <c r="I970" s="12"/>
      <c r="J970" s="63"/>
      <c r="K970" s="10"/>
      <c r="L970" s="12"/>
      <c r="M970" s="12"/>
      <c r="N970" s="12"/>
      <c r="O970" s="12"/>
      <c r="P970" s="12"/>
      <c r="Q970" s="12"/>
      <c r="R970" s="12"/>
      <c r="S970" s="12"/>
      <c r="T970" s="12"/>
      <c r="U970" s="12"/>
    </row>
    <row r="971" customFormat="false" ht="15" hidden="false" customHeight="false" outlineLevel="0" collapsed="false">
      <c r="A971" s="12"/>
      <c r="B971" s="61"/>
      <c r="C971" s="61"/>
      <c r="D971" s="61"/>
      <c r="E971" s="62"/>
      <c r="F971" s="61"/>
      <c r="G971" s="61"/>
      <c r="H971" s="10"/>
      <c r="I971" s="12"/>
      <c r="J971" s="63"/>
      <c r="K971" s="10"/>
      <c r="L971" s="12"/>
      <c r="M971" s="12"/>
      <c r="N971" s="12"/>
      <c r="O971" s="12"/>
      <c r="P971" s="12"/>
      <c r="Q971" s="12"/>
      <c r="R971" s="12"/>
      <c r="S971" s="12"/>
      <c r="T971" s="12"/>
      <c r="U971" s="12"/>
    </row>
    <row r="972" customFormat="false" ht="15" hidden="false" customHeight="false" outlineLevel="0" collapsed="false">
      <c r="A972" s="12"/>
      <c r="B972" s="61"/>
      <c r="C972" s="61"/>
      <c r="D972" s="61"/>
      <c r="E972" s="62"/>
      <c r="F972" s="61"/>
      <c r="G972" s="61"/>
      <c r="H972" s="10"/>
      <c r="I972" s="12"/>
      <c r="J972" s="63"/>
      <c r="K972" s="10"/>
      <c r="L972" s="12"/>
      <c r="M972" s="12"/>
      <c r="N972" s="12"/>
      <c r="O972" s="12"/>
      <c r="P972" s="12"/>
      <c r="Q972" s="12"/>
      <c r="R972" s="12"/>
      <c r="S972" s="12"/>
      <c r="T972" s="12"/>
      <c r="U972" s="12"/>
    </row>
    <row r="973" customFormat="false" ht="15" hidden="false" customHeight="false" outlineLevel="0" collapsed="false">
      <c r="A973" s="12"/>
      <c r="B973" s="61"/>
      <c r="C973" s="61"/>
      <c r="D973" s="61"/>
      <c r="E973" s="62"/>
      <c r="F973" s="61"/>
      <c r="G973" s="61"/>
      <c r="H973" s="10"/>
      <c r="I973" s="12"/>
      <c r="J973" s="63"/>
      <c r="K973" s="10"/>
      <c r="L973" s="12"/>
      <c r="M973" s="12"/>
      <c r="N973" s="12"/>
      <c r="O973" s="12"/>
      <c r="P973" s="12"/>
      <c r="Q973" s="12"/>
      <c r="R973" s="12"/>
      <c r="S973" s="12"/>
      <c r="T973" s="12"/>
      <c r="U973" s="12"/>
    </row>
    <row r="974" customFormat="false" ht="15" hidden="false" customHeight="false" outlineLevel="0" collapsed="false">
      <c r="A974" s="12"/>
      <c r="B974" s="61"/>
      <c r="C974" s="61"/>
      <c r="D974" s="61"/>
      <c r="E974" s="62"/>
      <c r="F974" s="61"/>
      <c r="G974" s="61"/>
      <c r="H974" s="10"/>
      <c r="I974" s="12"/>
      <c r="J974" s="63"/>
      <c r="K974" s="10"/>
      <c r="L974" s="12"/>
      <c r="M974" s="12"/>
      <c r="N974" s="12"/>
      <c r="O974" s="12"/>
      <c r="P974" s="12"/>
      <c r="Q974" s="12"/>
      <c r="R974" s="12"/>
      <c r="S974" s="12"/>
      <c r="T974" s="12"/>
      <c r="U974" s="12"/>
    </row>
    <row r="975" customFormat="false" ht="15" hidden="false" customHeight="false" outlineLevel="0" collapsed="false">
      <c r="A975" s="12"/>
      <c r="B975" s="61"/>
      <c r="C975" s="61"/>
      <c r="D975" s="61"/>
      <c r="E975" s="62"/>
      <c r="F975" s="61"/>
      <c r="G975" s="61"/>
      <c r="H975" s="10"/>
      <c r="I975" s="12"/>
      <c r="J975" s="63"/>
      <c r="K975" s="10"/>
      <c r="L975" s="12"/>
      <c r="M975" s="12"/>
      <c r="N975" s="12"/>
      <c r="O975" s="12"/>
      <c r="P975" s="12"/>
      <c r="Q975" s="12"/>
      <c r="R975" s="12"/>
      <c r="S975" s="12"/>
      <c r="T975" s="12"/>
      <c r="U975" s="12"/>
    </row>
    <row r="976" customFormat="false" ht="15" hidden="false" customHeight="false" outlineLevel="0" collapsed="false">
      <c r="A976" s="12"/>
      <c r="B976" s="61"/>
      <c r="C976" s="61"/>
      <c r="D976" s="61"/>
      <c r="E976" s="62"/>
      <c r="F976" s="61"/>
      <c r="G976" s="61"/>
      <c r="H976" s="10"/>
      <c r="I976" s="12"/>
      <c r="J976" s="63"/>
      <c r="K976" s="10"/>
      <c r="L976" s="12"/>
      <c r="M976" s="12"/>
      <c r="N976" s="12"/>
      <c r="O976" s="12"/>
      <c r="P976" s="12"/>
      <c r="Q976" s="12"/>
      <c r="R976" s="12"/>
      <c r="S976" s="12"/>
      <c r="T976" s="12"/>
      <c r="U976" s="12"/>
    </row>
    <row r="977" customFormat="false" ht="15" hidden="false" customHeight="false" outlineLevel="0" collapsed="false">
      <c r="A977" s="12"/>
      <c r="B977" s="61"/>
      <c r="C977" s="61"/>
      <c r="D977" s="61"/>
      <c r="E977" s="62"/>
      <c r="F977" s="61"/>
      <c r="G977" s="61"/>
      <c r="H977" s="10"/>
      <c r="I977" s="12"/>
      <c r="J977" s="63"/>
      <c r="K977" s="10"/>
      <c r="L977" s="12"/>
      <c r="M977" s="12"/>
      <c r="N977" s="12"/>
      <c r="O977" s="12"/>
      <c r="P977" s="12"/>
      <c r="Q977" s="12"/>
      <c r="R977" s="12"/>
      <c r="S977" s="12"/>
      <c r="T977" s="12"/>
      <c r="U977" s="12"/>
    </row>
    <row r="978" customFormat="false" ht="15" hidden="false" customHeight="false" outlineLevel="0" collapsed="false">
      <c r="A978" s="12"/>
      <c r="B978" s="61"/>
      <c r="C978" s="61"/>
      <c r="D978" s="61"/>
      <c r="E978" s="62"/>
      <c r="F978" s="61"/>
      <c r="G978" s="61"/>
      <c r="H978" s="10"/>
      <c r="I978" s="12"/>
      <c r="J978" s="63"/>
      <c r="K978" s="10"/>
      <c r="L978" s="12"/>
      <c r="M978" s="12"/>
      <c r="N978" s="12"/>
      <c r="O978" s="12"/>
      <c r="P978" s="12"/>
      <c r="Q978" s="12"/>
      <c r="R978" s="12"/>
      <c r="S978" s="12"/>
      <c r="T978" s="12"/>
      <c r="U978" s="12"/>
    </row>
    <row r="979" customFormat="false" ht="15" hidden="false" customHeight="false" outlineLevel="0" collapsed="false">
      <c r="A979" s="12"/>
      <c r="B979" s="61"/>
      <c r="C979" s="61"/>
      <c r="D979" s="61"/>
      <c r="E979" s="62"/>
      <c r="F979" s="61"/>
      <c r="G979" s="61"/>
      <c r="H979" s="10"/>
      <c r="I979" s="12"/>
      <c r="J979" s="63"/>
      <c r="K979" s="10"/>
      <c r="L979" s="12"/>
      <c r="M979" s="12"/>
      <c r="N979" s="12"/>
      <c r="O979" s="12"/>
      <c r="P979" s="12"/>
      <c r="Q979" s="12"/>
      <c r="R979" s="12"/>
      <c r="S979" s="12"/>
      <c r="T979" s="12"/>
      <c r="U979" s="12"/>
    </row>
    <row r="980" customFormat="false" ht="15" hidden="false" customHeight="false" outlineLevel="0" collapsed="false">
      <c r="A980" s="12"/>
      <c r="B980" s="61"/>
      <c r="C980" s="61"/>
      <c r="D980" s="61"/>
      <c r="E980" s="62"/>
      <c r="F980" s="61"/>
      <c r="G980" s="61"/>
      <c r="H980" s="10"/>
      <c r="I980" s="12"/>
      <c r="J980" s="63"/>
      <c r="K980" s="10"/>
      <c r="L980" s="12"/>
      <c r="M980" s="12"/>
      <c r="N980" s="12"/>
      <c r="O980" s="12"/>
      <c r="P980" s="12"/>
      <c r="Q980" s="12"/>
      <c r="R980" s="12"/>
      <c r="S980" s="12"/>
      <c r="T980" s="12"/>
      <c r="U980" s="12"/>
    </row>
    <row r="981" customFormat="false" ht="15" hidden="false" customHeight="false" outlineLevel="0" collapsed="false">
      <c r="A981" s="12"/>
      <c r="B981" s="61"/>
      <c r="C981" s="61"/>
      <c r="D981" s="61"/>
      <c r="E981" s="62"/>
      <c r="F981" s="61"/>
      <c r="G981" s="61"/>
      <c r="H981" s="10"/>
      <c r="I981" s="12"/>
      <c r="J981" s="63"/>
      <c r="K981" s="10"/>
      <c r="L981" s="12"/>
      <c r="M981" s="12"/>
      <c r="N981" s="12"/>
      <c r="O981" s="12"/>
      <c r="P981" s="12"/>
      <c r="Q981" s="12"/>
      <c r="R981" s="12"/>
      <c r="S981" s="12"/>
      <c r="T981" s="12"/>
      <c r="U981" s="12"/>
    </row>
    <row r="982" customFormat="false" ht="15" hidden="false" customHeight="false" outlineLevel="0" collapsed="false">
      <c r="A982" s="12"/>
      <c r="B982" s="61"/>
      <c r="C982" s="61"/>
      <c r="D982" s="61"/>
      <c r="E982" s="62"/>
      <c r="F982" s="61"/>
      <c r="G982" s="61"/>
      <c r="H982" s="10"/>
      <c r="I982" s="12"/>
      <c r="J982" s="63"/>
      <c r="K982" s="10"/>
      <c r="L982" s="12"/>
      <c r="M982" s="12"/>
      <c r="N982" s="12"/>
      <c r="O982" s="12"/>
      <c r="P982" s="12"/>
      <c r="Q982" s="12"/>
      <c r="R982" s="12"/>
      <c r="S982" s="12"/>
      <c r="T982" s="12"/>
      <c r="U982" s="12"/>
    </row>
    <row r="983" customFormat="false" ht="15" hidden="false" customHeight="false" outlineLevel="0" collapsed="false">
      <c r="A983" s="12"/>
      <c r="B983" s="61"/>
      <c r="C983" s="61"/>
      <c r="D983" s="61"/>
      <c r="E983" s="62"/>
      <c r="F983" s="61"/>
      <c r="G983" s="61"/>
      <c r="H983" s="10"/>
      <c r="I983" s="12"/>
      <c r="J983" s="63"/>
      <c r="K983" s="10"/>
      <c r="L983" s="12"/>
      <c r="M983" s="12"/>
      <c r="N983" s="12"/>
      <c r="O983" s="12"/>
      <c r="P983" s="12"/>
      <c r="Q983" s="12"/>
      <c r="R983" s="12"/>
      <c r="S983" s="12"/>
      <c r="T983" s="12"/>
      <c r="U983" s="12"/>
    </row>
    <row r="984" customFormat="false" ht="15" hidden="false" customHeight="false" outlineLevel="0" collapsed="false">
      <c r="A984" s="12"/>
      <c r="B984" s="61"/>
      <c r="C984" s="61"/>
      <c r="D984" s="61"/>
      <c r="E984" s="62"/>
      <c r="F984" s="61"/>
      <c r="G984" s="61"/>
      <c r="H984" s="10"/>
      <c r="I984" s="12"/>
      <c r="J984" s="63"/>
      <c r="K984" s="10"/>
      <c r="L984" s="12"/>
      <c r="M984" s="12"/>
      <c r="N984" s="12"/>
      <c r="O984" s="12"/>
      <c r="P984" s="12"/>
      <c r="Q984" s="12"/>
      <c r="R984" s="12"/>
      <c r="S984" s="12"/>
      <c r="T984" s="12"/>
      <c r="U984" s="12"/>
    </row>
    <row r="985" customFormat="false" ht="15" hidden="false" customHeight="false" outlineLevel="0" collapsed="false">
      <c r="A985" s="12"/>
      <c r="B985" s="61"/>
      <c r="C985" s="61"/>
      <c r="D985" s="61"/>
      <c r="E985" s="62"/>
      <c r="F985" s="61"/>
      <c r="G985" s="61"/>
      <c r="H985" s="10"/>
      <c r="I985" s="12"/>
      <c r="J985" s="63"/>
      <c r="K985" s="10"/>
      <c r="L985" s="12"/>
      <c r="M985" s="12"/>
      <c r="N985" s="12"/>
      <c r="O985" s="12"/>
      <c r="P985" s="12"/>
      <c r="Q985" s="12"/>
      <c r="R985" s="12"/>
      <c r="S985" s="12"/>
      <c r="T985" s="12"/>
      <c r="U985" s="12"/>
    </row>
    <row r="986" customFormat="false" ht="15" hidden="false" customHeight="false" outlineLevel="0" collapsed="false">
      <c r="A986" s="12"/>
      <c r="B986" s="61"/>
      <c r="C986" s="61"/>
      <c r="D986" s="61"/>
      <c r="E986" s="62"/>
      <c r="F986" s="61"/>
      <c r="G986" s="61"/>
      <c r="H986" s="10"/>
      <c r="I986" s="12"/>
      <c r="J986" s="63"/>
      <c r="K986" s="10"/>
      <c r="L986" s="12"/>
      <c r="M986" s="12"/>
      <c r="N986" s="12"/>
      <c r="O986" s="12"/>
      <c r="P986" s="12"/>
      <c r="Q986" s="12"/>
      <c r="R986" s="12"/>
      <c r="S986" s="12"/>
      <c r="T986" s="12"/>
      <c r="U986" s="12"/>
    </row>
    <row r="987" customFormat="false" ht="15" hidden="false" customHeight="false" outlineLevel="0" collapsed="false">
      <c r="A987" s="12"/>
      <c r="B987" s="61"/>
      <c r="C987" s="61"/>
      <c r="D987" s="61"/>
      <c r="E987" s="62"/>
      <c r="F987" s="61"/>
      <c r="G987" s="61"/>
      <c r="H987" s="10"/>
      <c r="I987" s="12"/>
      <c r="J987" s="63"/>
      <c r="K987" s="10"/>
      <c r="L987" s="12"/>
      <c r="M987" s="12"/>
      <c r="N987" s="12"/>
      <c r="O987" s="12"/>
      <c r="P987" s="12"/>
      <c r="Q987" s="12"/>
      <c r="R987" s="12"/>
      <c r="S987" s="12"/>
      <c r="T987" s="12"/>
      <c r="U987" s="12"/>
    </row>
    <row r="988" customFormat="false" ht="15" hidden="false" customHeight="false" outlineLevel="0" collapsed="false">
      <c r="A988" s="12"/>
      <c r="B988" s="61"/>
      <c r="C988" s="61"/>
      <c r="D988" s="61"/>
      <c r="E988" s="62"/>
      <c r="F988" s="61"/>
      <c r="G988" s="61"/>
      <c r="H988" s="10"/>
      <c r="I988" s="12"/>
      <c r="J988" s="63"/>
      <c r="K988" s="10"/>
      <c r="L988" s="12"/>
      <c r="M988" s="12"/>
      <c r="N988" s="12"/>
      <c r="O988" s="12"/>
      <c r="P988" s="12"/>
      <c r="Q988" s="12"/>
      <c r="R988" s="12"/>
      <c r="S988" s="12"/>
      <c r="T988" s="12"/>
      <c r="U988" s="12"/>
    </row>
    <row r="989" customFormat="false" ht="15" hidden="false" customHeight="false" outlineLevel="0" collapsed="false">
      <c r="A989" s="12"/>
      <c r="B989" s="61"/>
      <c r="C989" s="61"/>
      <c r="D989" s="61"/>
      <c r="E989" s="62"/>
      <c r="F989" s="61"/>
      <c r="G989" s="61"/>
      <c r="H989" s="10"/>
      <c r="I989" s="12"/>
      <c r="J989" s="63"/>
      <c r="K989" s="10"/>
      <c r="L989" s="12"/>
      <c r="M989" s="12"/>
      <c r="N989" s="12"/>
      <c r="O989" s="12"/>
      <c r="P989" s="12"/>
      <c r="Q989" s="12"/>
      <c r="R989" s="12"/>
      <c r="S989" s="12"/>
      <c r="T989" s="12"/>
      <c r="U989" s="12"/>
    </row>
    <row r="990" customFormat="false" ht="15" hidden="false" customHeight="false" outlineLevel="0" collapsed="false">
      <c r="A990" s="12"/>
      <c r="B990" s="61"/>
      <c r="C990" s="61"/>
      <c r="D990" s="61"/>
      <c r="E990" s="62"/>
      <c r="F990" s="61"/>
      <c r="G990" s="61"/>
      <c r="H990" s="10"/>
      <c r="I990" s="12"/>
      <c r="J990" s="63"/>
      <c r="K990" s="10"/>
      <c r="L990" s="12"/>
      <c r="M990" s="12"/>
      <c r="N990" s="12"/>
      <c r="O990" s="12"/>
      <c r="P990" s="12"/>
      <c r="Q990" s="12"/>
      <c r="R990" s="12"/>
      <c r="S990" s="12"/>
      <c r="T990" s="12"/>
      <c r="U990" s="12"/>
    </row>
    <row r="991" customFormat="false" ht="15" hidden="false" customHeight="false" outlineLevel="0" collapsed="false">
      <c r="A991" s="12"/>
      <c r="B991" s="61"/>
      <c r="C991" s="61"/>
      <c r="D991" s="61"/>
      <c r="E991" s="62"/>
      <c r="F991" s="61"/>
      <c r="G991" s="61"/>
      <c r="H991" s="10"/>
      <c r="I991" s="12"/>
      <c r="J991" s="63"/>
      <c r="K991" s="10"/>
      <c r="L991" s="12"/>
      <c r="M991" s="12"/>
      <c r="N991" s="12"/>
      <c r="O991" s="12"/>
      <c r="P991" s="12"/>
      <c r="Q991" s="12"/>
      <c r="R991" s="12"/>
      <c r="S991" s="12"/>
      <c r="T991" s="12"/>
      <c r="U991" s="12"/>
    </row>
    <row r="992" customFormat="false" ht="15" hidden="false" customHeight="false" outlineLevel="0" collapsed="false">
      <c r="A992" s="12"/>
      <c r="B992" s="61"/>
      <c r="C992" s="61"/>
      <c r="D992" s="61"/>
      <c r="E992" s="62"/>
      <c r="F992" s="61"/>
      <c r="G992" s="61"/>
      <c r="H992" s="10"/>
      <c r="I992" s="12"/>
      <c r="J992" s="63"/>
      <c r="K992" s="10"/>
      <c r="L992" s="12"/>
      <c r="M992" s="12"/>
      <c r="N992" s="12"/>
      <c r="O992" s="12"/>
      <c r="P992" s="12"/>
      <c r="Q992" s="12"/>
      <c r="R992" s="12"/>
      <c r="S992" s="12"/>
      <c r="T992" s="12"/>
      <c r="U992" s="12"/>
    </row>
    <row r="993" customFormat="false" ht="15" hidden="false" customHeight="false" outlineLevel="0" collapsed="false">
      <c r="A993" s="12"/>
      <c r="B993" s="61"/>
      <c r="C993" s="61"/>
      <c r="D993" s="61"/>
      <c r="E993" s="62"/>
      <c r="F993" s="61"/>
      <c r="G993" s="61"/>
      <c r="H993" s="10"/>
      <c r="I993" s="12"/>
      <c r="J993" s="63"/>
      <c r="K993" s="10"/>
      <c r="L993" s="12"/>
      <c r="M993" s="12"/>
      <c r="N993" s="12"/>
      <c r="O993" s="12"/>
      <c r="P993" s="12"/>
      <c r="Q993" s="12"/>
      <c r="R993" s="12"/>
      <c r="S993" s="12"/>
      <c r="T993" s="12"/>
      <c r="U993" s="12"/>
    </row>
    <row r="994" customFormat="false" ht="15" hidden="false" customHeight="false" outlineLevel="0" collapsed="false">
      <c r="A994" s="12"/>
      <c r="B994" s="61"/>
      <c r="C994" s="61"/>
      <c r="D994" s="61"/>
      <c r="E994" s="62"/>
      <c r="F994" s="61"/>
      <c r="G994" s="61"/>
      <c r="H994" s="10"/>
      <c r="I994" s="12"/>
      <c r="J994" s="63"/>
      <c r="K994" s="10"/>
      <c r="L994" s="12"/>
      <c r="M994" s="12"/>
      <c r="N994" s="12"/>
      <c r="O994" s="12"/>
      <c r="P994" s="12"/>
      <c r="Q994" s="12"/>
      <c r="R994" s="12"/>
      <c r="S994" s="12"/>
      <c r="T994" s="12"/>
      <c r="U994" s="12"/>
    </row>
    <row r="995" customFormat="false" ht="15" hidden="false" customHeight="false" outlineLevel="0" collapsed="false">
      <c r="A995" s="12"/>
      <c r="B995" s="61"/>
      <c r="C995" s="61"/>
      <c r="D995" s="61"/>
      <c r="E995" s="62"/>
      <c r="F995" s="61"/>
      <c r="G995" s="61"/>
      <c r="H995" s="10"/>
      <c r="I995" s="12"/>
      <c r="J995" s="63"/>
      <c r="K995" s="10"/>
      <c r="L995" s="12"/>
      <c r="M995" s="12"/>
      <c r="N995" s="12"/>
      <c r="O995" s="12"/>
      <c r="P995" s="12"/>
      <c r="Q995" s="12"/>
      <c r="R995" s="12"/>
      <c r="S995" s="12"/>
      <c r="T995" s="12"/>
      <c r="U995" s="12"/>
    </row>
    <row r="996" customFormat="false" ht="15" hidden="false" customHeight="false" outlineLevel="0" collapsed="false">
      <c r="A996" s="12"/>
      <c r="B996" s="61"/>
      <c r="C996" s="61"/>
      <c r="D996" s="61"/>
      <c r="E996" s="62"/>
      <c r="F996" s="61"/>
      <c r="G996" s="61"/>
      <c r="H996" s="10"/>
      <c r="I996" s="12"/>
      <c r="J996" s="63"/>
      <c r="K996" s="10"/>
      <c r="L996" s="12"/>
      <c r="M996" s="12"/>
      <c r="N996" s="12"/>
      <c r="O996" s="12"/>
      <c r="P996" s="12"/>
      <c r="Q996" s="12"/>
      <c r="R996" s="12"/>
      <c r="S996" s="12"/>
      <c r="T996" s="12"/>
      <c r="U996" s="12"/>
    </row>
    <row r="997" customFormat="false" ht="15" hidden="false" customHeight="false" outlineLevel="0" collapsed="false">
      <c r="A997" s="12"/>
      <c r="B997" s="61"/>
      <c r="C997" s="61"/>
      <c r="D997" s="61"/>
      <c r="E997" s="62"/>
      <c r="F997" s="61"/>
      <c r="G997" s="61"/>
      <c r="H997" s="10"/>
      <c r="I997" s="12"/>
      <c r="J997" s="63"/>
      <c r="K997" s="10"/>
      <c r="L997" s="12"/>
      <c r="M997" s="12"/>
      <c r="N997" s="12"/>
      <c r="O997" s="12"/>
      <c r="P997" s="12"/>
      <c r="Q997" s="12"/>
      <c r="R997" s="12"/>
      <c r="S997" s="12"/>
      <c r="T997" s="12"/>
      <c r="U997" s="12"/>
    </row>
    <row r="998" customFormat="false" ht="15" hidden="false" customHeight="false" outlineLevel="0" collapsed="false">
      <c r="A998" s="12"/>
      <c r="B998" s="61"/>
      <c r="C998" s="61"/>
      <c r="D998" s="61"/>
      <c r="E998" s="62"/>
      <c r="F998" s="61"/>
      <c r="G998" s="61"/>
      <c r="H998" s="10"/>
      <c r="I998" s="12"/>
      <c r="J998" s="63"/>
      <c r="K998" s="10"/>
      <c r="L998" s="12"/>
      <c r="M998" s="12"/>
      <c r="N998" s="12"/>
      <c r="O998" s="12"/>
      <c r="P998" s="12"/>
      <c r="Q998" s="12"/>
      <c r="R998" s="12"/>
      <c r="S998" s="12"/>
      <c r="T998" s="12"/>
      <c r="U998" s="12"/>
    </row>
    <row r="999" customFormat="false" ht="15" hidden="false" customHeight="false" outlineLevel="0" collapsed="false">
      <c r="A999" s="12"/>
      <c r="B999" s="61"/>
      <c r="C999" s="61"/>
      <c r="D999" s="61"/>
      <c r="E999" s="62"/>
      <c r="F999" s="61"/>
      <c r="G999" s="61"/>
      <c r="H999" s="10"/>
      <c r="I999" s="12"/>
      <c r="J999" s="63"/>
      <c r="K999" s="10"/>
      <c r="L999" s="12"/>
      <c r="M999" s="12"/>
      <c r="N999" s="12"/>
      <c r="O999" s="12"/>
      <c r="P999" s="12"/>
      <c r="Q999" s="12"/>
      <c r="R999" s="12"/>
      <c r="S999" s="12"/>
      <c r="T999" s="12"/>
      <c r="U999" s="12"/>
    </row>
    <row r="1000" customFormat="false" ht="15" hidden="false" customHeight="false" outlineLevel="0" collapsed="false">
      <c r="A1000" s="12"/>
      <c r="B1000" s="61"/>
      <c r="C1000" s="61"/>
      <c r="D1000" s="61"/>
      <c r="E1000" s="62"/>
      <c r="F1000" s="61"/>
      <c r="G1000" s="61"/>
      <c r="H1000" s="10"/>
      <c r="I1000" s="12"/>
      <c r="J1000" s="63"/>
      <c r="K1000" s="10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</row>
    <row r="1001" customFormat="false" ht="15" hidden="false" customHeight="false" outlineLevel="0" collapsed="false">
      <c r="A1001" s="12"/>
      <c r="B1001" s="61"/>
      <c r="C1001" s="61"/>
      <c r="D1001" s="61"/>
      <c r="E1001" s="62"/>
      <c r="F1001" s="61"/>
      <c r="G1001" s="61"/>
      <c r="H1001" s="10"/>
      <c r="J1001" s="64"/>
      <c r="K1001" s="10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</row>
    <row r="1002" customFormat="false" ht="15" hidden="false" customHeight="false" outlineLevel="0" collapsed="false">
      <c r="A1002" s="12"/>
      <c r="B1002" s="61"/>
      <c r="C1002" s="61"/>
      <c r="D1002" s="61"/>
      <c r="E1002" s="62"/>
      <c r="F1002" s="61"/>
      <c r="G1002" s="61"/>
      <c r="H1002" s="10"/>
      <c r="J1002" s="64"/>
      <c r="K1002" s="10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</row>
    <row r="1003" customFormat="false" ht="15" hidden="false" customHeight="false" outlineLevel="0" collapsed="false">
      <c r="A1003" s="12"/>
      <c r="B1003" s="61"/>
      <c r="C1003" s="61"/>
      <c r="D1003" s="61"/>
      <c r="E1003" s="62"/>
      <c r="F1003" s="61"/>
      <c r="G1003" s="61"/>
      <c r="H1003" s="10"/>
      <c r="J1003" s="64"/>
      <c r="K1003" s="10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</row>
    <row r="1004" customFormat="false" ht="15" hidden="false" customHeight="false" outlineLevel="0" collapsed="false">
      <c r="A1004" s="12"/>
      <c r="B1004" s="61"/>
      <c r="C1004" s="61"/>
      <c r="D1004" s="61"/>
      <c r="E1004" s="62"/>
      <c r="F1004" s="61"/>
      <c r="G1004" s="61"/>
      <c r="H1004" s="10"/>
      <c r="J1004" s="64"/>
      <c r="K1004" s="10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</row>
    <row r="1005" customFormat="false" ht="15" hidden="false" customHeight="false" outlineLevel="0" collapsed="false">
      <c r="A1005" s="12"/>
      <c r="B1005" s="61"/>
      <c r="C1005" s="61"/>
      <c r="D1005" s="61"/>
      <c r="E1005" s="62"/>
      <c r="F1005" s="61"/>
      <c r="G1005" s="61"/>
      <c r="H1005" s="10"/>
      <c r="J1005" s="64"/>
      <c r="K1005" s="10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</row>
    <row r="1006" customFormat="false" ht="15" hidden="false" customHeight="false" outlineLevel="0" collapsed="false">
      <c r="A1006" s="12"/>
      <c r="B1006" s="61"/>
      <c r="C1006" s="61"/>
      <c r="D1006" s="61"/>
      <c r="E1006" s="62"/>
      <c r="F1006" s="61"/>
      <c r="G1006" s="61"/>
      <c r="H1006" s="10"/>
      <c r="J1006" s="64"/>
      <c r="K1006" s="10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</row>
    <row r="1007" customFormat="false" ht="15" hidden="false" customHeight="false" outlineLevel="0" collapsed="false">
      <c r="A1007" s="12"/>
      <c r="B1007" s="61"/>
      <c r="C1007" s="61"/>
      <c r="D1007" s="61"/>
      <c r="E1007" s="62"/>
      <c r="F1007" s="61"/>
      <c r="G1007" s="61"/>
      <c r="H1007" s="10"/>
      <c r="J1007" s="64"/>
      <c r="K1007" s="10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</row>
    <row r="1008" customFormat="false" ht="15" hidden="false" customHeight="false" outlineLevel="0" collapsed="false">
      <c r="A1008" s="12"/>
      <c r="B1008" s="61"/>
      <c r="C1008" s="61"/>
      <c r="D1008" s="61"/>
      <c r="E1008" s="62"/>
      <c r="F1008" s="61"/>
      <c r="G1008" s="61"/>
      <c r="H1008" s="10"/>
      <c r="J1008" s="64"/>
      <c r="K1008" s="10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</row>
    <row r="1009" customFormat="false" ht="15" hidden="false" customHeight="false" outlineLevel="0" collapsed="false">
      <c r="A1009" s="12"/>
      <c r="B1009" s="61"/>
      <c r="C1009" s="61"/>
      <c r="D1009" s="61"/>
      <c r="E1009" s="62"/>
      <c r="F1009" s="61"/>
      <c r="G1009" s="61"/>
      <c r="H1009" s="10"/>
      <c r="J1009" s="64"/>
      <c r="K1009" s="10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</row>
    <row r="1010" customFormat="false" ht="15" hidden="false" customHeight="false" outlineLevel="0" collapsed="false">
      <c r="A1010" s="12"/>
      <c r="B1010" s="61"/>
      <c r="C1010" s="61"/>
      <c r="D1010" s="61"/>
      <c r="E1010" s="62"/>
      <c r="F1010" s="61"/>
      <c r="G1010" s="61"/>
      <c r="H1010" s="10"/>
      <c r="K1010" s="10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</row>
    <row r="1011" customFormat="false" ht="15" hidden="false" customHeight="false" outlineLevel="0" collapsed="false">
      <c r="A1011" s="12"/>
      <c r="B1011" s="61"/>
      <c r="C1011" s="61"/>
      <c r="D1011" s="61"/>
      <c r="E1011" s="62"/>
      <c r="F1011" s="61"/>
      <c r="G1011" s="61"/>
      <c r="H1011" s="10"/>
      <c r="K1011" s="10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</row>
    <row r="1012" customFormat="false" ht="15" hidden="false" customHeight="false" outlineLevel="0" collapsed="false">
      <c r="A1012" s="12"/>
      <c r="B1012" s="61"/>
      <c r="C1012" s="61"/>
      <c r="D1012" s="61"/>
      <c r="E1012" s="62"/>
      <c r="F1012" s="61"/>
      <c r="G1012" s="61"/>
      <c r="H1012" s="10"/>
      <c r="K1012" s="10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</row>
    <row r="1013" customFormat="false" ht="15" hidden="false" customHeight="false" outlineLevel="0" collapsed="false">
      <c r="A1013" s="12"/>
      <c r="B1013" s="61"/>
      <c r="C1013" s="61"/>
      <c r="D1013" s="61"/>
      <c r="E1013" s="62"/>
      <c r="F1013" s="61"/>
      <c r="G1013" s="61"/>
      <c r="H1013" s="10"/>
      <c r="K1013" s="10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</row>
    <row r="1014" customFormat="false" ht="15" hidden="false" customHeight="false" outlineLevel="0" collapsed="false">
      <c r="A1014" s="12"/>
      <c r="B1014" s="61"/>
      <c r="C1014" s="61"/>
      <c r="D1014" s="61"/>
      <c r="E1014" s="62"/>
      <c r="F1014" s="61"/>
      <c r="G1014" s="61"/>
      <c r="H1014" s="10"/>
      <c r="K1014" s="10"/>
      <c r="L1014" s="12"/>
      <c r="N1014" s="12"/>
      <c r="O1014" s="12"/>
      <c r="P1014" s="12"/>
      <c r="Q1014" s="12"/>
      <c r="R1014" s="12"/>
      <c r="S1014" s="12"/>
      <c r="T1014" s="12"/>
      <c r="U1014" s="12"/>
    </row>
    <row r="1015" customFormat="false" ht="15" hidden="false" customHeight="false" outlineLevel="0" collapsed="false">
      <c r="A1015" s="12"/>
      <c r="B1015" s="61"/>
      <c r="C1015" s="61"/>
      <c r="D1015" s="61"/>
      <c r="E1015" s="62"/>
      <c r="F1015" s="61"/>
      <c r="G1015" s="61"/>
      <c r="H1015" s="10"/>
      <c r="K1015" s="10"/>
      <c r="L1015" s="12"/>
      <c r="N1015" s="12"/>
      <c r="O1015" s="12"/>
      <c r="P1015" s="12"/>
      <c r="Q1015" s="12"/>
      <c r="R1015" s="12"/>
      <c r="S1015" s="12"/>
      <c r="T1015" s="12"/>
      <c r="U1015" s="12"/>
    </row>
    <row r="1016" customFormat="false" ht="15" hidden="false" customHeight="false" outlineLevel="0" collapsed="false">
      <c r="A1016" s="12"/>
      <c r="B1016" s="61"/>
      <c r="C1016" s="61"/>
      <c r="D1016" s="61"/>
      <c r="E1016" s="62"/>
      <c r="F1016" s="61"/>
      <c r="G1016" s="61"/>
      <c r="H1016" s="10"/>
      <c r="K1016" s="10"/>
      <c r="L1016" s="12"/>
      <c r="N1016" s="12"/>
      <c r="O1016" s="12"/>
      <c r="P1016" s="12"/>
      <c r="Q1016" s="12"/>
      <c r="R1016" s="12"/>
      <c r="S1016" s="12"/>
      <c r="T1016" s="12"/>
      <c r="U1016" s="12"/>
    </row>
    <row r="1017" customFormat="false" ht="15" hidden="false" customHeight="false" outlineLevel="0" collapsed="false">
      <c r="A1017" s="12"/>
      <c r="B1017" s="61"/>
      <c r="C1017" s="61"/>
      <c r="D1017" s="61"/>
      <c r="E1017" s="62"/>
      <c r="F1017" s="61"/>
      <c r="G1017" s="61"/>
      <c r="H1017" s="10"/>
      <c r="K1017" s="10"/>
      <c r="L1017" s="12"/>
      <c r="N1017" s="12"/>
      <c r="O1017" s="12"/>
      <c r="P1017" s="12"/>
      <c r="Q1017" s="12"/>
      <c r="R1017" s="12"/>
      <c r="S1017" s="12"/>
      <c r="T1017" s="12"/>
      <c r="U1017" s="12"/>
    </row>
    <row r="1018" customFormat="false" ht="15" hidden="false" customHeight="false" outlineLevel="0" collapsed="false">
      <c r="A1018" s="12"/>
      <c r="B1018" s="61"/>
      <c r="C1018" s="61"/>
      <c r="D1018" s="61"/>
      <c r="E1018" s="62"/>
      <c r="F1018" s="61"/>
      <c r="G1018" s="61"/>
      <c r="H1018" s="10"/>
      <c r="K1018" s="10"/>
      <c r="L1018" s="12"/>
      <c r="N1018" s="12"/>
      <c r="O1018" s="12"/>
      <c r="P1018" s="12"/>
      <c r="Q1018" s="12"/>
      <c r="R1018" s="12"/>
      <c r="S1018" s="12"/>
      <c r="T1018" s="12"/>
      <c r="U1018" s="12"/>
    </row>
    <row r="1019" customFormat="false" ht="15" hidden="false" customHeight="false" outlineLevel="0" collapsed="false">
      <c r="A1019" s="12"/>
      <c r="B1019" s="61"/>
      <c r="C1019" s="61"/>
      <c r="D1019" s="61"/>
      <c r="E1019" s="62"/>
      <c r="F1019" s="61"/>
      <c r="G1019" s="61"/>
      <c r="H1019" s="10"/>
      <c r="K1019" s="10"/>
      <c r="L1019" s="12"/>
      <c r="N1019" s="12"/>
      <c r="O1019" s="12"/>
      <c r="P1019" s="12"/>
      <c r="Q1019" s="12"/>
      <c r="R1019" s="12"/>
      <c r="S1019" s="12"/>
      <c r="T1019" s="12"/>
      <c r="U1019" s="12"/>
    </row>
  </sheetData>
  <mergeCells count="16">
    <mergeCell ref="A1:G1"/>
    <mergeCell ref="I1:J1"/>
    <mergeCell ref="L1:M1"/>
    <mergeCell ref="I25:J25"/>
    <mergeCell ref="A39:G39"/>
    <mergeCell ref="I41:J41"/>
    <mergeCell ref="I51:J51"/>
    <mergeCell ref="A54:G54"/>
    <mergeCell ref="I58:J58"/>
    <mergeCell ref="A61:G61"/>
    <mergeCell ref="I80:J80"/>
    <mergeCell ref="I88:J88"/>
    <mergeCell ref="A92:G92"/>
    <mergeCell ref="I95:J95"/>
    <mergeCell ref="I172:J172"/>
    <mergeCell ref="I187:J18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Q9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88.29"/>
    <col collapsed="false" customWidth="true" hidden="false" outlineLevel="0" max="4" min="4" style="0" width="23"/>
    <col collapsed="false" customWidth="true" hidden="false" outlineLevel="0" max="6" min="6" style="0" width="35"/>
    <col collapsed="false" customWidth="true" hidden="false" outlineLevel="0" max="7" min="7" style="0" width="5.86"/>
    <col collapsed="false" customWidth="true" hidden="false" outlineLevel="0" max="8" min="8" style="0" width="55.15"/>
    <col collapsed="false" customWidth="true" hidden="false" outlineLevel="0" max="9" min="9" style="0" width="25"/>
    <col collapsed="false" customWidth="true" hidden="false" outlineLevel="0" max="10" min="10" style="0" width="34.86"/>
    <col collapsed="false" customWidth="true" hidden="false" outlineLevel="0" max="11" min="11" style="0" width="18.29"/>
  </cols>
  <sheetData>
    <row r="1" customFormat="false" ht="17.35" hidden="false" customHeight="false" outlineLevel="0" collapsed="false">
      <c r="A1" s="65" t="s">
        <v>14</v>
      </c>
      <c r="B1" s="66"/>
      <c r="C1" s="67"/>
      <c r="D1" s="65"/>
      <c r="E1" s="68"/>
      <c r="F1" s="69"/>
      <c r="K1" s="70"/>
    </row>
    <row r="2" customFormat="false" ht="20.25" hidden="false" customHeight="true" outlineLevel="0" collapsed="false">
      <c r="A2" s="71" t="s">
        <v>15</v>
      </c>
      <c r="B2" s="72" t="s">
        <v>16</v>
      </c>
      <c r="C2" s="73" t="s">
        <v>17</v>
      </c>
      <c r="D2" s="71" t="s">
        <v>18</v>
      </c>
      <c r="E2" s="74" t="s">
        <v>19</v>
      </c>
      <c r="F2" s="69"/>
      <c r="H2" s="75" t="s">
        <v>20</v>
      </c>
      <c r="I2" s="75"/>
      <c r="J2" s="75"/>
      <c r="K2" s="75"/>
      <c r="M2" s="64" t="s">
        <v>21</v>
      </c>
      <c r="O2" s="76" t="s">
        <v>22</v>
      </c>
      <c r="P2" s="76"/>
      <c r="Q2" s="64"/>
    </row>
    <row r="3" customFormat="false" ht="17.35" hidden="false" customHeight="false" outlineLevel="0" collapsed="false">
      <c r="A3" s="77" t="s">
        <v>23</v>
      </c>
      <c r="B3" s="78"/>
      <c r="C3" s="79"/>
      <c r="D3" s="80"/>
      <c r="E3" s="81"/>
      <c r="F3" s="69"/>
      <c r="H3" s="82"/>
      <c r="I3" s="83" t="s">
        <v>24</v>
      </c>
      <c r="J3" s="83" t="s">
        <v>25</v>
      </c>
      <c r="K3" s="84" t="s">
        <v>26</v>
      </c>
      <c r="M3" s="64" t="n">
        <f aca="false">SUM(O3/1000*P3/1000)*5/100</f>
        <v>0.08873925</v>
      </c>
      <c r="N3" s="6" t="s">
        <v>27</v>
      </c>
      <c r="O3" s="64" t="n">
        <f aca="false">Квартирная!B10-67</f>
        <v>1983</v>
      </c>
      <c r="P3" s="64" t="n">
        <f aca="false">Квартирная!B11-65</f>
        <v>895</v>
      </c>
      <c r="Q3" s="64"/>
    </row>
    <row r="4" customFormat="false" ht="17.35" hidden="false" customHeight="false" outlineLevel="0" collapsed="false">
      <c r="A4" s="85" t="s">
        <v>28</v>
      </c>
      <c r="B4" s="86" t="s">
        <v>29</v>
      </c>
      <c r="C4" s="87" t="n">
        <f aca="false">ifs( AND(Квартирная!B10 &lt;= 2050, Квартирная!B11 &lt;= 960), 43.175, AND(Квартирная!B10 &lt;= 2050, Квартирная!B11 &gt; 960, Квартирная!B11 &lt;= 1050), 47.4925, AND(Квартирная!B10 &gt; 2050, Квартирная!B10 &lt;= 2130, Квартирная!B11 &lt;= 1050), 47.4925, Квартирная!B10 &gt; 2130, 49.06 )</f>
        <v>43.175</v>
      </c>
      <c r="D4" s="88" t="n">
        <f aca="false">Управление!G3</f>
        <v>84</v>
      </c>
      <c r="E4" s="89" t="n">
        <f aca="false">D4*C4</f>
        <v>3626.7</v>
      </c>
      <c r="F4" s="90"/>
      <c r="G4" s="91"/>
      <c r="H4" s="92" t="s">
        <v>30</v>
      </c>
      <c r="I4" s="93" t="n">
        <f aca="false">SUM(E6+E7+E8+E9+E11+E13+E38+E39+E42+E45+E46+E47+E48+E49+E52+E53+E54+E56+E57+E58+E59+E61+E62+E63+E64+E65+E66+E67+E68+E70+E71+E72+E73)</f>
        <v>4360.50042</v>
      </c>
      <c r="J4" s="94" t="n">
        <f aca="false">IF(Квартирная!B14=Конструктивы!B2,1,0)</f>
        <v>0</v>
      </c>
      <c r="K4" s="93" t="n">
        <f aca="false">J4*I4</f>
        <v>0</v>
      </c>
      <c r="L4" s="91"/>
      <c r="M4" s="95" t="n">
        <f aca="false">SUM(O4/1000*P4/1000)*3/100</f>
        <v>0.04799808</v>
      </c>
      <c r="N4" s="96" t="s">
        <v>31</v>
      </c>
      <c r="O4" s="95" t="n">
        <f aca="false">Квартирная!B10-127</f>
        <v>1923</v>
      </c>
      <c r="P4" s="95" t="n">
        <f aca="false">Квартирная!B11-128</f>
        <v>832</v>
      </c>
      <c r="Q4" s="95"/>
    </row>
    <row r="5" customFormat="false" ht="17.35" hidden="false" customHeight="false" outlineLevel="0" collapsed="false">
      <c r="A5" s="85" t="s">
        <v>32</v>
      </c>
      <c r="B5" s="86" t="s">
        <v>29</v>
      </c>
      <c r="C5" s="88" t="n">
        <f aca="false">IF(Квартирная!B10&gt;=2120,6.91,4.8)</f>
        <v>4.8</v>
      </c>
      <c r="D5" s="88" t="n">
        <f aca="false">Управление!G3</f>
        <v>84</v>
      </c>
      <c r="E5" s="89" t="n">
        <f aca="false">D5*C5</f>
        <v>403.2</v>
      </c>
      <c r="F5" s="90" t="str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отделка'!E3),"Металл","МДФ")</f>
        <v>МДФ</v>
      </c>
      <c r="G5" s="91"/>
      <c r="H5" s="92" t="s">
        <v>33</v>
      </c>
      <c r="I5" s="93" t="n">
        <f aca="false">SUM(E4+E5+E40+E41+E44+E60)</f>
        <v>4557.88688</v>
      </c>
      <c r="J5" s="94" t="n">
        <f aca="false">IF(Квартирная!B14=Конструктивы!B2,1,0)</f>
        <v>0</v>
      </c>
      <c r="K5" s="93" t="n">
        <f aca="false">J5*I5</f>
        <v>0</v>
      </c>
      <c r="L5" s="91"/>
      <c r="M5" s="91"/>
      <c r="N5" s="91"/>
      <c r="O5" s="95"/>
      <c r="P5" s="95"/>
      <c r="Q5" s="95"/>
    </row>
    <row r="6" customFormat="false" ht="17.35" hidden="false" customHeight="false" outlineLevel="0" collapsed="false">
      <c r="A6" s="97" t="s">
        <v>34</v>
      </c>
      <c r="B6" s="98" t="s">
        <v>35</v>
      </c>
      <c r="C6" s="99" t="n">
        <v>3</v>
      </c>
      <c r="D6" s="100" t="n">
        <f aca="false">Управление!G4</f>
        <v>49</v>
      </c>
      <c r="E6" s="89" t="n">
        <f aca="false">D6*C6</f>
        <v>147</v>
      </c>
      <c r="F6" s="69" t="str">
        <f aca="false">IF(OR(Квартирная!B19='Наружная отделка'!C3,Квартирная!B19='Наружная отделка'!D3,Квартирная!B19='Наружная отделка'!E3),"Металл отделка","Не удалять")</f>
        <v>Не удалять</v>
      </c>
      <c r="H6" s="101" t="s">
        <v>36</v>
      </c>
      <c r="I6" s="102" t="n">
        <f aca="false">IF(Квартирная!B19="Verso",0,SUM(E14:E36))</f>
        <v>966</v>
      </c>
      <c r="J6" s="103" t="n">
        <f aca="false">IF(Квартирная!B14=Конструктивы!B2,1,0)</f>
        <v>0</v>
      </c>
      <c r="K6" s="93" t="n">
        <f aca="false">J6*I6</f>
        <v>0</v>
      </c>
      <c r="O6" s="64"/>
      <c r="P6" s="64"/>
      <c r="Q6" s="64"/>
    </row>
    <row r="7" customFormat="false" ht="17.35" hidden="false" customHeight="false" outlineLevel="0" collapsed="false">
      <c r="A7" s="97" t="s">
        <v>37</v>
      </c>
      <c r="B7" s="98" t="s">
        <v>35</v>
      </c>
      <c r="C7" s="99" t="n">
        <v>4</v>
      </c>
      <c r="D7" s="100" t="n">
        <f aca="false">Управление!B5</f>
        <v>0.65</v>
      </c>
      <c r="E7" s="89" t="n">
        <f aca="false">D7*C7</f>
        <v>2.6</v>
      </c>
      <c r="F7" s="69"/>
      <c r="H7" s="92" t="s">
        <v>38</v>
      </c>
      <c r="I7" s="93" t="n">
        <f aca="false">SUM(E75+E76)</f>
        <v>0</v>
      </c>
      <c r="J7" s="94" t="n">
        <f aca="false">IF(Квартирная!B14=Конструктивы!B2,1,0)</f>
        <v>0</v>
      </c>
      <c r="K7" s="93" t="n">
        <f aca="false">J7*I7</f>
        <v>0</v>
      </c>
      <c r="O7" s="64"/>
      <c r="P7" s="64"/>
      <c r="Q7" s="64"/>
    </row>
    <row r="8" customFormat="false" ht="17.35" hidden="false" customHeight="false" outlineLevel="0" collapsed="false">
      <c r="A8" s="104" t="s">
        <v>39</v>
      </c>
      <c r="B8" s="105" t="s">
        <v>29</v>
      </c>
      <c r="C8" s="106" t="n">
        <v>0.4</v>
      </c>
      <c r="D8" s="107" t="n">
        <f aca="false">Управление!G6</f>
        <v>130</v>
      </c>
      <c r="E8" s="89" t="n">
        <f aca="false">D8*C8</f>
        <v>52</v>
      </c>
      <c r="F8" s="69"/>
      <c r="H8" s="101" t="s">
        <v>40</v>
      </c>
      <c r="I8" s="102" t="n">
        <f aca="false">SUM(E78+E79)</f>
        <v>24.4</v>
      </c>
      <c r="J8" s="103" t="n">
        <f aca="false">IF(Квартирная!B14=Конструктивы!B2,1,0)</f>
        <v>0</v>
      </c>
      <c r="K8" s="93" t="n">
        <f aca="false">J8*I8</f>
        <v>0</v>
      </c>
      <c r="O8" s="64"/>
      <c r="P8" s="64"/>
      <c r="Q8" s="64"/>
    </row>
    <row r="9" customFormat="false" ht="17.35" hidden="false" customHeight="false" outlineLevel="0" collapsed="false">
      <c r="A9" s="104" t="s">
        <v>41</v>
      </c>
      <c r="B9" s="105" t="s">
        <v>35</v>
      </c>
      <c r="C9" s="106" t="n">
        <v>3</v>
      </c>
      <c r="D9" s="107" t="n">
        <f aca="false">Управление!B7</f>
        <v>3.8</v>
      </c>
      <c r="E9" s="89" t="n">
        <f aca="false">D9*C9</f>
        <v>11.4</v>
      </c>
      <c r="F9" s="69"/>
      <c r="H9" s="101" t="s">
        <v>42</v>
      </c>
      <c r="I9" s="102" t="n">
        <f aca="false">SUM(E81:E92,E94:E99,E101:E106)</f>
        <v>650</v>
      </c>
      <c r="J9" s="103" t="n">
        <f aca="false">IF(Квартирная!B14=Конструктивы!B2,1,0)</f>
        <v>0</v>
      </c>
      <c r="K9" s="93" t="n">
        <f aca="false">J9*I9</f>
        <v>0</v>
      </c>
      <c r="L9" s="6" t="n">
        <v>1538</v>
      </c>
      <c r="O9" s="64"/>
      <c r="P9" s="64"/>
      <c r="Q9" s="64"/>
    </row>
    <row r="10" customFormat="false" ht="17.35" hidden="false" customHeight="false" outlineLevel="0" collapsed="false">
      <c r="A10" s="77" t="s">
        <v>43</v>
      </c>
      <c r="B10" s="78"/>
      <c r="C10" s="79"/>
      <c r="D10" s="80"/>
      <c r="E10" s="81"/>
      <c r="F10" s="69" t="s">
        <v>44</v>
      </c>
      <c r="H10" s="101" t="s">
        <v>45</v>
      </c>
      <c r="I10" s="102" t="n">
        <f aca="false">SUM(E109:E114,E116:E136,E138:E158,E160:E166,E168:E173)</f>
        <v>820</v>
      </c>
      <c r="J10" s="103" t="n">
        <f aca="false">IF(Квартирная!B14=Конструктивы!B2,1,0)</f>
        <v>0</v>
      </c>
      <c r="K10" s="93" t="n">
        <f aca="false">J10*I10</f>
        <v>0</v>
      </c>
      <c r="O10" s="64"/>
      <c r="P10" s="64"/>
      <c r="Q10" s="64"/>
    </row>
    <row r="11" customFormat="false" ht="17.35" hidden="false" customHeight="false" outlineLevel="0" collapsed="false">
      <c r="A11" s="97" t="s">
        <v>46</v>
      </c>
      <c r="B11" s="98" t="s">
        <v>35</v>
      </c>
      <c r="C11" s="99" t="n">
        <v>1</v>
      </c>
      <c r="D11" s="100" t="n">
        <f aca="false">Управление!B8</f>
        <v>1.6</v>
      </c>
      <c r="E11" s="89" t="n">
        <f aca="false">D11*C11</f>
        <v>1.6</v>
      </c>
      <c r="F11" s="69" t="str">
        <f aca="false">IF(Квартирная!B10&lt;=2050,"Стандарт","Нестандарт")</f>
        <v>Стандарт</v>
      </c>
      <c r="H11" s="108" t="str">
        <f aca="false">CONCATENATE("Наружная МДФ-панель"," ", Comfort!O3, "х" , Comfort!P3 )</f>
        <v>Наружная МДФ-панель 1983х895</v>
      </c>
      <c r="I11" s="102" t="n">
        <f aca="false">SUM(E239:E248)</f>
        <v>3664.283478</v>
      </c>
      <c r="J11" s="103" t="n">
        <f aca="false">IF(Квартирная!B14=Конструктивы!B2,1,0)</f>
        <v>0</v>
      </c>
      <c r="K11" s="93" t="n">
        <f aca="false">J11*I11</f>
        <v>0</v>
      </c>
      <c r="O11" s="64"/>
      <c r="P11" s="64"/>
      <c r="Q11" s="64"/>
    </row>
    <row r="12" customFormat="false" ht="17.35" hidden="false" customHeight="false" outlineLevel="0" collapsed="false">
      <c r="A12" s="77" t="s">
        <v>47</v>
      </c>
      <c r="B12" s="78"/>
      <c r="C12" s="79"/>
      <c r="D12" s="80"/>
      <c r="E12" s="81"/>
      <c r="F12" s="69" t="str">
        <f aca="false">IF(Квартирная!B11&lt;=960,"Стандарт","Нестандарт")</f>
        <v>Стандарт</v>
      </c>
      <c r="H12" s="108" t="str">
        <f aca="false">CONCATENATE("Внутренняя МДФ-панель"," ", Comfort!O4, "х" , Comfort!P4 )</f>
        <v>Внутренняя МДФ-панель 1923х832</v>
      </c>
      <c r="I12" s="102" t="n">
        <f aca="false">IF(Квартирная!C19="Без панели",0,L12)</f>
        <v>2620.393333</v>
      </c>
      <c r="J12" s="103" t="n">
        <f aca="false">IF(Квартирная!B14=Конструктивы!B2,1,0)</f>
        <v>0</v>
      </c>
      <c r="K12" s="93" t="n">
        <f aca="false">J12*I12</f>
        <v>0</v>
      </c>
      <c r="L12" s="70" t="n">
        <f aca="false">SUM(E250:E262)</f>
        <v>2620.393333</v>
      </c>
      <c r="O12" s="64"/>
      <c r="P12" s="64"/>
      <c r="Q12" s="64"/>
    </row>
    <row r="13" customFormat="false" ht="17.35" hidden="false" customHeight="false" outlineLevel="0" collapsed="false">
      <c r="A13" s="97" t="s">
        <v>48</v>
      </c>
      <c r="B13" s="98" t="s">
        <v>49</v>
      </c>
      <c r="C13" s="99" t="n">
        <v>0.13</v>
      </c>
      <c r="D13" s="100" t="n">
        <f aca="false">Управление!D9</f>
        <v>125</v>
      </c>
      <c r="E13" s="89" t="n">
        <f aca="false">D13*C13</f>
        <v>16.25</v>
      </c>
      <c r="F13" s="109" t="str">
        <f aca="false">IF(AND(F11="Стандарт",F12="Стандарт"),"Стандарт","Нестандарт")</f>
        <v>Стандарт</v>
      </c>
      <c r="H13" s="101" t="s">
        <v>50</v>
      </c>
      <c r="I13" s="102" t="n">
        <f aca="false">SUM(E277:E286)</f>
        <v>1951.625908</v>
      </c>
      <c r="J13" s="103" t="n">
        <f aca="false">IF(AND(F5="МДФ",Квартирная!B14=Конструктивы!B2),1,0)</f>
        <v>0</v>
      </c>
      <c r="K13" s="93" t="n">
        <f aca="false">J13*I13</f>
        <v>0</v>
      </c>
      <c r="O13" s="64"/>
      <c r="P13" s="64"/>
      <c r="Q13" s="64"/>
    </row>
    <row r="14" customFormat="false" ht="17.35" hidden="false" customHeight="false" outlineLevel="0" collapsed="false">
      <c r="A14" s="85" t="s">
        <v>51</v>
      </c>
      <c r="B14" s="110" t="s">
        <v>29</v>
      </c>
      <c r="C14" s="88" t="n">
        <f aca="false">IF(F13="Стандарт",1,1.1)</f>
        <v>1</v>
      </c>
      <c r="D14" s="111" t="n">
        <f aca="false">Управление!J3</f>
        <v>420</v>
      </c>
      <c r="E14" s="89" t="n">
        <f aca="false">IF(Квартирная!A29="Цинкогрунтование",D14*C14,0)</f>
        <v>420</v>
      </c>
      <c r="F14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отделка'!E3),1,0)</f>
        <v>0</v>
      </c>
      <c r="H14" s="101" t="s">
        <v>52</v>
      </c>
      <c r="I14" s="112" t="n">
        <f aca="false">SUM(E288:E302)</f>
        <v>0</v>
      </c>
      <c r="J14" s="103" t="n">
        <f aca="false">IF(AND(F6="Металл отделка",Квартирная!B14=Конструктивы!B2),1,0)</f>
        <v>0</v>
      </c>
      <c r="K14" s="93" t="n">
        <f aca="false">J14*I14</f>
        <v>0</v>
      </c>
      <c r="O14" s="64"/>
      <c r="P14" s="64"/>
      <c r="Q14" s="64"/>
    </row>
    <row r="15" customFormat="false" ht="17.35" hidden="false" customHeight="false" outlineLevel="0" collapsed="false">
      <c r="A15" s="85" t="s">
        <v>53</v>
      </c>
      <c r="B15" s="110" t="s">
        <v>29</v>
      </c>
      <c r="C15" s="88" t="n">
        <f aca="false">IF(F13="Стандарт",2,2.2)-F15</f>
        <v>1.4</v>
      </c>
      <c r="D15" s="111" t="n">
        <f aca="false">Управление!J4</f>
        <v>390</v>
      </c>
      <c r="E15" s="89" t="n">
        <f aca="false">IF(Квартирная!B29=A15,D15*C15,0)</f>
        <v>546</v>
      </c>
      <c r="F15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15" s="101" t="s">
        <v>54</v>
      </c>
      <c r="I15" s="103" t="n">
        <f aca="false">IF(AND(Квартирная!B19="Verso",Квартирная!A29="Цинкогрунтование"),D14*C14,0)</f>
        <v>0</v>
      </c>
      <c r="J15" s="103" t="n">
        <f aca="false">IF(AND(F6="Металл отделка",Квартирная!B14=Конструктивы!B2),1,0)</f>
        <v>0</v>
      </c>
      <c r="K15" s="93" t="n">
        <f aca="false">J15*I15</f>
        <v>0</v>
      </c>
      <c r="O15" s="64"/>
      <c r="P15" s="64"/>
      <c r="Q15" s="64"/>
    </row>
    <row r="16" customFormat="false" ht="17.35" hidden="false" customHeight="false" outlineLevel="0" collapsed="false">
      <c r="A16" s="85" t="s">
        <v>55</v>
      </c>
      <c r="B16" s="110" t="s">
        <v>29</v>
      </c>
      <c r="C16" s="88" t="n">
        <f aca="false">IF(F13="Стандарт",2,2.2)-F16</f>
        <v>1.4</v>
      </c>
      <c r="D16" s="111" t="n">
        <f aca="false">Управление!J5</f>
        <v>480</v>
      </c>
      <c r="E16" s="89" t="n">
        <f aca="false">IF(Квартирная!B29=A16,D16*C16,0)</f>
        <v>0</v>
      </c>
      <c r="F16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16" s="101" t="s">
        <v>56</v>
      </c>
      <c r="I16" s="102" t="n">
        <f aca="false">E312</f>
        <v>0</v>
      </c>
      <c r="J16" s="103" t="n">
        <f aca="false">IF(Квартирная!B14=Конструктивы!B2,1,0)</f>
        <v>0</v>
      </c>
      <c r="K16" s="93" t="n">
        <f aca="false">J16*I16</f>
        <v>0</v>
      </c>
      <c r="O16" s="64"/>
      <c r="P16" s="64"/>
      <c r="Q16" s="64"/>
    </row>
    <row r="17" customFormat="false" ht="17.35" hidden="false" customHeight="false" outlineLevel="0" collapsed="false">
      <c r="A17" s="85" t="s">
        <v>57</v>
      </c>
      <c r="B17" s="110" t="s">
        <v>29</v>
      </c>
      <c r="C17" s="88" t="n">
        <f aca="false">IF(F13="Стандарт",1.9,2.1)-F17</f>
        <v>1.4</v>
      </c>
      <c r="D17" s="111" t="n">
        <f aca="false">Управление!J6</f>
        <v>455</v>
      </c>
      <c r="E17" s="89" t="n">
        <f aca="false">IF(Квартирная!B29=A17,D17*C17,0)</f>
        <v>0</v>
      </c>
      <c r="F17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отделка'!E3),0,0.5)</f>
        <v>0.5</v>
      </c>
      <c r="H17" s="101" t="s">
        <v>58</v>
      </c>
      <c r="I17" s="103" t="n">
        <f aca="false">IF(AND(Квартирная!B14="Komfort",Квартирная!B54="Порог шлифованный. Цвет: Хром"),E314,0)</f>
        <v>0</v>
      </c>
      <c r="J17" s="103" t="n">
        <f aca="false">IF(Квартирная!B14=Конструктивы!B2,1,0)</f>
        <v>0</v>
      </c>
      <c r="K17" s="93" t="n">
        <f aca="false">J17*I17</f>
        <v>0</v>
      </c>
      <c r="O17" s="64"/>
      <c r="P17" s="64"/>
      <c r="Q17" s="64"/>
    </row>
    <row r="18" customFormat="false" ht="17.35" hidden="false" customHeight="false" outlineLevel="0" collapsed="false">
      <c r="A18" s="85" t="s">
        <v>59</v>
      </c>
      <c r="B18" s="110" t="s">
        <v>29</v>
      </c>
      <c r="C18" s="88" t="n">
        <f aca="false">IF(F13="Стандарт",2,2.2)-F18</f>
        <v>1.5</v>
      </c>
      <c r="D18" s="111" t="n">
        <f aca="false">Управление!J7</f>
        <v>345</v>
      </c>
      <c r="E18" s="89" t="n">
        <f aca="false">IF(Квартирная!B29=A18,D18*C18,0)</f>
        <v>0</v>
      </c>
      <c r="F18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отделка'!E3),0,0.5)</f>
        <v>0.5</v>
      </c>
      <c r="H18" s="101" t="s">
        <v>60</v>
      </c>
      <c r="I18" s="113" t="n">
        <f aca="false">SUM(E316:E319)</f>
        <v>0</v>
      </c>
      <c r="J18" s="103" t="n">
        <f aca="false">IF(Квартирная!B14=Конструктивы!B2,1,0)</f>
        <v>0</v>
      </c>
      <c r="K18" s="93" t="n">
        <f aca="false">J18*I18</f>
        <v>0</v>
      </c>
      <c r="O18" s="64"/>
      <c r="P18" s="64"/>
      <c r="Q18" s="64"/>
    </row>
    <row r="19" customFormat="false" ht="17.35" hidden="false" customHeight="false" outlineLevel="0" collapsed="false">
      <c r="A19" s="85" t="s">
        <v>61</v>
      </c>
      <c r="B19" s="110" t="s">
        <v>29</v>
      </c>
      <c r="C19" s="88" t="n">
        <f aca="false">IF(F13="Стандарт",2,2.2)-F19</f>
        <v>1.5</v>
      </c>
      <c r="D19" s="111" t="n">
        <f aca="false">Управление!J8</f>
        <v>421</v>
      </c>
      <c r="E19" s="89" t="n">
        <f aca="false">IF(Квартирная!B29=A19,D19*C19,0)</f>
        <v>0</v>
      </c>
      <c r="F19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отделка'!E3),0,0.5)</f>
        <v>0.5</v>
      </c>
      <c r="H19" s="101" t="s">
        <v>62</v>
      </c>
      <c r="I19" s="113" t="n">
        <f aca="false">SUM(E321:E323)</f>
        <v>0</v>
      </c>
      <c r="J19" s="103" t="n">
        <f aca="false">IF(Квартирная!B14=Конструктивы!B2,1,0)</f>
        <v>0</v>
      </c>
      <c r="K19" s="93" t="n">
        <f aca="false">J19*I19</f>
        <v>0</v>
      </c>
      <c r="O19" s="64"/>
      <c r="P19" s="64"/>
      <c r="Q19" s="64"/>
    </row>
    <row r="20" customFormat="false" ht="17.35" hidden="false" customHeight="false" outlineLevel="0" collapsed="false">
      <c r="A20" s="85" t="s">
        <v>63</v>
      </c>
      <c r="B20" s="110" t="s">
        <v>29</v>
      </c>
      <c r="C20" s="88" t="n">
        <f aca="false">IF(F13="Стандарт",1.8,2)-F20</f>
        <v>1.4</v>
      </c>
      <c r="D20" s="111" t="n">
        <f aca="false">Управление!J9</f>
        <v>375</v>
      </c>
      <c r="E20" s="89" t="n">
        <f aca="false">IF(Квартирная!B29=A20,D20*C20,0)</f>
        <v>0</v>
      </c>
      <c r="F20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0" s="101" t="s">
        <v>64</v>
      </c>
      <c r="I20" s="113" t="n">
        <f aca="false">SUM(E325:E335)</f>
        <v>60</v>
      </c>
      <c r="J20" s="103" t="n">
        <f aca="false">IF(Квартирная!B14=Конструктивы!B2,1,0)</f>
        <v>0</v>
      </c>
      <c r="K20" s="102" t="n">
        <f aca="false">J20*I20</f>
        <v>0</v>
      </c>
      <c r="O20" s="64"/>
      <c r="P20" s="64"/>
      <c r="Q20" s="64"/>
    </row>
    <row r="21" customFormat="false" ht="17.35" hidden="false" customHeight="false" outlineLevel="0" collapsed="false">
      <c r="A21" s="85" t="s">
        <v>65</v>
      </c>
      <c r="B21" s="110" t="s">
        <v>29</v>
      </c>
      <c r="C21" s="88" t="n">
        <f aca="false">IF(F13="Стандарт",1.8,2)-F21</f>
        <v>1.4</v>
      </c>
      <c r="D21" s="111" t="n">
        <f aca="false">Управление!J10</f>
        <v>300</v>
      </c>
      <c r="E21" s="89" t="n">
        <f aca="false">IF(Квартирная!B29=A21,D21*C21,0)</f>
        <v>0</v>
      </c>
      <c r="F21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1" s="101" t="s">
        <v>66</v>
      </c>
      <c r="I21" s="103" t="n">
        <f aca="false">ifs(
  Квартирная!B19=Управление!A135, Управление!B135,
  Квартирная!B19=Управление!A136, Управление!B136,
  Квартирная!B19=Управление!A137, Управление!B137,
  Квартирная!B19=Управление!A138, Управление!B138,
  TRUE(), 0
)</f>
        <v>0</v>
      </c>
      <c r="J21" s="103" t="n">
        <f aca="false">IF(Квартирная!B14=Конструктивы!B2,1,0)</f>
        <v>0</v>
      </c>
      <c r="K21" s="102" t="n">
        <f aca="false">J21*I21</f>
        <v>0</v>
      </c>
    </row>
    <row r="22" customFormat="false" ht="17.35" hidden="false" customHeight="false" outlineLevel="0" collapsed="false">
      <c r="A22" s="85" t="s">
        <v>67</v>
      </c>
      <c r="B22" s="110" t="s">
        <v>29</v>
      </c>
      <c r="C22" s="88" t="n">
        <f aca="false">IF(F13="Стандарт",1.8,2)-F22</f>
        <v>1.4</v>
      </c>
      <c r="D22" s="111" t="n">
        <f aca="false">Управление!J11</f>
        <v>360</v>
      </c>
      <c r="E22" s="89" t="n">
        <f aca="false">IF(Квартирная!B29=A22,D22*C22,0)</f>
        <v>0</v>
      </c>
      <c r="F22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2" s="101"/>
      <c r="I22" s="103"/>
      <c r="J22" s="103"/>
      <c r="K22" s="102"/>
    </row>
    <row r="23" customFormat="false" ht="17.35" hidden="false" customHeight="false" outlineLevel="0" collapsed="false">
      <c r="A23" s="85" t="s">
        <v>68</v>
      </c>
      <c r="B23" s="110" t="s">
        <v>29</v>
      </c>
      <c r="C23" s="88" t="n">
        <f aca="false">IF(F13="Стандарт",1.8,2)-F23</f>
        <v>1.4</v>
      </c>
      <c r="D23" s="111" t="n">
        <f aca="false">Управление!J12</f>
        <v>370</v>
      </c>
      <c r="E23" s="89" t="n">
        <f aca="false">IF(Квартирная!B29=A23,D23*C23,0)</f>
        <v>0</v>
      </c>
      <c r="F23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3" s="101"/>
      <c r="I23" s="103"/>
      <c r="J23" s="103"/>
      <c r="K23" s="102"/>
    </row>
    <row r="24" customFormat="false" ht="17.35" hidden="false" customHeight="false" outlineLevel="0" collapsed="false">
      <c r="A24" s="85" t="s">
        <v>69</v>
      </c>
      <c r="B24" s="110" t="s">
        <v>29</v>
      </c>
      <c r="C24" s="88" t="n">
        <f aca="false">IF(F13="Стандарт",1.8,2)-F24</f>
        <v>1.4</v>
      </c>
      <c r="D24" s="111" t="n">
        <f aca="false">Управление!J13</f>
        <v>388</v>
      </c>
      <c r="E24" s="89" t="n">
        <f aca="false">IF(Квартирная!B29=A24,D24*C24,0)</f>
        <v>0</v>
      </c>
      <c r="F24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4" s="101"/>
      <c r="I24" s="103"/>
      <c r="J24" s="103"/>
      <c r="K24" s="102"/>
    </row>
    <row r="25" customFormat="false" ht="17.35" hidden="false" customHeight="false" outlineLevel="0" collapsed="false">
      <c r="A25" s="85" t="s">
        <v>70</v>
      </c>
      <c r="B25" s="110" t="s">
        <v>29</v>
      </c>
      <c r="C25" s="88" t="n">
        <f aca="false">IF(F13="Стандарт",1.8,2)-F25</f>
        <v>1.4</v>
      </c>
      <c r="D25" s="111" t="n">
        <f aca="false">Управление!J14</f>
        <v>480</v>
      </c>
      <c r="E25" s="89" t="n">
        <f aca="false">IF(Квартирная!B29=A25,D25*C25,0)</f>
        <v>0</v>
      </c>
      <c r="F25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5" s="101"/>
      <c r="I25" s="103"/>
      <c r="J25" s="103"/>
      <c r="K25" s="102"/>
    </row>
    <row r="26" customFormat="false" ht="17.35" hidden="false" customHeight="false" outlineLevel="0" collapsed="false">
      <c r="A26" s="85" t="s">
        <v>71</v>
      </c>
      <c r="B26" s="110" t="s">
        <v>29</v>
      </c>
      <c r="C26" s="88" t="n">
        <f aca="false">IF(F13="Стандарт",2,2.5)</f>
        <v>2</v>
      </c>
      <c r="D26" s="111" t="n">
        <f aca="false">Управление!J15</f>
        <v>380</v>
      </c>
      <c r="E26" s="89" t="n">
        <f aca="false">IF(Квартирная!B29=A26,D26*C26,0)</f>
        <v>0</v>
      </c>
      <c r="F26" s="69" t="n">
        <v>0</v>
      </c>
      <c r="H26" s="101"/>
      <c r="I26" s="103"/>
      <c r="J26" s="103"/>
      <c r="K26" s="102"/>
    </row>
    <row r="27" customFormat="false" ht="17.35" hidden="false" customHeight="false" outlineLevel="0" collapsed="false">
      <c r="A27" s="85" t="s">
        <v>72</v>
      </c>
      <c r="B27" s="110" t="s">
        <v>29</v>
      </c>
      <c r="C27" s="88" t="n">
        <f aca="false">IF(F13="Стандарт",2,2.5)</f>
        <v>2</v>
      </c>
      <c r="D27" s="111" t="n">
        <f aca="false">Управление!J16</f>
        <v>515</v>
      </c>
      <c r="E27" s="89" t="n">
        <f aca="false">IF(Квартирная!B29=A27,D27*C27,0)</f>
        <v>0</v>
      </c>
      <c r="F27" s="69" t="n">
        <v>0</v>
      </c>
      <c r="H27" s="101"/>
      <c r="I27" s="103"/>
      <c r="J27" s="103"/>
      <c r="K27" s="102"/>
    </row>
    <row r="28" customFormat="false" ht="17.35" hidden="false" customHeight="false" outlineLevel="0" collapsed="false">
      <c r="A28" s="85" t="s">
        <v>73</v>
      </c>
      <c r="B28" s="110" t="s">
        <v>29</v>
      </c>
      <c r="C28" s="88" t="n">
        <f aca="false">IF(F13="Стандарт",2,2.5)</f>
        <v>2</v>
      </c>
      <c r="D28" s="111" t="n">
        <f aca="false">Управление!J17</f>
        <v>650</v>
      </c>
      <c r="E28" s="89" t="n">
        <f aca="false">IF(Квартирная!B29=A28,D28*C28,0)</f>
        <v>0</v>
      </c>
      <c r="F28" s="69" t="n">
        <v>0</v>
      </c>
      <c r="H28" s="101"/>
      <c r="I28" s="103"/>
      <c r="J28" s="103"/>
      <c r="K28" s="102"/>
    </row>
    <row r="29" customFormat="false" ht="17.35" hidden="false" customHeight="false" outlineLevel="0" collapsed="false">
      <c r="A29" s="85" t="s">
        <v>74</v>
      </c>
      <c r="B29" s="110" t="s">
        <v>29</v>
      </c>
      <c r="C29" s="88" t="n">
        <f aca="false">IF(F13="Стандарт",2,2.5)</f>
        <v>2</v>
      </c>
      <c r="D29" s="111" t="n">
        <f aca="false">Управление!J18</f>
        <v>590</v>
      </c>
      <c r="E29" s="89" t="n">
        <f aca="false">IF(Квартирная!B29=A29,D29*C29,0)</f>
        <v>0</v>
      </c>
      <c r="F29" s="69" t="n">
        <v>0</v>
      </c>
      <c r="H29" s="101"/>
      <c r="I29" s="103"/>
      <c r="J29" s="103"/>
      <c r="K29" s="102"/>
    </row>
    <row r="30" customFormat="false" ht="17.35" hidden="false" customHeight="false" outlineLevel="0" collapsed="false">
      <c r="A30" s="85" t="s">
        <v>75</v>
      </c>
      <c r="B30" s="110" t="s">
        <v>29</v>
      </c>
      <c r="C30" s="88" t="n">
        <f aca="false">IF(F13="Стандарт",2,2.5)</f>
        <v>2</v>
      </c>
      <c r="D30" s="111" t="n">
        <f aca="false">Управление!J19</f>
        <v>450</v>
      </c>
      <c r="E30" s="89" t="n">
        <f aca="false">IF(Квартирная!B29=A30,D30*C30,0)</f>
        <v>0</v>
      </c>
      <c r="F30" s="69" t="n">
        <v>0</v>
      </c>
      <c r="H30" s="101"/>
      <c r="I30" s="103"/>
      <c r="J30" s="103"/>
      <c r="K30" s="102"/>
    </row>
    <row r="31" customFormat="false" ht="17.35" hidden="false" customHeight="false" outlineLevel="0" collapsed="false">
      <c r="A31" s="85" t="s">
        <v>76</v>
      </c>
      <c r="B31" s="110" t="s">
        <v>29</v>
      </c>
      <c r="C31" s="88" t="n">
        <f aca="false">IF(F13="Стандарт",2,2.5)</f>
        <v>2</v>
      </c>
      <c r="D31" s="111" t="n">
        <f aca="false">Управление!J20</f>
        <v>600</v>
      </c>
      <c r="E31" s="89" t="n">
        <f aca="false">IF(Квартирная!B29=A31,D31*C31,0)</f>
        <v>0</v>
      </c>
      <c r="F31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1" s="101"/>
      <c r="I31" s="103"/>
      <c r="J31" s="103"/>
      <c r="K31" s="102"/>
    </row>
    <row r="32" customFormat="false" ht="17.35" hidden="false" customHeight="false" outlineLevel="0" collapsed="false">
      <c r="A32" s="85" t="s">
        <v>77</v>
      </c>
      <c r="B32" s="110" t="s">
        <v>29</v>
      </c>
      <c r="C32" s="88" t="n">
        <f aca="false">IF(F13="Стандарт",2,2.5)</f>
        <v>2</v>
      </c>
      <c r="D32" s="111" t="n">
        <f aca="false">Управление!J21</f>
        <v>500</v>
      </c>
      <c r="E32" s="89" t="n">
        <f aca="false">IF(Квартирная!B29=A32,D32*C32,0)</f>
        <v>0</v>
      </c>
      <c r="F32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2" s="101"/>
      <c r="I32" s="103"/>
      <c r="J32" s="103"/>
      <c r="K32" s="102"/>
    </row>
    <row r="33" customFormat="false" ht="17.35" hidden="false" customHeight="false" outlineLevel="0" collapsed="false">
      <c r="A33" s="85" t="s">
        <v>78</v>
      </c>
      <c r="B33" s="110" t="s">
        <v>29</v>
      </c>
      <c r="C33" s="88" t="n">
        <f aca="false">IF(F13="Стандарт",2,2.5)</f>
        <v>2</v>
      </c>
      <c r="D33" s="111" t="n">
        <f aca="false">Управление!J22</f>
        <v>540</v>
      </c>
      <c r="E33" s="89" t="n">
        <f aca="false">IF(Квартирная!B29=A33,D33*C33,0)</f>
        <v>0</v>
      </c>
      <c r="F33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3" s="101"/>
      <c r="I33" s="103"/>
      <c r="J33" s="103"/>
      <c r="K33" s="102"/>
    </row>
    <row r="34" customFormat="false" ht="17.35" hidden="false" customHeight="false" outlineLevel="0" collapsed="false">
      <c r="A34" s="85" t="s">
        <v>79</v>
      </c>
      <c r="B34" s="110" t="s">
        <v>29</v>
      </c>
      <c r="C34" s="88" t="n">
        <f aca="false">IF(F13="Стандарт",2,2.5)</f>
        <v>2</v>
      </c>
      <c r="D34" s="111" t="n">
        <f aca="false">Управление!J23</f>
        <v>470</v>
      </c>
      <c r="E34" s="89" t="n">
        <f aca="false">IF(Квартирная!B29=A34,D34*C34,0)</f>
        <v>0</v>
      </c>
      <c r="F34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4" s="101"/>
      <c r="I34" s="103"/>
      <c r="J34" s="103"/>
      <c r="K34" s="102"/>
    </row>
    <row r="35" customFormat="false" ht="17.35" hidden="false" customHeight="false" outlineLevel="0" collapsed="false">
      <c r="A35" s="85" t="s">
        <v>80</v>
      </c>
      <c r="B35" s="110" t="s">
        <v>29</v>
      </c>
      <c r="C35" s="88" t="n">
        <f aca="false">IF(F13="Стандарт",2,2.5)</f>
        <v>2</v>
      </c>
      <c r="D35" s="111" t="n">
        <f aca="false">Управление!J24</f>
        <v>435</v>
      </c>
      <c r="E35" s="89" t="n">
        <f aca="false">IF(Квартирная!B29=A35,D35*C35,0)</f>
        <v>0</v>
      </c>
      <c r="F35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5" s="101"/>
      <c r="I35" s="103"/>
      <c r="J35" s="103"/>
      <c r="K35" s="102"/>
    </row>
    <row r="36" customFormat="false" ht="17.35" hidden="false" customHeight="false" outlineLevel="0" collapsed="false">
      <c r="A36" s="114" t="s">
        <v>81</v>
      </c>
      <c r="B36" s="115" t="s">
        <v>82</v>
      </c>
      <c r="C36" s="116" t="n">
        <f aca="false">IF(OR(Квартирная!B29=A20,Квартирная!B29=A21,Квартирная!B29=A22,Квартирная!B29=A23,Квартирная!B29=A24,Квартирная!B29=A25,Квартирная!B29=A31,Квартирная!B29=A32,Квартирная!B29=A33,Квартирная!B29=A34,Квартирная!B29=A35),1,0)</f>
        <v>0</v>
      </c>
      <c r="D36" s="117" t="n">
        <v>50</v>
      </c>
      <c r="E36" s="118" t="n">
        <f aca="false">D36*C36</f>
        <v>0</v>
      </c>
      <c r="F36" s="69"/>
      <c r="H36" s="101"/>
      <c r="I36" s="103"/>
      <c r="J36" s="103"/>
      <c r="K36" s="102"/>
    </row>
    <row r="37" customFormat="false" ht="17.35" hidden="false" customHeight="false" outlineLevel="0" collapsed="false">
      <c r="A37" s="77" t="s">
        <v>83</v>
      </c>
      <c r="B37" s="78"/>
      <c r="C37" s="79"/>
      <c r="D37" s="80"/>
      <c r="E37" s="81"/>
      <c r="F37" s="69"/>
      <c r="H37" s="101"/>
      <c r="I37" s="103"/>
      <c r="J37" s="103"/>
      <c r="K37" s="102"/>
    </row>
    <row r="38" customFormat="false" ht="17.35" hidden="false" customHeight="false" outlineLevel="0" collapsed="false">
      <c r="A38" s="119" t="s">
        <v>84</v>
      </c>
      <c r="B38" s="120" t="s">
        <v>85</v>
      </c>
      <c r="C38" s="121" t="n">
        <v>12</v>
      </c>
      <c r="D38" s="122" t="n">
        <f aca="false">Управление!C11</f>
        <v>21</v>
      </c>
      <c r="E38" s="89" t="n">
        <f aca="false">D38*C38</f>
        <v>252</v>
      </c>
      <c r="F38" s="69"/>
      <c r="H38" s="101"/>
      <c r="I38" s="103"/>
      <c r="J38" s="103"/>
      <c r="K38" s="102"/>
    </row>
    <row r="39" customFormat="false" ht="17.35" hidden="false" customHeight="false" outlineLevel="0" collapsed="false">
      <c r="A39" s="119" t="s">
        <v>86</v>
      </c>
      <c r="B39" s="120" t="s">
        <v>85</v>
      </c>
      <c r="C39" s="121" t="n">
        <v>6</v>
      </c>
      <c r="D39" s="122" t="n">
        <f aca="false">Управление!C12</f>
        <v>23</v>
      </c>
      <c r="E39" s="89" t="n">
        <f aca="false">D39*C39</f>
        <v>138</v>
      </c>
      <c r="F39" s="69"/>
      <c r="H39" s="101"/>
      <c r="I39" s="103"/>
      <c r="J39" s="103"/>
      <c r="K39" s="102"/>
    </row>
    <row r="40" customFormat="false" ht="17.35" hidden="false" customHeight="false" outlineLevel="0" collapsed="false">
      <c r="A40" s="123" t="s">
        <v>87</v>
      </c>
      <c r="B40" s="110" t="s">
        <v>21</v>
      </c>
      <c r="C40" s="88" t="n">
        <f aca="false">O4/1000*P4/1000*0.05</f>
        <v>0.0799968</v>
      </c>
      <c r="D40" s="124" t="n">
        <f aca="false">Управление!F13</f>
        <v>2150</v>
      </c>
      <c r="E40" s="89" t="n">
        <f aca="false">D40*C40</f>
        <v>171.99312</v>
      </c>
      <c r="F40" s="69"/>
      <c r="H40" s="101"/>
      <c r="I40" s="103"/>
      <c r="J40" s="103"/>
      <c r="K40" s="102"/>
    </row>
    <row r="41" customFormat="false" ht="17.35" hidden="false" customHeight="false" outlineLevel="0" collapsed="false">
      <c r="A41" s="85" t="s">
        <v>88</v>
      </c>
      <c r="B41" s="110" t="s">
        <v>21</v>
      </c>
      <c r="C41" s="88" t="n">
        <f aca="false">O4/1000*P4/1000*0.03</f>
        <v>0.04799808</v>
      </c>
      <c r="D41" s="124" t="n">
        <f aca="false">Управление!F16</f>
        <v>3250</v>
      </c>
      <c r="E41" s="89" t="n">
        <f aca="false">D41*C41</f>
        <v>155.99376</v>
      </c>
      <c r="F41" s="69"/>
      <c r="H41" s="101"/>
      <c r="I41" s="103"/>
      <c r="J41" s="103"/>
      <c r="K41" s="102"/>
    </row>
    <row r="42" customFormat="false" ht="17.35" hidden="false" customHeight="false" outlineLevel="0" collapsed="false">
      <c r="A42" s="119" t="s">
        <v>89</v>
      </c>
      <c r="B42" s="120" t="s">
        <v>35</v>
      </c>
      <c r="C42" s="125" t="n">
        <v>4</v>
      </c>
      <c r="D42" s="122" t="n">
        <f aca="false">Управление!B17</f>
        <v>1.6</v>
      </c>
      <c r="E42" s="89" t="n">
        <f aca="false">D42*C42</f>
        <v>6.4</v>
      </c>
      <c r="F42" s="69"/>
      <c r="H42" s="101"/>
      <c r="I42" s="103"/>
      <c r="J42" s="103"/>
      <c r="K42" s="102"/>
    </row>
    <row r="43" customFormat="false" ht="17.35" hidden="false" customHeight="false" outlineLevel="0" collapsed="false">
      <c r="A43" s="77" t="s">
        <v>45</v>
      </c>
      <c r="B43" s="78"/>
      <c r="C43" s="79"/>
      <c r="D43" s="80"/>
      <c r="E43" s="81"/>
      <c r="F43" s="69"/>
      <c r="H43" s="101"/>
      <c r="I43" s="103"/>
      <c r="J43" s="103"/>
      <c r="K43" s="102"/>
    </row>
    <row r="44" customFormat="false" ht="17.35" hidden="false" customHeight="false" outlineLevel="0" collapsed="false">
      <c r="A44" s="119" t="s">
        <v>90</v>
      </c>
      <c r="B44" s="120" t="s">
        <v>35</v>
      </c>
      <c r="C44" s="121" t="n">
        <f aca="false">IF(Квартирная!B49="Нет",0,1)</f>
        <v>0</v>
      </c>
      <c r="D44" s="122" t="n">
        <f aca="false">Управление!J27</f>
        <v>63</v>
      </c>
      <c r="E44" s="89" t="n">
        <f aca="false">C44*D44</f>
        <v>0</v>
      </c>
      <c r="F44" s="69"/>
      <c r="J44" s="126" t="s">
        <v>91</v>
      </c>
      <c r="K44" s="127" t="n">
        <f aca="false">SUM(K4:K43)-K21</f>
        <v>0</v>
      </c>
    </row>
    <row r="45" customFormat="false" ht="17.35" hidden="false" customHeight="false" outlineLevel="0" collapsed="false">
      <c r="A45" s="119" t="s">
        <v>92</v>
      </c>
      <c r="B45" s="120" t="s">
        <v>35</v>
      </c>
      <c r="C45" s="121" t="n">
        <v>1</v>
      </c>
      <c r="D45" s="122" t="n">
        <f aca="false">Управление!J28</f>
        <v>31.4</v>
      </c>
      <c r="E45" s="89" t="n">
        <f aca="false">C45*D45</f>
        <v>31.4</v>
      </c>
      <c r="F45" s="69"/>
      <c r="J45" s="126" t="s">
        <v>93</v>
      </c>
      <c r="K45" s="128" t="n">
        <f aca="false">Управление!B134</f>
        <v>30</v>
      </c>
      <c r="M45" s="6" t="s">
        <v>94</v>
      </c>
    </row>
    <row r="46" customFormat="false" ht="17.35" hidden="false" customHeight="false" outlineLevel="0" collapsed="false">
      <c r="A46" s="119" t="s">
        <v>95</v>
      </c>
      <c r="B46" s="120" t="s">
        <v>35</v>
      </c>
      <c r="C46" s="121" t="n">
        <v>1</v>
      </c>
      <c r="D46" s="121" t="n">
        <f aca="false">Управление!B18</f>
        <v>4.94</v>
      </c>
      <c r="E46" s="89" t="n">
        <f aca="false">C46*D46</f>
        <v>4.94</v>
      </c>
      <c r="F46" s="69"/>
      <c r="J46" s="6" t="s">
        <v>96</v>
      </c>
      <c r="K46" s="129" t="n">
        <f aca="false">(K44 * (1 +K45  / 100))*1.035+K21</f>
        <v>0</v>
      </c>
      <c r="M46" s="6" t="s">
        <v>97</v>
      </c>
    </row>
    <row r="47" customFormat="false" ht="17.35" hidden="false" customHeight="false" outlineLevel="0" collapsed="false">
      <c r="A47" s="119" t="s">
        <v>98</v>
      </c>
      <c r="B47" s="120" t="s">
        <v>35</v>
      </c>
      <c r="C47" s="121" t="n">
        <v>2</v>
      </c>
      <c r="D47" s="122" t="n">
        <f aca="false">Управление!B19</f>
        <v>0.37</v>
      </c>
      <c r="E47" s="89" t="n">
        <f aca="false">C47*D47</f>
        <v>0.74</v>
      </c>
      <c r="F47" s="69"/>
      <c r="J47" s="130" t="s">
        <v>99</v>
      </c>
      <c r="K47" s="131" t="n">
        <f aca="false">Управление!J188</f>
        <v>0</v>
      </c>
    </row>
    <row r="48" customFormat="false" ht="17.35" hidden="false" customHeight="false" outlineLevel="0" collapsed="false">
      <c r="A48" s="119" t="s">
        <v>100</v>
      </c>
      <c r="B48" s="120" t="s">
        <v>35</v>
      </c>
      <c r="C48" s="121" t="n">
        <v>1</v>
      </c>
      <c r="D48" s="122" t="n">
        <f aca="false">Управление!B20</f>
        <v>0.66</v>
      </c>
      <c r="E48" s="89" t="n">
        <f aca="false">C48*D48</f>
        <v>0.66</v>
      </c>
      <c r="F48" s="69"/>
      <c r="J48" s="130" t="s">
        <v>101</v>
      </c>
      <c r="K48" s="131" t="n">
        <f aca="false">100 * ROUNDUP((K46 * (1 +K47  / 100)) / 100, 0)</f>
        <v>0</v>
      </c>
    </row>
    <row r="49" customFormat="false" ht="17.35" hidden="false" customHeight="false" outlineLevel="0" collapsed="false">
      <c r="A49" s="119" t="s">
        <v>102</v>
      </c>
      <c r="B49" s="120" t="s">
        <v>35</v>
      </c>
      <c r="C49" s="121" t="n">
        <v>2</v>
      </c>
      <c r="D49" s="122" t="n">
        <f aca="false">Управление!B21</f>
        <v>4.67</v>
      </c>
      <c r="E49" s="89" t="n">
        <f aca="false">C49*D49</f>
        <v>9.34</v>
      </c>
      <c r="F49" s="69"/>
      <c r="K49" s="132"/>
    </row>
    <row r="50" customFormat="false" ht="17.35" hidden="false" customHeight="false" outlineLevel="0" collapsed="false">
      <c r="A50" s="80"/>
      <c r="B50" s="78"/>
      <c r="C50" s="79"/>
      <c r="D50" s="80"/>
      <c r="E50" s="81"/>
      <c r="F50" s="69"/>
      <c r="K50" s="132"/>
    </row>
    <row r="51" customFormat="false" ht="17.35" hidden="false" customHeight="false" outlineLevel="0" collapsed="false">
      <c r="A51" s="77" t="s">
        <v>103</v>
      </c>
      <c r="B51" s="78"/>
      <c r="C51" s="79"/>
      <c r="D51" s="80"/>
      <c r="E51" s="81"/>
      <c r="F51" s="69"/>
      <c r="K51" s="70"/>
    </row>
    <row r="52" customFormat="false" ht="17.35" hidden="false" customHeight="false" outlineLevel="0" collapsed="false">
      <c r="A52" s="119" t="s">
        <v>104</v>
      </c>
      <c r="B52" s="120" t="s">
        <v>35</v>
      </c>
      <c r="C52" s="121" t="n">
        <v>6</v>
      </c>
      <c r="D52" s="122" t="n">
        <f aca="false">Управление!B22</f>
        <v>2.75</v>
      </c>
      <c r="E52" s="89" t="n">
        <f aca="false">D52*C52</f>
        <v>16.5</v>
      </c>
      <c r="F52" s="69"/>
      <c r="K52" s="133"/>
    </row>
    <row r="53" customFormat="false" ht="17.35" hidden="false" customHeight="false" outlineLevel="0" collapsed="false">
      <c r="A53" s="134" t="s">
        <v>105</v>
      </c>
      <c r="B53" s="135" t="s">
        <v>35</v>
      </c>
      <c r="C53" s="136" t="n">
        <f aca="false">IF(Квартирная!B34="Нет",3,6)</f>
        <v>3</v>
      </c>
      <c r="D53" s="137" t="n">
        <f aca="false">Управление!B24</f>
        <v>5.5</v>
      </c>
      <c r="E53" s="89" t="n">
        <f aca="false">D53*C53</f>
        <v>16.5</v>
      </c>
      <c r="F53" s="69"/>
      <c r="K53" s="133"/>
    </row>
    <row r="54" customFormat="false" ht="17.35" hidden="false" customHeight="false" outlineLevel="0" collapsed="false">
      <c r="A54" s="134" t="s">
        <v>106</v>
      </c>
      <c r="B54" s="135" t="s">
        <v>35</v>
      </c>
      <c r="C54" s="136" t="n">
        <v>1</v>
      </c>
      <c r="D54" s="137" t="n">
        <f aca="false">Управление!B27</f>
        <v>2.15</v>
      </c>
      <c r="E54" s="89" t="n">
        <f aca="false">D54*C54</f>
        <v>2.15</v>
      </c>
      <c r="F54" s="69"/>
      <c r="K54" s="70"/>
    </row>
    <row r="55" customFormat="false" ht="17.35" hidden="false" customHeight="false" outlineLevel="0" collapsed="false">
      <c r="A55" s="77" t="s">
        <v>107</v>
      </c>
      <c r="B55" s="78"/>
      <c r="C55" s="79"/>
      <c r="D55" s="80"/>
      <c r="E55" s="81"/>
      <c r="F55" s="69"/>
      <c r="K55" s="70"/>
    </row>
    <row r="56" customFormat="false" ht="17.35" hidden="false" customHeight="false" outlineLevel="0" collapsed="false">
      <c r="A56" s="119" t="s">
        <v>108</v>
      </c>
      <c r="B56" s="135" t="s">
        <v>35</v>
      </c>
      <c r="C56" s="121" t="n">
        <v>1</v>
      </c>
      <c r="D56" s="122" t="n">
        <f aca="false">Управление!B41</f>
        <v>19.31</v>
      </c>
      <c r="E56" s="89" t="n">
        <f aca="false">C56*D56</f>
        <v>19.31</v>
      </c>
      <c r="F56" s="69"/>
      <c r="K56" s="70"/>
    </row>
    <row r="57" customFormat="false" ht="17.35" hidden="false" customHeight="false" outlineLevel="0" collapsed="false">
      <c r="A57" s="119" t="s">
        <v>88</v>
      </c>
      <c r="B57" s="120" t="s">
        <v>35</v>
      </c>
      <c r="C57" s="121" t="n">
        <v>0.0045</v>
      </c>
      <c r="D57" s="122" t="n">
        <f aca="false">Управление!F42</f>
        <v>3250</v>
      </c>
      <c r="E57" s="89" t="n">
        <f aca="false">C57*D57</f>
        <v>14.625</v>
      </c>
      <c r="F57" s="69"/>
      <c r="K57" s="70"/>
    </row>
    <row r="58" customFormat="false" ht="17.35" hidden="false" customHeight="false" outlineLevel="0" collapsed="false">
      <c r="A58" s="119" t="s">
        <v>109</v>
      </c>
      <c r="B58" s="120" t="s">
        <v>85</v>
      </c>
      <c r="C58" s="121" t="n">
        <v>0.6</v>
      </c>
      <c r="D58" s="122" t="n">
        <f aca="false">Управление!C43</f>
        <v>11</v>
      </c>
      <c r="E58" s="89" t="n">
        <f aca="false">C58*D58</f>
        <v>6.6</v>
      </c>
      <c r="F58" s="69"/>
      <c r="K58" s="70"/>
    </row>
    <row r="59" customFormat="false" ht="17.35" hidden="false" customHeight="false" outlineLevel="0" collapsed="false">
      <c r="A59" s="119" t="s">
        <v>110</v>
      </c>
      <c r="B59" s="135" t="s">
        <v>35</v>
      </c>
      <c r="C59" s="121" t="n">
        <v>1.5</v>
      </c>
      <c r="D59" s="122" t="n">
        <f aca="false">Управление!B44</f>
        <v>17.7</v>
      </c>
      <c r="E59" s="89" t="n">
        <f aca="false">C59*D59</f>
        <v>26.55</v>
      </c>
      <c r="F59" s="69"/>
      <c r="K59" s="70"/>
    </row>
    <row r="60" customFormat="false" ht="17.35" hidden="false" customHeight="false" outlineLevel="0" collapsed="false">
      <c r="A60" s="85" t="s">
        <v>111</v>
      </c>
      <c r="B60" s="86"/>
      <c r="C60" s="88" t="n">
        <f aca="false">ifs(
    Квартирная!B10 &lt;= 2050, 4,
    Квартирная!B10 &gt; 2100, 9,
    Квартирная!B10 &gt; 2050, 6
)</f>
        <v>4</v>
      </c>
      <c r="D60" s="124" t="n">
        <f aca="false">Управление!B45</f>
        <v>50</v>
      </c>
      <c r="E60" s="89" t="n">
        <f aca="false">C60*D60</f>
        <v>200</v>
      </c>
      <c r="F60" s="69"/>
      <c r="K60" s="70"/>
    </row>
    <row r="61" customFormat="false" ht="17.35" hidden="false" customHeight="false" outlineLevel="0" collapsed="false">
      <c r="A61" s="119" t="s">
        <v>112</v>
      </c>
      <c r="B61" s="135" t="s">
        <v>35</v>
      </c>
      <c r="C61" s="121" t="n">
        <v>1</v>
      </c>
      <c r="D61" s="122" t="n">
        <f aca="false">Управление!B46</f>
        <v>22.7</v>
      </c>
      <c r="E61" s="89" t="n">
        <f aca="false">C61*D61</f>
        <v>22.7</v>
      </c>
      <c r="F61" s="69"/>
      <c r="K61" s="70"/>
    </row>
    <row r="62" customFormat="false" ht="17.35" hidden="false" customHeight="false" outlineLevel="0" collapsed="false">
      <c r="A62" s="134" t="s">
        <v>113</v>
      </c>
      <c r="B62" s="135" t="s">
        <v>35</v>
      </c>
      <c r="C62" s="136" t="n">
        <v>10</v>
      </c>
      <c r="D62" s="137" t="n">
        <f aca="false">Управление!B47</f>
        <v>0.43</v>
      </c>
      <c r="E62" s="89" t="n">
        <f aca="false">C62*D62</f>
        <v>4.3</v>
      </c>
      <c r="F62" s="69"/>
      <c r="K62" s="70"/>
    </row>
    <row r="63" customFormat="false" ht="17.35" hidden="false" customHeight="false" outlineLevel="0" collapsed="false">
      <c r="A63" s="134" t="s">
        <v>114</v>
      </c>
      <c r="B63" s="135" t="s">
        <v>35</v>
      </c>
      <c r="C63" s="136" t="n">
        <v>4</v>
      </c>
      <c r="D63" s="137" t="n">
        <f aca="false">Управление!B48</f>
        <v>0.9</v>
      </c>
      <c r="E63" s="89" t="n">
        <f aca="false">C63*D63</f>
        <v>3.6</v>
      </c>
      <c r="F63" s="69"/>
      <c r="K63" s="70"/>
    </row>
    <row r="64" customFormat="false" ht="17.35" hidden="false" customHeight="false" outlineLevel="0" collapsed="false">
      <c r="A64" s="134" t="s">
        <v>115</v>
      </c>
      <c r="B64" s="135" t="s">
        <v>116</v>
      </c>
      <c r="C64" s="136" t="n">
        <v>8</v>
      </c>
      <c r="D64" s="137" t="n">
        <f aca="false">Управление!C49</f>
        <v>1.92</v>
      </c>
      <c r="E64" s="89" t="n">
        <f aca="false">C64*D64</f>
        <v>15.36</v>
      </c>
      <c r="F64" s="69"/>
      <c r="K64" s="70"/>
    </row>
    <row r="65" customFormat="false" ht="17.35" hidden="false" customHeight="false" outlineLevel="0" collapsed="false">
      <c r="A65" s="134" t="s">
        <v>117</v>
      </c>
      <c r="B65" s="135" t="s">
        <v>116</v>
      </c>
      <c r="C65" s="136" t="n">
        <v>0.387</v>
      </c>
      <c r="D65" s="137" t="n">
        <f aca="false">Управление!C50</f>
        <v>0.66</v>
      </c>
      <c r="E65" s="89" t="n">
        <f aca="false">C65*D65</f>
        <v>0.25542</v>
      </c>
      <c r="F65" s="69"/>
      <c r="K65" s="70"/>
    </row>
    <row r="66" customFormat="false" ht="17.35" hidden="false" customHeight="false" outlineLevel="0" collapsed="false">
      <c r="A66" s="134" t="s">
        <v>118</v>
      </c>
      <c r="B66" s="135" t="s">
        <v>119</v>
      </c>
      <c r="C66" s="136" t="n">
        <v>0.16</v>
      </c>
      <c r="D66" s="138" t="n">
        <f aca="false">Управление!E51</f>
        <v>119</v>
      </c>
      <c r="E66" s="89" t="n">
        <f aca="false">C66*D66</f>
        <v>19.04</v>
      </c>
      <c r="F66" s="69"/>
      <c r="K66" s="70"/>
    </row>
    <row r="67" customFormat="false" ht="17.35" hidden="false" customHeight="false" outlineLevel="0" collapsed="false">
      <c r="A67" s="119" t="s">
        <v>120</v>
      </c>
      <c r="B67" s="120" t="s">
        <v>35</v>
      </c>
      <c r="C67" s="139" t="n">
        <v>1</v>
      </c>
      <c r="D67" s="140" t="n">
        <f aca="false">Управление!B52</f>
        <v>54.08</v>
      </c>
      <c r="E67" s="89" t="n">
        <f aca="false">C67*D67</f>
        <v>54.08</v>
      </c>
      <c r="F67" s="69"/>
      <c r="K67" s="70"/>
    </row>
    <row r="68" customFormat="false" ht="17.35" hidden="false" customHeight="false" outlineLevel="0" collapsed="false">
      <c r="A68" s="134" t="s">
        <v>121</v>
      </c>
      <c r="B68" s="135" t="s">
        <v>35</v>
      </c>
      <c r="C68" s="121" t="n">
        <v>1</v>
      </c>
      <c r="D68" s="122" t="n">
        <f aca="false">Управление!B53</f>
        <v>35.5</v>
      </c>
      <c r="E68" s="89" t="n">
        <f aca="false">C68*D68</f>
        <v>35.5</v>
      </c>
      <c r="F68" s="69"/>
      <c r="K68" s="70"/>
    </row>
    <row r="69" customFormat="false" ht="17.35" hidden="false" customHeight="false" outlineLevel="0" collapsed="false">
      <c r="A69" s="141" t="s">
        <v>122</v>
      </c>
      <c r="B69" s="78"/>
      <c r="C69" s="79"/>
      <c r="D69" s="80"/>
      <c r="E69" s="81"/>
      <c r="F69" s="69"/>
      <c r="K69" s="70"/>
    </row>
    <row r="70" customFormat="false" ht="17.35" hidden="false" customHeight="false" outlineLevel="0" collapsed="false">
      <c r="A70" s="119" t="s">
        <v>123</v>
      </c>
      <c r="B70" s="120" t="s">
        <v>35</v>
      </c>
      <c r="C70" s="121" t="n">
        <v>2</v>
      </c>
      <c r="D70" s="122" t="n">
        <f aca="false">Управление!B56</f>
        <v>0.61</v>
      </c>
      <c r="E70" s="89" t="n">
        <v>1.2</v>
      </c>
      <c r="F70" s="69"/>
      <c r="K70" s="70"/>
    </row>
    <row r="71" customFormat="false" ht="17.35" hidden="false" customHeight="false" outlineLevel="0" collapsed="false">
      <c r="A71" s="119" t="s">
        <v>124</v>
      </c>
      <c r="B71" s="135" t="s">
        <v>29</v>
      </c>
      <c r="C71" s="121" t="n">
        <v>0.165</v>
      </c>
      <c r="D71" s="122" t="n">
        <f aca="false">Управление!G57</f>
        <v>169</v>
      </c>
      <c r="E71" s="89" t="n">
        <v>27.9</v>
      </c>
      <c r="F71" s="69"/>
      <c r="K71" s="70"/>
    </row>
    <row r="72" customFormat="false" ht="17.35" hidden="false" customHeight="false" outlineLevel="0" collapsed="false">
      <c r="A72" s="134" t="s">
        <v>125</v>
      </c>
      <c r="B72" s="135" t="s">
        <v>35</v>
      </c>
      <c r="C72" s="139" t="n">
        <v>1</v>
      </c>
      <c r="D72" s="140" t="n">
        <f aca="false">Управление!F58</f>
        <v>3000</v>
      </c>
      <c r="E72" s="89" t="n">
        <f aca="false">C72*D72</f>
        <v>3000</v>
      </c>
      <c r="F72" s="69"/>
      <c r="K72" s="70"/>
    </row>
    <row r="73" customFormat="false" ht="17.35" hidden="false" customHeight="false" outlineLevel="0" collapsed="false">
      <c r="A73" s="134" t="s">
        <v>126</v>
      </c>
      <c r="B73" s="135" t="s">
        <v>35</v>
      </c>
      <c r="C73" s="139" t="n">
        <f aca="false">IF(Квартирная!A29="Нет",1,2)</f>
        <v>2</v>
      </c>
      <c r="D73" s="140" t="n">
        <f aca="false">Управление!B60</f>
        <v>200</v>
      </c>
      <c r="E73" s="89" t="n">
        <f aca="false">C73*D73</f>
        <v>400</v>
      </c>
      <c r="F73" s="69"/>
      <c r="K73" s="70"/>
    </row>
    <row r="74" customFormat="false" ht="17.35" hidden="false" customHeight="false" outlineLevel="0" collapsed="false">
      <c r="A74" s="141" t="s">
        <v>127</v>
      </c>
      <c r="B74" s="78"/>
      <c r="C74" s="79"/>
      <c r="D74" s="80"/>
      <c r="E74" s="81"/>
      <c r="F74" s="69"/>
      <c r="K74" s="70"/>
    </row>
    <row r="75" customFormat="false" ht="17.35" hidden="false" customHeight="false" outlineLevel="0" collapsed="false">
      <c r="A75" s="85" t="s">
        <v>128</v>
      </c>
      <c r="B75" s="85" t="s">
        <v>29</v>
      </c>
      <c r="C75" s="142" t="n">
        <f aca="false">IF(Квартирная!B15="Открытый [Без утепления]",0,7.56)</f>
        <v>0</v>
      </c>
      <c r="D75" s="143" t="n">
        <f aca="false">Управление!G3</f>
        <v>84</v>
      </c>
      <c r="E75" s="144" t="n">
        <f aca="false">D75*C75</f>
        <v>0</v>
      </c>
      <c r="F75" s="69"/>
      <c r="K75" s="70"/>
    </row>
    <row r="76" customFormat="false" ht="17.35" hidden="false" customHeight="false" outlineLevel="0" collapsed="false">
      <c r="A76" s="85" t="s">
        <v>129</v>
      </c>
      <c r="B76" s="85" t="s">
        <v>21</v>
      </c>
      <c r="C76" s="145" t="n">
        <f aca="false">IF(Квартирная!B15="Открытый [Без утепления]",0,0.035)</f>
        <v>0</v>
      </c>
      <c r="D76" s="143" t="n">
        <f aca="false">Управление!F13</f>
        <v>2150</v>
      </c>
      <c r="E76" s="144" t="n">
        <f aca="false">D76*C76</f>
        <v>0</v>
      </c>
      <c r="F76" s="69"/>
      <c r="K76" s="70"/>
    </row>
    <row r="77" customFormat="false" ht="17.35" hidden="false" customHeight="false" outlineLevel="0" collapsed="false">
      <c r="A77" s="141" t="s">
        <v>130</v>
      </c>
      <c r="B77" s="78"/>
      <c r="C77" s="79"/>
      <c r="D77" s="80"/>
      <c r="E77" s="81"/>
      <c r="F77" s="69"/>
      <c r="K77" s="70"/>
    </row>
    <row r="78" customFormat="false" ht="17.35" hidden="false" customHeight="false" outlineLevel="0" collapsed="false">
      <c r="A78" s="119" t="s">
        <v>131</v>
      </c>
      <c r="B78" s="146" t="s">
        <v>132</v>
      </c>
      <c r="C78" s="121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отделка'!E3),0,100)</f>
        <v>100</v>
      </c>
      <c r="D78" s="122" t="n">
        <f aca="false">Управление!B38</f>
        <v>0.18</v>
      </c>
      <c r="E78" s="89" t="n">
        <f aca="false">C78*D78</f>
        <v>18</v>
      </c>
      <c r="F78" s="147"/>
      <c r="K78" s="70"/>
    </row>
    <row r="79" customFormat="false" ht="17.35" hidden="false" customHeight="false" outlineLevel="0" collapsed="false">
      <c r="A79" s="119" t="s">
        <v>89</v>
      </c>
      <c r="B79" s="120" t="s">
        <v>35</v>
      </c>
      <c r="C79" s="125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отделка'!E3),0,4)</f>
        <v>4</v>
      </c>
      <c r="D79" s="122" t="n">
        <f aca="false">Управление!B17</f>
        <v>1.6</v>
      </c>
      <c r="E79" s="89" t="n">
        <f aca="false">C79*D79</f>
        <v>6.4</v>
      </c>
      <c r="F79" s="69"/>
      <c r="K79" s="70"/>
    </row>
    <row r="80" customFormat="false" ht="17.35" hidden="false" customHeight="false" outlineLevel="0" collapsed="false">
      <c r="A80" s="141" t="s">
        <v>133</v>
      </c>
      <c r="B80" s="78"/>
      <c r="C80" s="79"/>
      <c r="D80" s="80"/>
      <c r="E80" s="81"/>
      <c r="F80" s="69"/>
      <c r="K80" s="70"/>
    </row>
    <row r="81" customFormat="false" ht="17.35" hidden="false" customHeight="false" outlineLevel="0" collapsed="false">
      <c r="A81" s="134" t="s">
        <v>134</v>
      </c>
      <c r="B81" s="119" t="s">
        <v>35</v>
      </c>
      <c r="C81" s="142" t="n">
        <f aca="false">IF(Квартирная!A32="Электронный",0,F81)</f>
        <v>1</v>
      </c>
      <c r="D81" s="140" t="n">
        <f aca="false">Управление!J29</f>
        <v>360</v>
      </c>
      <c r="E81" s="118" t="n">
        <f aca="false">C81*D81</f>
        <v>360</v>
      </c>
      <c r="F81" s="69" t="n">
        <f aca="false">IF(Квартирная!B32=A81,1,0)</f>
        <v>1</v>
      </c>
      <c r="K81" s="70"/>
    </row>
    <row r="82" customFormat="false" ht="17.35" hidden="false" customHeight="false" outlineLevel="0" collapsed="false">
      <c r="A82" s="134" t="s">
        <v>135</v>
      </c>
      <c r="B82" s="119" t="s">
        <v>35</v>
      </c>
      <c r="C82" s="142" t="n">
        <f aca="false">IF(Квартирная!A32="Электронный",0,F82)</f>
        <v>0</v>
      </c>
      <c r="D82" s="140" t="n">
        <f aca="false">Управление!J30</f>
        <v>758</v>
      </c>
      <c r="E82" s="118" t="n">
        <f aca="false">C82*D82</f>
        <v>0</v>
      </c>
      <c r="F82" s="69" t="n">
        <f aca="false">IF(Квартирная!B32=A82,1,0)</f>
        <v>0</v>
      </c>
      <c r="K82" s="70"/>
    </row>
    <row r="83" customFormat="false" ht="17.35" hidden="false" customHeight="false" outlineLevel="0" collapsed="false">
      <c r="A83" s="134" t="s">
        <v>136</v>
      </c>
      <c r="B83" s="119" t="s">
        <v>35</v>
      </c>
      <c r="C83" s="142" t="n">
        <f aca="false">IF(Квартирная!A32="Электронный",0,F83)</f>
        <v>0</v>
      </c>
      <c r="D83" s="140" t="n">
        <f aca="false">Управление!J31</f>
        <v>875</v>
      </c>
      <c r="E83" s="118" t="n">
        <f aca="false">C83*D83</f>
        <v>0</v>
      </c>
      <c r="F83" s="69" t="n">
        <f aca="false">IF(Квартирная!B32=A83,1,0)</f>
        <v>0</v>
      </c>
      <c r="K83" s="70"/>
    </row>
    <row r="84" customFormat="false" ht="17.35" hidden="false" customHeight="false" outlineLevel="0" collapsed="false">
      <c r="A84" s="134" t="s">
        <v>137</v>
      </c>
      <c r="B84" s="119" t="s">
        <v>35</v>
      </c>
      <c r="C84" s="142" t="n">
        <f aca="false">IF(Квартирная!A32="Электронный",0,F84)</f>
        <v>0</v>
      </c>
      <c r="D84" s="140" t="n">
        <f aca="false">Управление!J32</f>
        <v>485</v>
      </c>
      <c r="E84" s="118" t="n">
        <f aca="false">C84*D84</f>
        <v>0</v>
      </c>
      <c r="F84" s="69" t="n">
        <f aca="false">IF(Квартирная!B32=A84,1,0)</f>
        <v>0</v>
      </c>
      <c r="K84" s="70"/>
    </row>
    <row r="85" customFormat="false" ht="17.35" hidden="false" customHeight="false" outlineLevel="0" collapsed="false">
      <c r="A85" s="134" t="s">
        <v>138</v>
      </c>
      <c r="B85" s="119" t="s">
        <v>35</v>
      </c>
      <c r="C85" s="142" t="n">
        <f aca="false">IF(Квартирная!A32="Электронный",0,F85)</f>
        <v>0</v>
      </c>
      <c r="D85" s="140" t="n">
        <f aca="false">Управление!J33</f>
        <v>1449</v>
      </c>
      <c r="E85" s="118" t="n">
        <f aca="false">C85*D85</f>
        <v>0</v>
      </c>
      <c r="F85" s="69" t="n">
        <f aca="false">IF(Квартирная!B32=A85,1,0)</f>
        <v>0</v>
      </c>
      <c r="K85" s="70"/>
    </row>
    <row r="86" customFormat="false" ht="17.35" hidden="false" customHeight="false" outlineLevel="0" collapsed="false">
      <c r="A86" s="134" t="s">
        <v>139</v>
      </c>
      <c r="B86" s="119" t="s">
        <v>35</v>
      </c>
      <c r="C86" s="142" t="n">
        <f aca="false">IF(Квартирная!A32="Электронный",0,F86)</f>
        <v>0</v>
      </c>
      <c r="D86" s="140" t="n">
        <f aca="false">Управление!J34</f>
        <v>2025</v>
      </c>
      <c r="E86" s="118" t="n">
        <f aca="false">C86*D86</f>
        <v>0</v>
      </c>
      <c r="F86" s="69" t="n">
        <f aca="false">IF(Квартирная!B32=A86,1,0)</f>
        <v>0</v>
      </c>
      <c r="K86" s="70"/>
    </row>
    <row r="87" customFormat="false" ht="17.35" hidden="false" customHeight="false" outlineLevel="0" collapsed="false">
      <c r="A87" s="148" t="s">
        <v>140</v>
      </c>
      <c r="B87" s="119" t="s">
        <v>35</v>
      </c>
      <c r="C87" s="142" t="n">
        <f aca="false">IF(Квартирная!B34=A87,1,0)</f>
        <v>0</v>
      </c>
      <c r="D87" s="140" t="n">
        <f aca="false">Управление!J35</f>
        <v>390</v>
      </c>
      <c r="E87" s="118" t="n">
        <f aca="false">C87*D87</f>
        <v>0</v>
      </c>
      <c r="F87" s="69"/>
      <c r="K87" s="70"/>
    </row>
    <row r="88" customFormat="false" ht="17.35" hidden="false" customHeight="false" outlineLevel="0" collapsed="false">
      <c r="A88" s="148" t="s">
        <v>141</v>
      </c>
      <c r="B88" s="119" t="s">
        <v>35</v>
      </c>
      <c r="C88" s="142" t="n">
        <f aca="false">IF(Квартирная!B34=A88,1,0)</f>
        <v>0</v>
      </c>
      <c r="D88" s="140" t="n">
        <f aca="false">Управление!J36</f>
        <v>967</v>
      </c>
      <c r="E88" s="118" t="n">
        <f aca="false">C88*D88</f>
        <v>0</v>
      </c>
      <c r="F88" s="69"/>
      <c r="K88" s="70"/>
    </row>
    <row r="89" customFormat="false" ht="17.35" hidden="false" customHeight="false" outlineLevel="0" collapsed="false">
      <c r="A89" s="148" t="s">
        <v>142</v>
      </c>
      <c r="B89" s="119" t="s">
        <v>35</v>
      </c>
      <c r="C89" s="142" t="n">
        <f aca="false">IF(Квартирная!B34=A89,1,0)</f>
        <v>0</v>
      </c>
      <c r="D89" s="140" t="n">
        <f aca="false">Управление!J37</f>
        <v>1060</v>
      </c>
      <c r="E89" s="118" t="n">
        <f aca="false">C89*D89</f>
        <v>0</v>
      </c>
      <c r="F89" s="69"/>
      <c r="K89" s="70"/>
    </row>
    <row r="90" customFormat="false" ht="17.35" hidden="false" customHeight="false" outlineLevel="0" collapsed="false">
      <c r="A90" s="148" t="s">
        <v>143</v>
      </c>
      <c r="B90" s="119" t="s">
        <v>35</v>
      </c>
      <c r="C90" s="142" t="n">
        <f aca="false">IF(Квартирная!B34=A90,1,0)</f>
        <v>0</v>
      </c>
      <c r="D90" s="140" t="n">
        <f aca="false">Управление!J38</f>
        <v>310</v>
      </c>
      <c r="E90" s="118" t="n">
        <f aca="false">C90*D90</f>
        <v>0</v>
      </c>
      <c r="F90" s="69"/>
      <c r="K90" s="70"/>
    </row>
    <row r="91" customFormat="false" ht="17.35" hidden="false" customHeight="false" outlineLevel="0" collapsed="false">
      <c r="A91" s="148" t="s">
        <v>144</v>
      </c>
      <c r="B91" s="119" t="s">
        <v>35</v>
      </c>
      <c r="C91" s="142" t="n">
        <f aca="false">IF(Квартирная!B34=A91,1,0)</f>
        <v>0</v>
      </c>
      <c r="D91" s="140" t="n">
        <f aca="false">Управление!J39</f>
        <v>701</v>
      </c>
      <c r="E91" s="118" t="n">
        <f aca="false">C91*D91</f>
        <v>0</v>
      </c>
      <c r="F91" s="69"/>
      <c r="K91" s="70"/>
    </row>
    <row r="92" customFormat="false" ht="17.35" hidden="false" customHeight="false" outlineLevel="0" collapsed="false">
      <c r="A92" s="148" t="s">
        <v>145</v>
      </c>
      <c r="B92" s="119" t="s">
        <v>35</v>
      </c>
      <c r="C92" s="142" t="n">
        <f aca="false">IF(Квартирная!B34=A92,1,0)</f>
        <v>0</v>
      </c>
      <c r="D92" s="140" t="n">
        <f aca="false">Управление!J40</f>
        <v>993</v>
      </c>
      <c r="E92" s="118" t="n">
        <f aca="false">C92*D92</f>
        <v>0</v>
      </c>
      <c r="F92" s="69"/>
      <c r="K92" s="70"/>
    </row>
    <row r="93" customFormat="false" ht="17.35" hidden="false" customHeight="false" outlineLevel="0" collapsed="false">
      <c r="A93" s="149" t="s">
        <v>146</v>
      </c>
      <c r="B93" s="150"/>
      <c r="C93" s="151"/>
      <c r="D93" s="152"/>
      <c r="E93" s="153"/>
      <c r="F93" s="69"/>
      <c r="K93" s="70"/>
    </row>
    <row r="94" customFormat="false" ht="17.35" hidden="false" customHeight="false" outlineLevel="0" collapsed="false">
      <c r="A94" s="154" t="s">
        <v>147</v>
      </c>
      <c r="B94" s="119" t="s">
        <v>35</v>
      </c>
      <c r="C94" s="155" t="n">
        <f aca="false">IF(AND(F97="Металл",OR(Квартирная!A32="Цилиндровый",Квартирная!A32="Специальный"),Квартирная!B36="DWF Profi"),1,0)</f>
        <v>0</v>
      </c>
      <c r="D94" s="156" t="n">
        <f aca="false">Управление!J43</f>
        <v>235</v>
      </c>
      <c r="E94" s="157" t="n">
        <f aca="false">C94*D94</f>
        <v>0</v>
      </c>
      <c r="F94" s="69"/>
      <c r="K94" s="70"/>
    </row>
    <row r="95" customFormat="false" ht="17.35" hidden="false" customHeight="false" outlineLevel="0" collapsed="false">
      <c r="A95" s="154" t="s">
        <v>148</v>
      </c>
      <c r="B95" s="119" t="s">
        <v>35</v>
      </c>
      <c r="C95" s="155" t="n">
        <f aca="false">IF(AND(F97="Металл",OR(Квартирная!A32="Цилиндровый",Квартирная!A32="Специальный"),Квартирная!B36="Fuaro D-Pro 507"),1,0)</f>
        <v>0</v>
      </c>
      <c r="D95" s="156" t="n">
        <f aca="false">Управление!J44</f>
        <v>670</v>
      </c>
      <c r="E95" s="157" t="n">
        <f aca="false">C95*D95</f>
        <v>0</v>
      </c>
      <c r="F95" s="69"/>
      <c r="K95" s="70"/>
    </row>
    <row r="96" customFormat="false" ht="17.35" hidden="false" customHeight="false" outlineLevel="0" collapsed="false">
      <c r="A96" s="154" t="s">
        <v>149</v>
      </c>
      <c r="B96" s="119" t="s">
        <v>35</v>
      </c>
      <c r="C96" s="155" t="n">
        <f aca="false">IF(AND(F97="Металл",OR(Квартирная!A32="Цилиндровый",Квартирная!A32="Специальный"),Квартирная!B36="Secureme K-2"),1,0)</f>
        <v>0</v>
      </c>
      <c r="D96" s="156" t="n">
        <f aca="false">Управление!J45</f>
        <v>3660</v>
      </c>
      <c r="E96" s="157" t="n">
        <f aca="false">C96*D96</f>
        <v>0</v>
      </c>
      <c r="F96" s="69"/>
      <c r="K96" s="70"/>
    </row>
    <row r="97" customFormat="false" ht="17.35" hidden="false" customHeight="false" outlineLevel="0" collapsed="false">
      <c r="A97" s="154" t="s">
        <v>150</v>
      </c>
      <c r="B97" s="119" t="s">
        <v>35</v>
      </c>
      <c r="C97" s="155" t="n">
        <f aca="false">IF(AND(F97="МДФ",OR(Квартирная!A32="Цилиндровый",Квартирная!A32="Специальный"),Квартирная!B36="DWF Profi"),1,0)</f>
        <v>1</v>
      </c>
      <c r="D97" s="156" t="n">
        <f aca="false">Управление!J46</f>
        <v>290</v>
      </c>
      <c r="E97" s="157" t="n">
        <f aca="false">C97*D97</f>
        <v>290</v>
      </c>
      <c r="F97" s="69" t="str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отделка'!E3),"Металл","МДФ")</f>
        <v>МДФ</v>
      </c>
      <c r="K97" s="70"/>
    </row>
    <row r="98" customFormat="false" ht="17.35" hidden="false" customHeight="false" outlineLevel="0" collapsed="false">
      <c r="A98" s="154" t="s">
        <v>151</v>
      </c>
      <c r="B98" s="119" t="s">
        <v>35</v>
      </c>
      <c r="C98" s="155" t="n">
        <f aca="false">IF(AND(F97="МДФ",OR(Квартирная!A32="Цилиндровый",Квартирная!A32="Специальный"),Квартирная!B36="Fuaro D-Pro 507"),1,0)</f>
        <v>0</v>
      </c>
      <c r="D98" s="156" t="n">
        <f aca="false">Управление!J47</f>
        <v>790</v>
      </c>
      <c r="E98" s="157" t="n">
        <f aca="false">C98*D98</f>
        <v>0</v>
      </c>
      <c r="F98" s="69"/>
      <c r="K98" s="70"/>
    </row>
    <row r="99" customFormat="false" ht="17.35" hidden="false" customHeight="false" outlineLevel="0" collapsed="false">
      <c r="A99" s="154" t="s">
        <v>152</v>
      </c>
      <c r="B99" s="119" t="s">
        <v>35</v>
      </c>
      <c r="C99" s="155" t="n">
        <f aca="false">IF(AND(F97="МДФ",OR(Квартирная!A32="Цилиндровый",Квартирная!A32="Специальный"),Квартирная!B36="Secureme K-2"),1,0)</f>
        <v>0</v>
      </c>
      <c r="D99" s="156" t="n">
        <f aca="false">Управление!J48</f>
        <v>3690</v>
      </c>
      <c r="E99" s="157" t="n">
        <f aca="false">C99*D99</f>
        <v>0</v>
      </c>
      <c r="F99" s="69"/>
      <c r="K99" s="70"/>
    </row>
    <row r="100" customFormat="false" ht="17.35" hidden="false" customHeight="false" outlineLevel="0" collapsed="false">
      <c r="A100" s="149" t="s">
        <v>153</v>
      </c>
      <c r="B100" s="150"/>
      <c r="C100" s="151"/>
      <c r="D100" s="152"/>
      <c r="E100" s="153"/>
      <c r="F100" s="69"/>
      <c r="K100" s="70"/>
    </row>
    <row r="101" customFormat="false" ht="17.35" hidden="false" customHeight="false" outlineLevel="0" collapsed="false">
      <c r="A101" s="154" t="s">
        <v>147</v>
      </c>
      <c r="B101" s="119" t="s">
        <v>35</v>
      </c>
      <c r="C101" s="142" t="n">
        <f aca="false">IF(AND(F97="Металл",Квартирная!A34="Цилиндровый",Квартирная!B38="DWF Profi"),1,0)</f>
        <v>0</v>
      </c>
      <c r="D101" s="140" t="n">
        <f aca="false">Управление!J43</f>
        <v>235</v>
      </c>
      <c r="E101" s="118" t="n">
        <f aca="false">C101*D101</f>
        <v>0</v>
      </c>
      <c r="F101" s="69"/>
      <c r="K101" s="70"/>
    </row>
    <row r="102" customFormat="false" ht="17.35" hidden="false" customHeight="false" outlineLevel="0" collapsed="false">
      <c r="A102" s="154" t="s">
        <v>148</v>
      </c>
      <c r="B102" s="119" t="s">
        <v>35</v>
      </c>
      <c r="C102" s="142" t="n">
        <f aca="false">IF(AND(F97="Металл",Квартирная!A34="Цилиндровый",Квартирная!B38="Fuaro D-Pro 507"),1,0)</f>
        <v>0</v>
      </c>
      <c r="D102" s="140" t="n">
        <f aca="false">Управление!J44</f>
        <v>670</v>
      </c>
      <c r="E102" s="118" t="n">
        <f aca="false">C102*D102</f>
        <v>0</v>
      </c>
      <c r="F102" s="69"/>
      <c r="K102" s="70"/>
    </row>
    <row r="103" customFormat="false" ht="17.35" hidden="false" customHeight="false" outlineLevel="0" collapsed="false">
      <c r="A103" s="154" t="s">
        <v>149</v>
      </c>
      <c r="B103" s="119" t="s">
        <v>35</v>
      </c>
      <c r="C103" s="142" t="n">
        <f aca="false">IF(AND(F97="Металл",Квартирная!A34="Цилиндровый",Квартирная!B38="Secureme K-2"),1,0)</f>
        <v>0</v>
      </c>
      <c r="D103" s="140" t="n">
        <f aca="false">Управление!J45</f>
        <v>3660</v>
      </c>
      <c r="E103" s="118" t="n">
        <f aca="false">C103*D103</f>
        <v>0</v>
      </c>
      <c r="F103" s="69"/>
      <c r="K103" s="70"/>
    </row>
    <row r="104" customFormat="false" ht="17.35" hidden="false" customHeight="false" outlineLevel="0" collapsed="false">
      <c r="A104" s="154" t="s">
        <v>150</v>
      </c>
      <c r="B104" s="119" t="s">
        <v>35</v>
      </c>
      <c r="C104" s="142" t="n">
        <f aca="false">IF(AND(F97="МДФ",Квартирная!A34="Цилиндровый",Квартирная!B38="DWF Profi"),1,0)</f>
        <v>0</v>
      </c>
      <c r="D104" s="140" t="n">
        <f aca="false">Управление!J46</f>
        <v>290</v>
      </c>
      <c r="E104" s="118" t="n">
        <f aca="false">C104*D104</f>
        <v>0</v>
      </c>
      <c r="F104" s="69"/>
      <c r="K104" s="70"/>
    </row>
    <row r="105" customFormat="false" ht="17.35" hidden="false" customHeight="false" outlineLevel="0" collapsed="false">
      <c r="A105" s="154" t="s">
        <v>151</v>
      </c>
      <c r="B105" s="119" t="s">
        <v>35</v>
      </c>
      <c r="C105" s="142" t="n">
        <f aca="false">IF(AND(F97="МДФ",Квартирная!A34="Цилиндровый",Квартирная!B38="Fuaro D-Pro 507"),1,0)</f>
        <v>0</v>
      </c>
      <c r="D105" s="140" t="n">
        <f aca="false">Управление!J47</f>
        <v>790</v>
      </c>
      <c r="E105" s="118" t="n">
        <f aca="false">C105*D105</f>
        <v>0</v>
      </c>
      <c r="F105" s="69"/>
      <c r="K105" s="70"/>
    </row>
    <row r="106" customFormat="false" ht="17.35" hidden="false" customHeight="false" outlineLevel="0" collapsed="false">
      <c r="A106" s="154" t="s">
        <v>152</v>
      </c>
      <c r="B106" s="119" t="s">
        <v>35</v>
      </c>
      <c r="C106" s="142" t="n">
        <f aca="false">IF(AND(F97="МДФ",Квартирная!A34="Цилиндровый",Квартирная!B38="Secureme K-2"),1,0)</f>
        <v>0</v>
      </c>
      <c r="D106" s="140" t="n">
        <f aca="false">Управление!J48</f>
        <v>3690</v>
      </c>
      <c r="E106" s="118" t="n">
        <f aca="false">C106*D106</f>
        <v>0</v>
      </c>
      <c r="F106" s="69"/>
      <c r="K106" s="70"/>
    </row>
    <row r="107" customFormat="false" ht="17.35" hidden="false" customHeight="false" outlineLevel="0" collapsed="false">
      <c r="A107" s="158" t="s">
        <v>154</v>
      </c>
      <c r="B107" s="159"/>
      <c r="C107" s="159"/>
      <c r="D107" s="159"/>
      <c r="E107" s="160"/>
      <c r="F107" s="69"/>
      <c r="K107" s="70"/>
    </row>
    <row r="108" customFormat="false" ht="17.35" hidden="false" customHeight="false" outlineLevel="0" collapsed="false">
      <c r="A108" s="161" t="s">
        <v>155</v>
      </c>
      <c r="B108" s="162"/>
      <c r="C108" s="162"/>
      <c r="D108" s="162"/>
      <c r="E108" s="163"/>
      <c r="F108" s="69"/>
      <c r="K108" s="70"/>
    </row>
    <row r="109" customFormat="false" ht="17.35" hidden="false" customHeight="false" outlineLevel="0" collapsed="false">
      <c r="A109" s="134" t="s">
        <v>156</v>
      </c>
      <c r="B109" s="119" t="s">
        <v>35</v>
      </c>
      <c r="C109" s="142" t="n">
        <f aca="false">IF(OR(Квартирная!A32="Электронный",Квартирная!B43="Бугельная"),0,F109)</f>
        <v>0</v>
      </c>
      <c r="D109" s="140" t="n">
        <f aca="false">Управление!J52</f>
        <v>480</v>
      </c>
      <c r="E109" s="118" t="n">
        <f aca="false">D109*C109</f>
        <v>0</v>
      </c>
      <c r="F109" s="69" t="n">
        <f aca="false">IF(AND(Квартирная!B41="Золото",Квартирная!C41="Квадратное"),1,0)</f>
        <v>0</v>
      </c>
      <c r="K109" s="70"/>
    </row>
    <row r="110" customFormat="false" ht="17.35" hidden="false" customHeight="false" outlineLevel="0" collapsed="false">
      <c r="A110" s="134" t="s">
        <v>157</v>
      </c>
      <c r="B110" s="119" t="s">
        <v>35</v>
      </c>
      <c r="C110" s="142" t="n">
        <f aca="false">IF(OR(Квартирная!A32="Электронный",Квартирная!B43="Бугельная"),0,F110)</f>
        <v>0</v>
      </c>
      <c r="D110" s="140" t="n">
        <f aca="false">Управление!J53</f>
        <v>390</v>
      </c>
      <c r="E110" s="118" t="n">
        <f aca="false">D110*C110</f>
        <v>0</v>
      </c>
      <c r="F110" s="69" t="n">
        <f aca="false">IF(AND(Квартирная!B41="Чёрная",Квартирная!C41="Квадратное"),1,0)</f>
        <v>0</v>
      </c>
      <c r="K110" s="70"/>
    </row>
    <row r="111" customFormat="false" ht="17.35" hidden="false" customHeight="false" outlineLevel="0" collapsed="false">
      <c r="A111" s="134" t="s">
        <v>158</v>
      </c>
      <c r="B111" s="119" t="s">
        <v>35</v>
      </c>
      <c r="C111" s="142" t="n">
        <f aca="false">IF(OR(Квартирная!A32="Электронный",Квартирная!B43="Бугельная"),0,F111)</f>
        <v>1</v>
      </c>
      <c r="D111" s="140" t="n">
        <f aca="false">Управление!J54</f>
        <v>390</v>
      </c>
      <c r="E111" s="118" t="n">
        <f aca="false">D111*C111</f>
        <v>390</v>
      </c>
      <c r="F111" s="69" t="n">
        <f aca="false">IF(AND(Квартирная!B41="Хром",Квартирная!C41="Квадратное"),1,0)</f>
        <v>1</v>
      </c>
      <c r="K111" s="70"/>
    </row>
    <row r="112" customFormat="false" ht="17.35" hidden="false" customHeight="false" outlineLevel="0" collapsed="false">
      <c r="A112" s="134" t="s">
        <v>159</v>
      </c>
      <c r="B112" s="119" t="s">
        <v>35</v>
      </c>
      <c r="C112" s="142" t="n">
        <f aca="false">IF(OR(Квартирная!A32="Электронный",Квартирная!B43="Бугельная"),0,F112)</f>
        <v>0</v>
      </c>
      <c r="D112" s="140" t="n">
        <f aca="false">Управление!J55</f>
        <v>277.1</v>
      </c>
      <c r="E112" s="118" t="n">
        <f aca="false">D112*C112</f>
        <v>0</v>
      </c>
      <c r="F112" s="69" t="n">
        <f aca="false">IF(AND(Квартирная!B41="Бронза",Квартирная!C41="Овальное"),1,0)</f>
        <v>0</v>
      </c>
      <c r="K112" s="70"/>
    </row>
    <row r="113" customFormat="false" ht="17.35" hidden="false" customHeight="false" outlineLevel="0" collapsed="false">
      <c r="A113" s="134" t="s">
        <v>160</v>
      </c>
      <c r="B113" s="119" t="s">
        <v>35</v>
      </c>
      <c r="C113" s="142" t="n">
        <f aca="false">IF(OR(Квартирная!A32="Электронный",Квартирная!B43="Бугельная"),0,F113)</f>
        <v>0</v>
      </c>
      <c r="D113" s="140" t="n">
        <f aca="false">Управление!J56</f>
        <v>240</v>
      </c>
      <c r="E113" s="118" t="n">
        <f aca="false">D113*C113</f>
        <v>0</v>
      </c>
      <c r="F113" s="69" t="n">
        <f aca="false">IF(AND(Квартирная!B41="Чёрная",Квартирная!C41="Овальное"),1,0)</f>
        <v>0</v>
      </c>
      <c r="K113" s="70"/>
    </row>
    <row r="114" customFormat="false" ht="17.35" hidden="false" customHeight="false" outlineLevel="0" collapsed="false">
      <c r="A114" s="134" t="s">
        <v>161</v>
      </c>
      <c r="B114" s="119" t="s">
        <v>35</v>
      </c>
      <c r="C114" s="142" t="n">
        <f aca="false">IF(OR(Квартирная!A32="Электронный",Квартирная!B43="Бугельная"),0,F114)</f>
        <v>0</v>
      </c>
      <c r="D114" s="140" t="n">
        <f aca="false">Управление!J57</f>
        <v>218.7</v>
      </c>
      <c r="E114" s="118" t="n">
        <f aca="false">D114*C114</f>
        <v>0</v>
      </c>
      <c r="F114" s="69" t="n">
        <f aca="false">IF(AND(Квартирная!B41="Хром",Квартирная!C41="Овальное"),1,0)</f>
        <v>0</v>
      </c>
      <c r="K114" s="70"/>
    </row>
    <row r="115" customFormat="false" ht="17.35" hidden="false" customHeight="false" outlineLevel="0" collapsed="false">
      <c r="A115" s="161" t="s">
        <v>162</v>
      </c>
      <c r="B115" s="162"/>
      <c r="C115" s="162"/>
      <c r="D115" s="162"/>
      <c r="E115" s="163"/>
      <c r="F115" s="69"/>
      <c r="K115" s="70"/>
    </row>
    <row r="116" customFormat="false" ht="17.35" hidden="false" customHeight="false" outlineLevel="0" collapsed="false">
      <c r="A116" s="134" t="s">
        <v>163</v>
      </c>
      <c r="B116" s="119" t="s">
        <v>35</v>
      </c>
      <c r="C116" s="142" t="n">
        <f aca="false">IF(Квартирная!A32="Электронный",0,F116)</f>
        <v>0</v>
      </c>
      <c r="D116" s="164" t="n">
        <f aca="false">Управление!J59</f>
        <v>369</v>
      </c>
      <c r="E116" s="118" t="n">
        <f aca="false">D116*C116</f>
        <v>0</v>
      </c>
      <c r="F116" s="69" t="n">
        <f aca="false">IF(AND(OR(Квартирная!A32="Цилиндровый",Квартирная!A32="Специальный"),Квартирная!C41="Квадратное",Квартирная!B41="Золото"),1,0)</f>
        <v>0</v>
      </c>
      <c r="K116" s="70"/>
    </row>
    <row r="117" customFormat="false" ht="17.35" hidden="false" customHeight="false" outlineLevel="0" collapsed="false">
      <c r="A117" s="134" t="s">
        <v>164</v>
      </c>
      <c r="B117" s="119" t="s">
        <v>35</v>
      </c>
      <c r="C117" s="142" t="n">
        <f aca="false">IF(Квартирная!A32="Электронный",0,F117)</f>
        <v>0</v>
      </c>
      <c r="D117" s="164" t="n">
        <f aca="false">Управление!J60</f>
        <v>84</v>
      </c>
      <c r="E117" s="118" t="n">
        <f aca="false">D117*C117</f>
        <v>0</v>
      </c>
      <c r="F117" s="69" t="n">
        <f aca="false">IF(AND(OR(Квартирная!A32="Цилиндровый",Квартирная!A32="Специальный"),Квартирная!C41="Квадратное",Квартирная!B41="Золото"),1,0)</f>
        <v>0</v>
      </c>
      <c r="K117" s="70"/>
    </row>
    <row r="118" customFormat="false" ht="17.35" hidden="false" customHeight="false" outlineLevel="0" collapsed="false">
      <c r="A118" s="134" t="s">
        <v>165</v>
      </c>
      <c r="B118" s="119" t="s">
        <v>35</v>
      </c>
      <c r="C118" s="142" t="n">
        <f aca="false">IF(Квартирная!A32="Электронный",0,F118)</f>
        <v>0</v>
      </c>
      <c r="D118" s="164" t="n">
        <f aca="false">Управление!J61</f>
        <v>360</v>
      </c>
      <c r="E118" s="118" t="n">
        <f aca="false">D118*C118</f>
        <v>0</v>
      </c>
      <c r="F118" s="69" t="n">
        <f aca="false">IF(AND(OR(Квартирная!A32="Цилиндровый",Квартирная!A32="Специальный"),Квартирная!C41="Квадратное",Квартирная!B41="Чёрная"),1,0)</f>
        <v>0</v>
      </c>
      <c r="K118" s="70"/>
    </row>
    <row r="119" customFormat="false" ht="17.35" hidden="false" customHeight="false" outlineLevel="0" collapsed="false">
      <c r="A119" s="134" t="s">
        <v>166</v>
      </c>
      <c r="B119" s="119" t="s">
        <v>35</v>
      </c>
      <c r="C119" s="142" t="n">
        <f aca="false">IF(Квартирная!A32="Электронный",0,F119)</f>
        <v>0</v>
      </c>
      <c r="D119" s="164" t="n">
        <f aca="false">Управление!J62</f>
        <v>70</v>
      </c>
      <c r="E119" s="118" t="n">
        <f aca="false">D119*C119</f>
        <v>0</v>
      </c>
      <c r="F119" s="69" t="n">
        <f aca="false">IF(AND(OR(Квартирная!A32="Цилиндровый",Квартирная!A32="Специальный"),Квартирная!C41="Квадратное",Квартирная!B41="Чёрная"),1,0)</f>
        <v>0</v>
      </c>
      <c r="K119" s="70"/>
    </row>
    <row r="120" customFormat="false" ht="17.35" hidden="false" customHeight="false" outlineLevel="0" collapsed="false">
      <c r="A120" s="134" t="s">
        <v>167</v>
      </c>
      <c r="B120" s="119" t="s">
        <v>35</v>
      </c>
      <c r="C120" s="142" t="n">
        <f aca="false">IF(Квартирная!A32="Электронный",0,F120)</f>
        <v>1</v>
      </c>
      <c r="D120" s="164" t="n">
        <f aca="false">Управление!J63</f>
        <v>360</v>
      </c>
      <c r="E120" s="118" t="n">
        <f aca="false">D120*C120</f>
        <v>360</v>
      </c>
      <c r="F120" s="69" t="n">
        <f aca="false">IF(AND(OR(Квартирная!A32="Цилиндровый",Квартирная!A32="Специальный"),Квартирная!C41="Квадратное",Квартирная!B41="Хром"),1,0)</f>
        <v>1</v>
      </c>
      <c r="K120" s="70"/>
    </row>
    <row r="121" customFormat="false" ht="17.35" hidden="false" customHeight="false" outlineLevel="0" collapsed="false">
      <c r="A121" s="134" t="s">
        <v>168</v>
      </c>
      <c r="B121" s="119" t="s">
        <v>35</v>
      </c>
      <c r="C121" s="142" t="n">
        <f aca="false">IF(Квартирная!A32="Электронный",0,F121)</f>
        <v>1</v>
      </c>
      <c r="D121" s="164" t="n">
        <f aca="false">Управление!J64</f>
        <v>70</v>
      </c>
      <c r="E121" s="118" t="n">
        <f aca="false">D121*C121</f>
        <v>70</v>
      </c>
      <c r="F121" s="69" t="n">
        <f aca="false">IF(AND(OR(Квартирная!A32="Цилиндровый",Квартирная!A32="Специальный"),Квартирная!C41="Квадратное",Квартирная!B41="Хром"),1,0)</f>
        <v>1</v>
      </c>
      <c r="K121" s="70"/>
    </row>
    <row r="122" customFormat="false" ht="17.35" hidden="false" customHeight="false" outlineLevel="0" collapsed="false">
      <c r="A122" s="134" t="s">
        <v>169</v>
      </c>
      <c r="B122" s="119" t="s">
        <v>35</v>
      </c>
      <c r="C122" s="142" t="n">
        <f aca="false">IF(Квартирная!A32="Электронный",0,F122)</f>
        <v>0</v>
      </c>
      <c r="D122" s="164" t="n">
        <f aca="false">Управление!J65</f>
        <v>395</v>
      </c>
      <c r="E122" s="118" t="n">
        <f aca="false">D122*C122</f>
        <v>0</v>
      </c>
      <c r="F122" s="69" t="n">
        <f aca="false">IF(AND(OR(Квартирная!A32="Цилиндровый",Квартирная!A32="Специальный"),Квартирная!C41="Овальное",Квартирная!B41="Бронза"),1,0)</f>
        <v>0</v>
      </c>
      <c r="K122" s="70"/>
    </row>
    <row r="123" customFormat="false" ht="17.35" hidden="false" customHeight="false" outlineLevel="0" collapsed="false">
      <c r="A123" s="134" t="s">
        <v>170</v>
      </c>
      <c r="B123" s="119" t="s">
        <v>35</v>
      </c>
      <c r="C123" s="142" t="n">
        <f aca="false">IF(Квартирная!A32="Электронный",0,F123)</f>
        <v>0</v>
      </c>
      <c r="D123" s="164" t="n">
        <f aca="false">Управление!J66</f>
        <v>81</v>
      </c>
      <c r="E123" s="118" t="n">
        <f aca="false">D123*C123</f>
        <v>0</v>
      </c>
      <c r="F123" s="69" t="n">
        <f aca="false">IF(AND(OR(Квартирная!A32="Цилиндровый",Квартирная!A32="Специальный"),Квартирная!C41="Овальное",Квартирная!B41="Бронза"),1,0)</f>
        <v>0</v>
      </c>
      <c r="K123" s="70"/>
    </row>
    <row r="124" customFormat="false" ht="17.35" hidden="false" customHeight="false" outlineLevel="0" collapsed="false">
      <c r="A124" s="134" t="s">
        <v>171</v>
      </c>
      <c r="B124" s="119" t="s">
        <v>35</v>
      </c>
      <c r="C124" s="142" t="n">
        <f aca="false">IF(Квартирная!A32="Электронный",0,F124)</f>
        <v>0</v>
      </c>
      <c r="D124" s="164" t="n">
        <f aca="false">Управление!J67</f>
        <v>220</v>
      </c>
      <c r="E124" s="118" t="n">
        <f aca="false">D124*C124</f>
        <v>0</v>
      </c>
      <c r="F124" s="69" t="n">
        <f aca="false">IF(AND(OR(Квартирная!A32="Цилиндровый",Квартирная!A32="Специальный"),Квартирная!C41="Овальное",Квартирная!B41="Чёрная"),1,0)</f>
        <v>0</v>
      </c>
      <c r="K124" s="70"/>
    </row>
    <row r="125" customFormat="false" ht="17.35" hidden="false" customHeight="false" outlineLevel="0" collapsed="false">
      <c r="A125" s="134" t="s">
        <v>172</v>
      </c>
      <c r="B125" s="119" t="s">
        <v>35</v>
      </c>
      <c r="C125" s="142" t="n">
        <f aca="false">IF(Квартирная!A32="Электронный",0,F125)</f>
        <v>0</v>
      </c>
      <c r="D125" s="164" t="n">
        <f aca="false">Управление!J68</f>
        <v>50</v>
      </c>
      <c r="E125" s="118" t="n">
        <f aca="false">D125*C125</f>
        <v>0</v>
      </c>
      <c r="F125" s="69" t="n">
        <f aca="false">IF(AND(OR(Квартирная!A32="Цилиндровый",Квартирная!A32="Специальный"),Квартирная!C41="Овальное",Квартирная!B41="Чёрная"),1,0)</f>
        <v>0</v>
      </c>
      <c r="K125" s="70"/>
    </row>
    <row r="126" customFormat="false" ht="17.35" hidden="false" customHeight="false" outlineLevel="0" collapsed="false">
      <c r="A126" s="134" t="s">
        <v>173</v>
      </c>
      <c r="B126" s="119" t="s">
        <v>35</v>
      </c>
      <c r="C126" s="142" t="n">
        <f aca="false">IF(Квартирная!A32="Электронный",0,F126)</f>
        <v>0</v>
      </c>
      <c r="D126" s="164" t="n">
        <f aca="false">Управление!J69</f>
        <v>260</v>
      </c>
      <c r="E126" s="118" t="n">
        <f aca="false">D126*C126</f>
        <v>0</v>
      </c>
      <c r="F126" s="69" t="n">
        <f aca="false">IF(AND(OR(Квартирная!A32="Цилиндровый",Квартирная!A32="Специальный"),Квартирная!C41="Овальное",Квартирная!B41="Хром"),1,0)</f>
        <v>0</v>
      </c>
      <c r="K126" s="70"/>
    </row>
    <row r="127" customFormat="false" ht="17.35" hidden="false" customHeight="false" outlineLevel="0" collapsed="false">
      <c r="A127" s="134" t="s">
        <v>174</v>
      </c>
      <c r="B127" s="119" t="s">
        <v>35</v>
      </c>
      <c r="C127" s="142" t="n">
        <f aca="false">IF(Квартирная!A32="Электронный",0,F127)</f>
        <v>0</v>
      </c>
      <c r="D127" s="164" t="n">
        <f aca="false">Управление!J70</f>
        <v>19</v>
      </c>
      <c r="E127" s="118" t="n">
        <f aca="false">D127*C127</f>
        <v>0</v>
      </c>
      <c r="F127" s="69" t="n">
        <f aca="false">IF(AND(OR(Квартирная!A32="Цилиндровый",Квартирная!A32="Специальный"),Квартирная!C41="Овальное",Квартирная!B41="Хром"),1,0)</f>
        <v>0</v>
      </c>
      <c r="K127" s="70"/>
    </row>
    <row r="128" customFormat="false" ht="17.35" hidden="false" customHeight="false" outlineLevel="0" collapsed="false">
      <c r="A128" s="134" t="s">
        <v>175</v>
      </c>
      <c r="B128" s="119" t="s">
        <v>132</v>
      </c>
      <c r="C128" s="142" t="n">
        <f aca="false">IF(Квартирная!A32="Электронный",0,F128)</f>
        <v>0</v>
      </c>
      <c r="D128" s="164" t="n">
        <f aca="false">Управление!J71</f>
        <v>280.54</v>
      </c>
      <c r="E128" s="118" t="n">
        <f aca="false">D128*C128</f>
        <v>0</v>
      </c>
      <c r="F128" s="69" t="n">
        <f aca="false">IF(AND(Квартирная!A32="Сувальдный",Квартирная!C41="Квадратное",Квартирная!B41="Золото"),1,0)</f>
        <v>0</v>
      </c>
      <c r="K128" s="70"/>
    </row>
    <row r="129" customFormat="false" ht="17.35" hidden="false" customHeight="false" outlineLevel="0" collapsed="false">
      <c r="A129" s="134" t="s">
        <v>176</v>
      </c>
      <c r="B129" s="119" t="s">
        <v>35</v>
      </c>
      <c r="C129" s="142" t="n">
        <f aca="false">IF(Квартирная!A32="Электронный",0,F129)</f>
        <v>0</v>
      </c>
      <c r="D129" s="164" t="n">
        <f aca="false">Управление!J72</f>
        <v>160</v>
      </c>
      <c r="E129" s="118" t="n">
        <f aca="false">D129*C129</f>
        <v>0</v>
      </c>
      <c r="F129" s="69" t="n">
        <f aca="false">IF(AND(Квартирная!A32="Сувальдный",Квартирная!C41="Квадратное",Квартирная!B41="Чёрная"),2,0)</f>
        <v>0</v>
      </c>
      <c r="K129" s="70"/>
    </row>
    <row r="130" customFormat="false" ht="17.35" hidden="false" customHeight="false" outlineLevel="0" collapsed="false">
      <c r="A130" s="134" t="s">
        <v>177</v>
      </c>
      <c r="B130" s="119" t="s">
        <v>35</v>
      </c>
      <c r="C130" s="142" t="n">
        <f aca="false">IF(Квартирная!A32="Электронный",0,F130)</f>
        <v>0</v>
      </c>
      <c r="D130" s="164" t="n">
        <f aca="false">Управление!J73</f>
        <v>160</v>
      </c>
      <c r="E130" s="118" t="n">
        <f aca="false">D130*C130</f>
        <v>0</v>
      </c>
      <c r="F130" s="69" t="n">
        <f aca="false">IF(AND(Квартирная!A32="Сувальдный",Квартирная!C41="Квадратное",Квартирная!B41="Хром"),2,0)</f>
        <v>0</v>
      </c>
      <c r="K130" s="70"/>
    </row>
    <row r="131" customFormat="false" ht="17.35" hidden="false" customHeight="false" outlineLevel="0" collapsed="false">
      <c r="A131" s="134" t="s">
        <v>178</v>
      </c>
      <c r="B131" s="119" t="s">
        <v>35</v>
      </c>
      <c r="C131" s="142" t="n">
        <f aca="false">IF(Квартирная!A32="Электронный",0,F131)</f>
        <v>0</v>
      </c>
      <c r="D131" s="164" t="n">
        <f aca="false">Управление!J74</f>
        <v>90</v>
      </c>
      <c r="E131" s="118" t="n">
        <f aca="false">D131*C131</f>
        <v>0</v>
      </c>
      <c r="F131" s="69" t="n">
        <f aca="false">IF(AND(Квартирная!A32="Сувальдный",Квартирная!C41="Овальное",Квартирная!B41="Бронза"),1,0)</f>
        <v>0</v>
      </c>
      <c r="K131" s="70"/>
    </row>
    <row r="132" customFormat="false" ht="17.35" hidden="false" customHeight="false" outlineLevel="0" collapsed="false">
      <c r="A132" s="134" t="s">
        <v>179</v>
      </c>
      <c r="B132" s="119" t="s">
        <v>35</v>
      </c>
      <c r="C132" s="142" t="n">
        <f aca="false">IF(Квартирная!A32="Электронный",0,F132)</f>
        <v>0</v>
      </c>
      <c r="D132" s="164" t="n">
        <f aca="false">Управление!J75</f>
        <v>120</v>
      </c>
      <c r="E132" s="118" t="n">
        <f aca="false">D132*C132</f>
        <v>0</v>
      </c>
      <c r="F132" s="69" t="n">
        <f aca="false">IF(AND(Квартирная!A32="Сувальдный",Квартирная!C41="Овальное",Квартирная!B41="Бронза"),1,0)</f>
        <v>0</v>
      </c>
      <c r="K132" s="70"/>
    </row>
    <row r="133" customFormat="false" ht="17.35" hidden="false" customHeight="false" outlineLevel="0" collapsed="false">
      <c r="A133" s="134" t="s">
        <v>180</v>
      </c>
      <c r="B133" s="119" t="s">
        <v>35</v>
      </c>
      <c r="C133" s="142" t="n">
        <f aca="false">IF(Квартирная!A32="Электронный",0,F133)</f>
        <v>0</v>
      </c>
      <c r="D133" s="164" t="n">
        <f aca="false">Управление!J76</f>
        <v>151</v>
      </c>
      <c r="E133" s="118" t="n">
        <f aca="false">D133*C133</f>
        <v>0</v>
      </c>
      <c r="F133" s="69" t="n">
        <f aca="false">IF(AND(Квартирная!A32="Сувальдный",Квартирная!C41="Овальное",Квартирная!B41="Чёрная"),1,0)</f>
        <v>0</v>
      </c>
      <c r="K133" s="70"/>
    </row>
    <row r="134" customFormat="false" ht="17.35" hidden="false" customHeight="false" outlineLevel="0" collapsed="false">
      <c r="A134" s="134" t="s">
        <v>181</v>
      </c>
      <c r="B134" s="119" t="s">
        <v>35</v>
      </c>
      <c r="C134" s="142" t="n">
        <f aca="false">IF(Квартирная!A32="Электронный",0,F134)</f>
        <v>0</v>
      </c>
      <c r="D134" s="164" t="n">
        <f aca="false">Управление!J77</f>
        <v>50</v>
      </c>
      <c r="E134" s="118" t="n">
        <f aca="false">D134*C134</f>
        <v>0</v>
      </c>
      <c r="F134" s="69" t="n">
        <f aca="false">IF(AND(Квартирная!A32="Сувальдный",Квартирная!C41="Овальное",Квартирная!B41="Чёрная"),1,0)</f>
        <v>0</v>
      </c>
      <c r="K134" s="70"/>
    </row>
    <row r="135" customFormat="false" ht="17.35" hidden="false" customHeight="false" outlineLevel="0" collapsed="false">
      <c r="A135" s="134" t="s">
        <v>182</v>
      </c>
      <c r="B135" s="119" t="s">
        <v>35</v>
      </c>
      <c r="C135" s="142" t="n">
        <f aca="false">IF(Квартирная!A32="Электронный",0,F135)</f>
        <v>0</v>
      </c>
      <c r="D135" s="164" t="n">
        <f aca="false">Управление!J78</f>
        <v>55</v>
      </c>
      <c r="E135" s="118" t="n">
        <f aca="false">D135*C135</f>
        <v>0</v>
      </c>
      <c r="F135" s="69" t="n">
        <f aca="false">IF(AND(Квартирная!A32="Сувальдный",Квартирная!C41="Овальное",Квартирная!B41="Хром"),1,0)</f>
        <v>0</v>
      </c>
      <c r="K135" s="70"/>
    </row>
    <row r="136" customFormat="false" ht="17.35" hidden="false" customHeight="false" outlineLevel="0" collapsed="false">
      <c r="A136" s="134" t="s">
        <v>183</v>
      </c>
      <c r="B136" s="119" t="s">
        <v>35</v>
      </c>
      <c r="C136" s="142" t="n">
        <f aca="false">IF(Квартирная!A32="Электронный",0,F136)</f>
        <v>0</v>
      </c>
      <c r="D136" s="164" t="n">
        <f aca="false">Управление!J79</f>
        <v>30</v>
      </c>
      <c r="E136" s="118" t="n">
        <f aca="false">D136*C136</f>
        <v>0</v>
      </c>
      <c r="F136" s="69" t="n">
        <f aca="false">IF(AND(Квартирная!A32="Сувальдный",Квартирная!C41="Овальное",Квартирная!B41="Хром"),1,0)</f>
        <v>0</v>
      </c>
      <c r="K136" s="70"/>
    </row>
    <row r="137" customFormat="false" ht="17.35" hidden="false" customHeight="false" outlineLevel="0" collapsed="false">
      <c r="A137" s="161" t="s">
        <v>184</v>
      </c>
      <c r="B137" s="162"/>
      <c r="C137" s="162"/>
      <c r="D137" s="162"/>
      <c r="E137" s="163"/>
      <c r="F137" s="69"/>
      <c r="K137" s="70"/>
    </row>
    <row r="138" customFormat="false" ht="17.35" hidden="false" customHeight="false" outlineLevel="0" collapsed="false">
      <c r="A138" s="134" t="s">
        <v>163</v>
      </c>
      <c r="B138" s="119" t="s">
        <v>35</v>
      </c>
      <c r="C138" s="142" t="n">
        <f aca="false">IF(AND(Квартирная!A34="Цилиндровый",Квартирная!C41="Квадратное",Квартирная!B41="Золото"),1,0)</f>
        <v>0</v>
      </c>
      <c r="D138" s="164" t="n">
        <f aca="false">Управление!J59</f>
        <v>369</v>
      </c>
      <c r="E138" s="118" t="n">
        <f aca="false">D138*C138</f>
        <v>0</v>
      </c>
      <c r="F138" s="69"/>
      <c r="K138" s="70"/>
    </row>
    <row r="139" customFormat="false" ht="17.35" hidden="false" customHeight="false" outlineLevel="0" collapsed="false">
      <c r="A139" s="134" t="s">
        <v>164</v>
      </c>
      <c r="B139" s="119" t="s">
        <v>35</v>
      </c>
      <c r="C139" s="142" t="n">
        <f aca="false">IF(AND(Квартирная!A34="Цилиндровый",Квартирная!C41="Квадратное",Квартирная!B41="Золото"),1,0)</f>
        <v>0</v>
      </c>
      <c r="D139" s="164" t="n">
        <f aca="false">Управление!J60</f>
        <v>84</v>
      </c>
      <c r="E139" s="118" t="n">
        <f aca="false">D139*C139</f>
        <v>0</v>
      </c>
      <c r="F139" s="69"/>
      <c r="K139" s="70"/>
    </row>
    <row r="140" customFormat="false" ht="17.35" hidden="false" customHeight="false" outlineLevel="0" collapsed="false">
      <c r="A140" s="134" t="s">
        <v>165</v>
      </c>
      <c r="B140" s="119" t="s">
        <v>35</v>
      </c>
      <c r="C140" s="142" t="n">
        <f aca="false">IF(AND(Квартирная!A34="Цилиндровый",Квартирная!C41="Квадратное",Квартирная!B41="Чёрная"),1,0)</f>
        <v>0</v>
      </c>
      <c r="D140" s="164" t="n">
        <f aca="false">Управление!J61</f>
        <v>360</v>
      </c>
      <c r="E140" s="118" t="n">
        <f aca="false">D140*C140</f>
        <v>0</v>
      </c>
      <c r="F140" s="69"/>
      <c r="K140" s="70"/>
    </row>
    <row r="141" customFormat="false" ht="17.35" hidden="false" customHeight="false" outlineLevel="0" collapsed="false">
      <c r="A141" s="134" t="s">
        <v>166</v>
      </c>
      <c r="B141" s="119" t="s">
        <v>35</v>
      </c>
      <c r="C141" s="142" t="n">
        <f aca="false">IF(AND(Квартирная!A34="Цилиндровый",Квартирная!C41="Квадратное",Квартирная!B41="Чёрная"),1,0)</f>
        <v>0</v>
      </c>
      <c r="D141" s="164" t="n">
        <f aca="false">Управление!J62</f>
        <v>70</v>
      </c>
      <c r="E141" s="118" t="n">
        <f aca="false">D141*C141</f>
        <v>0</v>
      </c>
      <c r="F141" s="69"/>
      <c r="K141" s="70"/>
    </row>
    <row r="142" customFormat="false" ht="17.35" hidden="false" customHeight="false" outlineLevel="0" collapsed="false">
      <c r="A142" s="134" t="s">
        <v>167</v>
      </c>
      <c r="B142" s="119" t="s">
        <v>35</v>
      </c>
      <c r="C142" s="142" t="n">
        <f aca="false">IF(AND(Квартирная!A34="Цилиндровый",Квартирная!C41="Квадратное",Квартирная!B41="Хром"),1,0)</f>
        <v>0</v>
      </c>
      <c r="D142" s="164" t="n">
        <f aca="false">Управление!J63</f>
        <v>360</v>
      </c>
      <c r="E142" s="118" t="n">
        <f aca="false">D142*C142</f>
        <v>0</v>
      </c>
      <c r="F142" s="69"/>
      <c r="K142" s="70"/>
    </row>
    <row r="143" customFormat="false" ht="17.35" hidden="false" customHeight="false" outlineLevel="0" collapsed="false">
      <c r="A143" s="134" t="s">
        <v>168</v>
      </c>
      <c r="B143" s="119" t="s">
        <v>35</v>
      </c>
      <c r="C143" s="142" t="n">
        <f aca="false">IF(AND(Квартирная!A34="Цилиндровый",Квартирная!C41="Квадратное",Квартирная!B41="Хром"),1,0)</f>
        <v>0</v>
      </c>
      <c r="D143" s="164" t="n">
        <f aca="false">Управление!J64</f>
        <v>70</v>
      </c>
      <c r="E143" s="118" t="n">
        <f aca="false">D143*C143</f>
        <v>0</v>
      </c>
      <c r="F143" s="69"/>
      <c r="K143" s="70"/>
    </row>
    <row r="144" customFormat="false" ht="17.35" hidden="false" customHeight="false" outlineLevel="0" collapsed="false">
      <c r="A144" s="134" t="s">
        <v>169</v>
      </c>
      <c r="B144" s="119" t="s">
        <v>35</v>
      </c>
      <c r="C144" s="142" t="n">
        <f aca="false">IF(AND(Квартирная!A34="Цилиндровый",Квартирная!C41="Овальное",Квартирная!B41="Бронза"),1,0)</f>
        <v>0</v>
      </c>
      <c r="D144" s="164" t="n">
        <f aca="false">Управление!J65</f>
        <v>395</v>
      </c>
      <c r="E144" s="118" t="n">
        <f aca="false">D144*C144</f>
        <v>0</v>
      </c>
      <c r="F144" s="69"/>
      <c r="K144" s="70"/>
    </row>
    <row r="145" customFormat="false" ht="17.35" hidden="false" customHeight="false" outlineLevel="0" collapsed="false">
      <c r="A145" s="134" t="s">
        <v>170</v>
      </c>
      <c r="B145" s="119" t="s">
        <v>35</v>
      </c>
      <c r="C145" s="142" t="n">
        <f aca="false">IF(AND(Квартирная!A34="Цилиндровый",Квартирная!C41="Овальное",Квартирная!B41="Бронза"),1,0)</f>
        <v>0</v>
      </c>
      <c r="D145" s="164" t="n">
        <f aca="false">Управление!J66</f>
        <v>81</v>
      </c>
      <c r="E145" s="118" t="n">
        <f aca="false">D145*C145</f>
        <v>0</v>
      </c>
      <c r="F145" s="69"/>
      <c r="K145" s="70"/>
    </row>
    <row r="146" customFormat="false" ht="17.35" hidden="false" customHeight="false" outlineLevel="0" collapsed="false">
      <c r="A146" s="134" t="s">
        <v>171</v>
      </c>
      <c r="B146" s="119" t="s">
        <v>35</v>
      </c>
      <c r="C146" s="142" t="n">
        <f aca="false">IF(AND(Квартирная!A34="Цилиндровый",Квартирная!C41="Овальное",Квартирная!B41="Чёрный"),1,0)</f>
        <v>0</v>
      </c>
      <c r="D146" s="164" t="n">
        <f aca="false">Управление!J67</f>
        <v>220</v>
      </c>
      <c r="E146" s="118" t="n">
        <f aca="false">D146*C146</f>
        <v>0</v>
      </c>
      <c r="F146" s="69"/>
      <c r="K146" s="70"/>
    </row>
    <row r="147" customFormat="false" ht="17.35" hidden="false" customHeight="false" outlineLevel="0" collapsed="false">
      <c r="A147" s="134" t="s">
        <v>172</v>
      </c>
      <c r="B147" s="119" t="s">
        <v>35</v>
      </c>
      <c r="C147" s="142" t="n">
        <f aca="false">IF(AND(Квартирная!A34="Цилиндровый",Квартирная!C41="Овальное",Квартирная!B41="Чёрная"),1,0)</f>
        <v>0</v>
      </c>
      <c r="D147" s="164" t="n">
        <f aca="false">Управление!J68</f>
        <v>50</v>
      </c>
      <c r="E147" s="118" t="n">
        <f aca="false">D147*C147</f>
        <v>0</v>
      </c>
      <c r="F147" s="69"/>
      <c r="K147" s="70"/>
    </row>
    <row r="148" customFormat="false" ht="17.35" hidden="false" customHeight="false" outlineLevel="0" collapsed="false">
      <c r="A148" s="134" t="s">
        <v>173</v>
      </c>
      <c r="B148" s="119" t="s">
        <v>35</v>
      </c>
      <c r="C148" s="142" t="n">
        <f aca="false">IF(AND(Квартирная!A34="Цилиндровый",Квартирная!C41="Овальное",Квартирная!B41="Хром"),1,0)</f>
        <v>0</v>
      </c>
      <c r="D148" s="164" t="n">
        <f aca="false">Управление!J69</f>
        <v>260</v>
      </c>
      <c r="E148" s="118" t="n">
        <f aca="false">D148*C148</f>
        <v>0</v>
      </c>
      <c r="F148" s="69"/>
      <c r="K148" s="70"/>
    </row>
    <row r="149" customFormat="false" ht="17.35" hidden="false" customHeight="false" outlineLevel="0" collapsed="false">
      <c r="A149" s="134" t="s">
        <v>174</v>
      </c>
      <c r="B149" s="119" t="s">
        <v>35</v>
      </c>
      <c r="C149" s="142" t="n">
        <f aca="false">IF(AND(Квартирная!A34="Цилиндровый",Квартирная!C41="Овальное",Квартирная!B41="Хром"),1,0)</f>
        <v>0</v>
      </c>
      <c r="D149" s="164" t="n">
        <f aca="false">Управление!J70</f>
        <v>19</v>
      </c>
      <c r="E149" s="118" t="n">
        <f aca="false">D149*C149</f>
        <v>0</v>
      </c>
      <c r="F149" s="69"/>
      <c r="K149" s="70"/>
    </row>
    <row r="150" customFormat="false" ht="17.35" hidden="false" customHeight="false" outlineLevel="0" collapsed="false">
      <c r="A150" s="134" t="s">
        <v>175</v>
      </c>
      <c r="B150" s="119" t="s">
        <v>132</v>
      </c>
      <c r="C150" s="142" t="n">
        <f aca="false">IF(AND(Квартирная!A34="Сувальдный",Квартирная!C41="Квадратное",Квартирная!B41="Золото"),1,0)</f>
        <v>0</v>
      </c>
      <c r="D150" s="164" t="n">
        <f aca="false">Управление!J71</f>
        <v>280.54</v>
      </c>
      <c r="E150" s="118" t="n">
        <f aca="false">D150*C150</f>
        <v>0</v>
      </c>
      <c r="F150" s="69"/>
      <c r="K150" s="70"/>
    </row>
    <row r="151" customFormat="false" ht="17.35" hidden="false" customHeight="false" outlineLevel="0" collapsed="false">
      <c r="A151" s="134" t="s">
        <v>176</v>
      </c>
      <c r="B151" s="119" t="s">
        <v>35</v>
      </c>
      <c r="C151" s="142" t="n">
        <f aca="false">IF(AND(Квартирная!A34="Сувальдный",Квартирная!C41="Квадратное",Квартирная!B41="Чёрная"),2,0)</f>
        <v>0</v>
      </c>
      <c r="D151" s="164" t="n">
        <f aca="false">Управление!J72</f>
        <v>160</v>
      </c>
      <c r="E151" s="118" t="n">
        <f aca="false">D151*C151</f>
        <v>0</v>
      </c>
      <c r="F151" s="69"/>
      <c r="K151" s="70"/>
    </row>
    <row r="152" customFormat="false" ht="17.35" hidden="false" customHeight="false" outlineLevel="0" collapsed="false">
      <c r="A152" s="134" t="s">
        <v>177</v>
      </c>
      <c r="B152" s="119" t="s">
        <v>35</v>
      </c>
      <c r="C152" s="142" t="n">
        <f aca="false">IF(AND(Квартирная!A34="Сувальдный",Квартирная!C41="Квадратное",Квартирная!B41="Хром"),2,0)</f>
        <v>0</v>
      </c>
      <c r="D152" s="164" t="n">
        <f aca="false">Управление!J73</f>
        <v>160</v>
      </c>
      <c r="E152" s="118" t="n">
        <f aca="false">D152*C152</f>
        <v>0</v>
      </c>
      <c r="F152" s="69"/>
      <c r="K152" s="70"/>
    </row>
    <row r="153" customFormat="false" ht="17.35" hidden="false" customHeight="false" outlineLevel="0" collapsed="false">
      <c r="A153" s="134" t="s">
        <v>178</v>
      </c>
      <c r="B153" s="119" t="s">
        <v>35</v>
      </c>
      <c r="C153" s="142" t="n">
        <f aca="false">IF(AND(Квартирная!A34="Сувальдный",Квартирная!C41="Овальное",Квартирная!B41="Бронза"),1,0)</f>
        <v>0</v>
      </c>
      <c r="D153" s="164" t="n">
        <f aca="false">Управление!J74</f>
        <v>90</v>
      </c>
      <c r="E153" s="118" t="n">
        <f aca="false">D153*C153</f>
        <v>0</v>
      </c>
      <c r="F153" s="69"/>
      <c r="K153" s="70"/>
    </row>
    <row r="154" customFormat="false" ht="17.35" hidden="false" customHeight="false" outlineLevel="0" collapsed="false">
      <c r="A154" s="134" t="s">
        <v>179</v>
      </c>
      <c r="B154" s="119" t="s">
        <v>35</v>
      </c>
      <c r="C154" s="142" t="n">
        <f aca="false">IF(AND(Квартирная!A34="Сувальдный",Квартирная!C41="Овальное",Квартирная!B41="Бронза"),1,0)</f>
        <v>0</v>
      </c>
      <c r="D154" s="164" t="n">
        <f aca="false">Управление!J75</f>
        <v>120</v>
      </c>
      <c r="E154" s="118" t="n">
        <f aca="false">D154*C154</f>
        <v>0</v>
      </c>
      <c r="F154" s="69"/>
      <c r="K154" s="70"/>
    </row>
    <row r="155" customFormat="false" ht="17.35" hidden="false" customHeight="false" outlineLevel="0" collapsed="false">
      <c r="A155" s="134" t="s">
        <v>180</v>
      </c>
      <c r="B155" s="119" t="s">
        <v>35</v>
      </c>
      <c r="C155" s="142" t="n">
        <f aca="false">IF(AND(Квартирная!A34="Сувальдный",Квартирная!C41="Овальное",Квартирная!B41="Чёрная"),1,0)</f>
        <v>0</v>
      </c>
      <c r="D155" s="164" t="n">
        <f aca="false">Управление!J76</f>
        <v>151</v>
      </c>
      <c r="E155" s="118" t="n">
        <f aca="false">D155*C155</f>
        <v>0</v>
      </c>
      <c r="F155" s="69"/>
      <c r="K155" s="70"/>
    </row>
    <row r="156" customFormat="false" ht="17.35" hidden="false" customHeight="false" outlineLevel="0" collapsed="false">
      <c r="A156" s="134" t="s">
        <v>181</v>
      </c>
      <c r="B156" s="119" t="s">
        <v>35</v>
      </c>
      <c r="C156" s="142" t="n">
        <f aca="false">IF(AND(Квартирная!A34="Сувальдный",Квартирная!C41="Овальное",Квартирная!B41="Чёрная"),1,0)</f>
        <v>0</v>
      </c>
      <c r="D156" s="164" t="n">
        <f aca="false">Управление!J77</f>
        <v>50</v>
      </c>
      <c r="E156" s="118" t="n">
        <f aca="false">D156*C156</f>
        <v>0</v>
      </c>
      <c r="F156" s="69"/>
      <c r="K156" s="70"/>
    </row>
    <row r="157" customFormat="false" ht="17.35" hidden="false" customHeight="false" outlineLevel="0" collapsed="false">
      <c r="A157" s="134" t="s">
        <v>182</v>
      </c>
      <c r="B157" s="119" t="s">
        <v>35</v>
      </c>
      <c r="C157" s="142" t="n">
        <f aca="false">IF(AND(Квартирная!A34="Сувальдный",Квартирная!C41="Овальное",Квартирная!B41="Хром"),1,0)</f>
        <v>0</v>
      </c>
      <c r="D157" s="164" t="n">
        <f aca="false">Управление!J78</f>
        <v>55</v>
      </c>
      <c r="E157" s="118" t="n">
        <f aca="false">D157*C157</f>
        <v>0</v>
      </c>
      <c r="F157" s="69"/>
      <c r="K157" s="70"/>
    </row>
    <row r="158" customFormat="false" ht="17.35" hidden="false" customHeight="false" outlineLevel="0" collapsed="false">
      <c r="A158" s="134" t="s">
        <v>183</v>
      </c>
      <c r="B158" s="119" t="s">
        <v>35</v>
      </c>
      <c r="C158" s="142" t="n">
        <f aca="false">IF(AND(Квартирная!A34="Сувальдный",Квартирная!C41="Овальное",Квартирная!B41="Хром"),1,0)</f>
        <v>0</v>
      </c>
      <c r="D158" s="164" t="n">
        <f aca="false">Управление!J79</f>
        <v>30</v>
      </c>
      <c r="E158" s="118" t="n">
        <f aca="false">D158*C158</f>
        <v>0</v>
      </c>
      <c r="F158" s="69"/>
      <c r="K158" s="70"/>
    </row>
    <row r="159" customFormat="false" ht="17.35" hidden="false" customHeight="false" outlineLevel="0" collapsed="false">
      <c r="A159" s="161" t="s">
        <v>185</v>
      </c>
      <c r="B159" s="162"/>
      <c r="C159" s="162"/>
      <c r="D159" s="162"/>
      <c r="E159" s="163"/>
      <c r="F159" s="69"/>
      <c r="K159" s="70"/>
    </row>
    <row r="160" customFormat="false" ht="17.35" hidden="false" customHeight="false" outlineLevel="0" collapsed="false">
      <c r="A160" s="165" t="s">
        <v>186</v>
      </c>
      <c r="B160" s="119" t="s">
        <v>35</v>
      </c>
      <c r="C160" s="142" t="n">
        <f aca="false">IF(AND(Квартирная!C41="Квадратное",Квартирная!B41="Золото",Квартирная!B51="Да"),1,0)</f>
        <v>0</v>
      </c>
      <c r="D160" s="140" t="n">
        <f aca="false">Управление!J81</f>
        <v>209.67</v>
      </c>
      <c r="E160" s="118" t="n">
        <f aca="false">D160*C160</f>
        <v>0</v>
      </c>
      <c r="F160" s="69"/>
      <c r="K160" s="70"/>
    </row>
    <row r="161" customFormat="false" ht="17.35" hidden="false" customHeight="false" outlineLevel="0" collapsed="false">
      <c r="A161" s="165" t="s">
        <v>187</v>
      </c>
      <c r="B161" s="119" t="s">
        <v>35</v>
      </c>
      <c r="C161" s="142" t="n">
        <f aca="false">IF(AND(Квартирная!C41="Квадратное",Квартирная!B41="Чёрная",Квартирная!B51="Да"),1,0)</f>
        <v>0</v>
      </c>
      <c r="D161" s="140" t="n">
        <f aca="false">Управление!J82</f>
        <v>114</v>
      </c>
      <c r="E161" s="118" t="n">
        <f aca="false">D161*C161</f>
        <v>0</v>
      </c>
      <c r="F161" s="69"/>
      <c r="K161" s="70"/>
    </row>
    <row r="162" customFormat="false" ht="17.35" hidden="false" customHeight="false" outlineLevel="0" collapsed="false">
      <c r="A162" s="165" t="s">
        <v>188</v>
      </c>
      <c r="B162" s="119" t="s">
        <v>35</v>
      </c>
      <c r="C162" s="142" t="n">
        <f aca="false">IF(AND(Квартирная!C41="Квадратное",Квартирная!B41="Хром",Квартирная!B51="Да"),1,0)</f>
        <v>0</v>
      </c>
      <c r="D162" s="140" t="n">
        <f aca="false">Управление!J83</f>
        <v>115</v>
      </c>
      <c r="E162" s="118" t="n">
        <f aca="false">D162*C162</f>
        <v>0</v>
      </c>
      <c r="F162" s="69"/>
      <c r="K162" s="70"/>
    </row>
    <row r="163" customFormat="false" ht="17.35" hidden="false" customHeight="false" outlineLevel="0" collapsed="false">
      <c r="A163" s="166" t="s">
        <v>189</v>
      </c>
      <c r="B163" s="119" t="s">
        <v>35</v>
      </c>
      <c r="C163" s="142" t="n">
        <f aca="false">IF(AND(Квартирная!C41="Овальное",Квартирная!B41="Бронза",Квартирная!B51="Да"),1,0)</f>
        <v>0</v>
      </c>
      <c r="D163" s="140" t="n">
        <f aca="false">Управление!J84</f>
        <v>205</v>
      </c>
      <c r="E163" s="118" t="n">
        <f aca="false">D163*C163</f>
        <v>0</v>
      </c>
      <c r="F163" s="69"/>
      <c r="K163" s="70"/>
    </row>
    <row r="164" customFormat="false" ht="17.35" hidden="false" customHeight="false" outlineLevel="0" collapsed="false">
      <c r="A164" s="165" t="s">
        <v>190</v>
      </c>
      <c r="B164" s="119" t="s">
        <v>35</v>
      </c>
      <c r="C164" s="142" t="n">
        <f aca="false">IF(AND(Квартирная!C41="Овальное",Квартирная!B41="Бронза",Квартирная!B51="Да"),1,0)</f>
        <v>0</v>
      </c>
      <c r="D164" s="140" t="n">
        <f aca="false">Управление!J85</f>
        <v>43</v>
      </c>
      <c r="E164" s="118" t="n">
        <f aca="false">D164*C164</f>
        <v>0</v>
      </c>
      <c r="F164" s="69"/>
      <c r="K164" s="70"/>
    </row>
    <row r="165" customFormat="false" ht="17.35" hidden="false" customHeight="false" outlineLevel="0" collapsed="false">
      <c r="A165" s="166" t="s">
        <v>191</v>
      </c>
      <c r="B165" s="119" t="s">
        <v>35</v>
      </c>
      <c r="C165" s="142" t="n">
        <f aca="false">IF(AND(Квартирная!C41="Овальное",Квартирная!B41="Чёрная",Квартирная!B51="Да"),1,0)</f>
        <v>0</v>
      </c>
      <c r="D165" s="140" t="n">
        <f aca="false">Управление!J86</f>
        <v>100</v>
      </c>
      <c r="E165" s="118" t="n">
        <f aca="false">D165*C165</f>
        <v>0</v>
      </c>
      <c r="F165" s="69"/>
      <c r="K165" s="70"/>
    </row>
    <row r="166" customFormat="false" ht="17.35" hidden="false" customHeight="false" outlineLevel="0" collapsed="false">
      <c r="A166" s="166" t="s">
        <v>192</v>
      </c>
      <c r="B166" s="119" t="s">
        <v>35</v>
      </c>
      <c r="C166" s="142" t="n">
        <f aca="false">IF(AND(Квартирная!C41="Овальное",Квартирная!B41="Хром",Квартирная!B51="Да"),1,0)</f>
        <v>0</v>
      </c>
      <c r="D166" s="140" t="n">
        <f aca="false">Управление!J87</f>
        <v>73</v>
      </c>
      <c r="E166" s="118" t="n">
        <f aca="false">D166*C166</f>
        <v>0</v>
      </c>
      <c r="F166" s="69"/>
      <c r="K166" s="70"/>
    </row>
    <row r="167" customFormat="false" ht="17.35" hidden="false" customHeight="false" outlineLevel="0" collapsed="false">
      <c r="A167" s="161" t="s">
        <v>193</v>
      </c>
      <c r="B167" s="162"/>
      <c r="C167" s="162"/>
      <c r="D167" s="162"/>
      <c r="E167" s="163"/>
      <c r="F167" s="69"/>
      <c r="K167" s="70"/>
    </row>
    <row r="168" customFormat="false" ht="17.35" hidden="false" customHeight="false" outlineLevel="0" collapsed="false">
      <c r="A168" s="167" t="s">
        <v>194</v>
      </c>
      <c r="B168" s="119" t="s">
        <v>35</v>
      </c>
      <c r="C168" s="142" t="n">
        <f aca="false">IF(OR(Квартирная!A32="Электронный",Квартирная!B43="Бугельная"),0,F168)</f>
        <v>0</v>
      </c>
      <c r="D168" s="140" t="n">
        <f aca="false">Управление!J89</f>
        <v>180.11</v>
      </c>
      <c r="E168" s="118" t="n">
        <f aca="false">D168*C168</f>
        <v>0</v>
      </c>
      <c r="F168" s="69" t="n">
        <f aca="false">IF(AND(Квартирная!C41="Квадратное",Квартирная!B41="Золото",Квартирная!B49="Да"),1,0)</f>
        <v>0</v>
      </c>
      <c r="K168" s="70"/>
    </row>
    <row r="169" customFormat="false" ht="17.35" hidden="false" customHeight="false" outlineLevel="0" collapsed="false">
      <c r="A169" s="168" t="s">
        <v>195</v>
      </c>
      <c r="B169" s="119" t="s">
        <v>35</v>
      </c>
      <c r="C169" s="142" t="n">
        <f aca="false">IF(OR(Квартирная!A32="Электронный",Квартирная!B43="Бугельная"),0,F169)</f>
        <v>0</v>
      </c>
      <c r="D169" s="140" t="n">
        <f aca="false">Управление!J90</f>
        <v>110</v>
      </c>
      <c r="E169" s="118" t="n">
        <f aca="false">D169*C169</f>
        <v>0</v>
      </c>
      <c r="F169" s="69" t="n">
        <f aca="false">IF(AND(Квартирная!C41="Квадратное",Квартирная!B41="Чёрная",Квартирная!B49="Да"),1,0)</f>
        <v>0</v>
      </c>
      <c r="K169" s="70"/>
    </row>
    <row r="170" customFormat="false" ht="17.35" hidden="false" customHeight="false" outlineLevel="0" collapsed="false">
      <c r="A170" s="168" t="s">
        <v>196</v>
      </c>
      <c r="B170" s="119" t="s">
        <v>35</v>
      </c>
      <c r="C170" s="142" t="n">
        <f aca="false">IF(OR(Квартирная!A32="Электронный",Квартирная!B43="Бугельная"),0,F170)</f>
        <v>0</v>
      </c>
      <c r="D170" s="140" t="n">
        <f aca="false">Управление!J91</f>
        <v>110</v>
      </c>
      <c r="E170" s="118" t="n">
        <f aca="false">D170*C170</f>
        <v>0</v>
      </c>
      <c r="F170" s="69" t="n">
        <f aca="false">IF(AND(Квартирная!C41="Квадратное",Квартирная!B41="Хром",Квартирная!B49="Да"),1,0)</f>
        <v>0</v>
      </c>
      <c r="K170" s="70"/>
    </row>
    <row r="171" customFormat="false" ht="17.35" hidden="false" customHeight="false" outlineLevel="0" collapsed="false">
      <c r="A171" s="166" t="s">
        <v>197</v>
      </c>
      <c r="B171" s="119" t="s">
        <v>35</v>
      </c>
      <c r="C171" s="142" t="n">
        <f aca="false">IF(OR(Квартирная!A32="Электронный",Квартирная!B43="Бугельная"),0,F171)</f>
        <v>0</v>
      </c>
      <c r="D171" s="140" t="n">
        <f aca="false">Управление!J92</f>
        <v>145</v>
      </c>
      <c r="E171" s="118" t="n">
        <f aca="false">D171*C171</f>
        <v>0</v>
      </c>
      <c r="F171" s="69" t="n">
        <f aca="false">IF(AND(Квартирная!C41="Овальное",Квартирная!B41="Бронза",Квартирная!B49="Да"),1,0)</f>
        <v>0</v>
      </c>
      <c r="K171" s="70"/>
    </row>
    <row r="172" customFormat="false" ht="17.35" hidden="false" customHeight="false" outlineLevel="0" collapsed="false">
      <c r="A172" s="166" t="s">
        <v>198</v>
      </c>
      <c r="B172" s="119" t="s">
        <v>35</v>
      </c>
      <c r="C172" s="142" t="n">
        <f aca="false">IF(OR(Квартирная!A32="Электронный",Квартирная!B43="Бугельная"),0,F172)</f>
        <v>0</v>
      </c>
      <c r="D172" s="140" t="n">
        <f aca="false">Управление!J93</f>
        <v>100</v>
      </c>
      <c r="E172" s="118" t="n">
        <f aca="false">D172*C172</f>
        <v>0</v>
      </c>
      <c r="F172" s="69" t="n">
        <f aca="false">IF(AND(Квартирная!C41="Овальное",Квартирная!B41="Чёрная",Квартирная!B49="Да"),1,0)</f>
        <v>0</v>
      </c>
      <c r="K172" s="70"/>
    </row>
    <row r="173" customFormat="false" ht="17.35" hidden="false" customHeight="false" outlineLevel="0" collapsed="false">
      <c r="A173" s="169" t="s">
        <v>199</v>
      </c>
      <c r="B173" s="170" t="s">
        <v>35</v>
      </c>
      <c r="C173" s="171" t="n">
        <f aca="false">IF(OR(Квартирная!A32="Электронный",Квартирная!B43="Бугельная"),0,F173)</f>
        <v>0</v>
      </c>
      <c r="D173" s="172" t="n">
        <f aca="false">Управление!J94</f>
        <v>64</v>
      </c>
      <c r="E173" s="173" t="n">
        <f aca="false">D173*C173</f>
        <v>0</v>
      </c>
      <c r="F173" s="69" t="n">
        <f aca="false">IF(AND(Квартирная!C41="Овальное",Квартирная!B41="Хром",Квартирная!B49="Да"),1,0)</f>
        <v>0</v>
      </c>
      <c r="K173" s="70"/>
    </row>
    <row r="174" customFormat="false" ht="17.35" hidden="false" customHeight="false" outlineLevel="0" collapsed="false">
      <c r="A174" s="174" t="s">
        <v>200</v>
      </c>
      <c r="B174" s="175"/>
      <c r="C174" s="175"/>
      <c r="D174" s="175"/>
      <c r="E174" s="176"/>
      <c r="F174" s="69" t="str">
        <f aca="false">IF(O3&gt;2052,"Нестандарт","Стандарт")</f>
        <v>Стандарт</v>
      </c>
      <c r="K174" s="70"/>
    </row>
    <row r="175" customFormat="false" ht="17.35" hidden="false" customHeight="false" outlineLevel="0" collapsed="false">
      <c r="A175" s="177" t="s">
        <v>201</v>
      </c>
      <c r="B175" s="143" t="s">
        <v>202</v>
      </c>
      <c r="C175" s="178" t="n">
        <f aca="false">IF(F176="Стандарт",1.932,2.89)</f>
        <v>1.932</v>
      </c>
      <c r="D175" s="117" t="n">
        <f aca="false">Управление!E64</f>
        <v>250.6901311</v>
      </c>
      <c r="E175" s="179" t="n">
        <f aca="false">D175*C175</f>
        <v>484.3333332852</v>
      </c>
      <c r="F175" s="69" t="str">
        <f aca="false">IF(P3&gt;934,"Нестандарт","Стандарт")</f>
        <v>Стандарт</v>
      </c>
      <c r="K175" s="70"/>
    </row>
    <row r="176" customFormat="false" ht="17.35" hidden="false" customHeight="false" outlineLevel="0" collapsed="false">
      <c r="A176" s="180" t="s">
        <v>203</v>
      </c>
      <c r="B176" s="181" t="s">
        <v>29</v>
      </c>
      <c r="C176" s="139" t="n">
        <v>0.15</v>
      </c>
      <c r="D176" s="140" t="n">
        <f aca="false">Управление!G65</f>
        <v>1000</v>
      </c>
      <c r="E176" s="182" t="n">
        <f aca="false">D176*C176</f>
        <v>150</v>
      </c>
      <c r="F176" s="109" t="str">
        <f aca="false">IF(AND(F174="Стандарт",F175="Стандарт"),"Стандарт","Нестандарт")</f>
        <v>Стандарт</v>
      </c>
      <c r="K176" s="70"/>
    </row>
    <row r="177" customFormat="false" ht="17.35" hidden="false" customHeight="false" outlineLevel="0" collapsed="false">
      <c r="A177" s="183" t="s">
        <v>204</v>
      </c>
      <c r="B177" s="181" t="s">
        <v>119</v>
      </c>
      <c r="C177" s="140" t="n">
        <v>0.005</v>
      </c>
      <c r="D177" s="164" t="n">
        <f aca="false">Управление!E66</f>
        <v>214</v>
      </c>
      <c r="E177" s="182" t="n">
        <f aca="false">D177*C177</f>
        <v>1.07</v>
      </c>
      <c r="F177" s="69"/>
      <c r="K177" s="70"/>
    </row>
    <row r="178" customFormat="false" ht="17.35" hidden="false" customHeight="false" outlineLevel="0" collapsed="false">
      <c r="A178" s="183" t="s">
        <v>205</v>
      </c>
      <c r="B178" s="181" t="s">
        <v>119</v>
      </c>
      <c r="C178" s="139" t="n">
        <v>0.05</v>
      </c>
      <c r="D178" s="164" t="n">
        <f aca="false">Управление!E67</f>
        <v>60</v>
      </c>
      <c r="E178" s="182" t="n">
        <f aca="false">D178*C178</f>
        <v>3</v>
      </c>
      <c r="F178" s="69"/>
      <c r="K178" s="70"/>
    </row>
    <row r="179" customFormat="false" ht="17.35" hidden="false" customHeight="false" outlineLevel="0" collapsed="false">
      <c r="A179" s="180" t="s">
        <v>206</v>
      </c>
      <c r="B179" s="181" t="s">
        <v>49</v>
      </c>
      <c r="C179" s="140" t="n">
        <v>0.018</v>
      </c>
      <c r="D179" s="140" t="n">
        <f aca="false">Управление!D68</f>
        <v>55</v>
      </c>
      <c r="E179" s="182" t="n">
        <f aca="false">D179*C179</f>
        <v>0.99</v>
      </c>
      <c r="F179" s="69"/>
      <c r="K179" s="70"/>
    </row>
    <row r="180" customFormat="false" ht="17.35" hidden="false" customHeight="false" outlineLevel="0" collapsed="false">
      <c r="A180" s="180" t="s">
        <v>107</v>
      </c>
      <c r="B180" s="181" t="s">
        <v>82</v>
      </c>
      <c r="C180" s="139" t="n">
        <v>1</v>
      </c>
      <c r="D180" s="140" t="n">
        <f aca="false">Управление!B69</f>
        <v>30</v>
      </c>
      <c r="E180" s="182" t="n">
        <f aca="false">D180*C180</f>
        <v>30</v>
      </c>
      <c r="F180" s="69"/>
      <c r="K180" s="70"/>
    </row>
    <row r="181" customFormat="false" ht="17.35" hidden="false" customHeight="false" outlineLevel="0" collapsed="false">
      <c r="A181" s="180" t="s">
        <v>207</v>
      </c>
      <c r="B181" s="181" t="s">
        <v>82</v>
      </c>
      <c r="C181" s="139" t="n">
        <v>1</v>
      </c>
      <c r="D181" s="140" t="n">
        <f aca="false">Управление!B70</f>
        <v>734</v>
      </c>
      <c r="E181" s="182" t="n">
        <f aca="false">D181*C181</f>
        <v>734</v>
      </c>
      <c r="F181" s="69"/>
      <c r="K181" s="70"/>
    </row>
    <row r="182" customFormat="false" ht="17.35" hidden="false" customHeight="false" outlineLevel="0" collapsed="false">
      <c r="A182" s="180" t="s">
        <v>208</v>
      </c>
      <c r="B182" s="181" t="s">
        <v>82</v>
      </c>
      <c r="C182" s="139" t="n">
        <v>1</v>
      </c>
      <c r="D182" s="140" t="n">
        <f aca="false">Управление!B71</f>
        <v>65</v>
      </c>
      <c r="E182" s="182" t="n">
        <f aca="false">D182*C182</f>
        <v>65</v>
      </c>
      <c r="F182" s="69"/>
      <c r="K182" s="70"/>
    </row>
    <row r="183" customFormat="false" ht="17.35" hidden="false" customHeight="false" outlineLevel="0" collapsed="false">
      <c r="A183" s="184" t="s">
        <v>209</v>
      </c>
      <c r="B183" s="185" t="s">
        <v>82</v>
      </c>
      <c r="C183" s="186" t="n">
        <v>1</v>
      </c>
      <c r="D183" s="187" t="n">
        <f aca="false">ifs(Квартирная!B19="BC-19",800,Квартирная!B19="BC-38",800,Квартирная!B19="ВС-17",1000,Квартирная!B19="BC-44",600,Квартирная!B19="BC-6",800,Квартирная!B19="BC-22",800,Квартирная!B19="BC-13",1000,Квартирная!B19="BC-24",1000,Квартирная!B19="BC-45",1000,Квартирная!B19="Stark",0,Квартирная!B19="Verso",0,Квартирная!B19="Forta",0,Квартирная!B19="Kombi",0,Квартирная!B19="Нет",0,Квартирная!B19="BC-41",600,Квартирная!B19="BC-46",800,Квартирная!B19="BC-47",600,Квартирная!B19="BC-32",800,Квартирная!B19="BC-48",800,Квартирная!B19="BC-49",1000,Квартирная!B19="BC-50",1000,Квартирная!B19="BC-43",1000,Квартирная!B19="BC-51",600,Квартирная!B19="НФ-6",600,Квартирная!B19="BC-52",1000,Квартирная!B19="BC-34",1000,Квартирная!B19="BC-30",600,Квартирная!B19="BC-42",800)</f>
        <v>800</v>
      </c>
      <c r="E183" s="188" t="n">
        <f aca="false">D183*C183</f>
        <v>800</v>
      </c>
      <c r="F183" s="69"/>
      <c r="K183" s="70"/>
    </row>
    <row r="184" customFormat="false" ht="17.35" hidden="false" customHeight="false" outlineLevel="0" collapsed="false">
      <c r="A184" s="189" t="str">
        <f aca="false">Квартирная!B21</f>
        <v>Лиственница белая</v>
      </c>
      <c r="B184" s="190" t="s">
        <v>119</v>
      </c>
      <c r="C184" s="171" t="n">
        <f aca="false">IF(F176="Стандарт",3.5,4.55)</f>
        <v>3.5</v>
      </c>
      <c r="D184" s="191" t="n">
        <f aca="false">ifs(A184="Нет",0,A184=Управление!I97,Управление!J97,A184=Управление!I98,Управление!J98,A184=Управление!I99,Управление!J99,A184=Управление!I100,Управление!J100,A184=Управление!I101,Управление!J101,A184=Управление!I102,Управление!J102,A184=Управление!I103,Управление!J103,A184=Управление!I104,Управление!J104,A184=Управление!I105,Управление!J105,A184=Управление!I106,Управление!J106,A184=Управление!I107,Управление!J107,A184=Управление!I108,Управление!J108,A184=Управление!I109,Управление!J109,A184=Управление!I110,Управление!J110,A184=Управление!I111,Управление!J111,A184=Управление!I112,Управление!J112,A184=Управление!I113,Управление!J113,A184=Управление!I114,Управление!J114,A184=Управление!I115,Управление!J115,A184=Управление!I116,Управление!J116,A184=Управление!I117,Управление!J117,A184=Управление!I118,Управление!J118,A184=Управление!I119,Управление!J119,A184=Управление!I120,Управление!J120,A184=Управление!I121,Управление!J121,A184=Управление!I122,Управление!J122,A184=Управление!I123,Управление!J123,A184=Управление!I124,Управление!J124,A184=Управление!I125,Управление!J125,A184=Управление!I126,Управление!J126,A184=Управление!I127,Управление!J127,A184=Управление!I128,Управление!J128,A184=Управление!I129,Управление!J129,A184=Управление!I130,Управление!J130,A184=Управление!I131,Управление!J131,A184=Управление!I132,Управление!J132,A184=Управление!I133,Управление!J133,A184=Управление!I134,Управление!J134,A184=Управление!I135,Управление!J135,A184=Управление!I136,Управление!J136,A184=Управление!I137,Управление!J137,A184=Управление!I138,Управление!J138,A184=Управление!I139,Управление!J139,A184=Управление!I140,Управление!J140)</f>
        <v>122</v>
      </c>
      <c r="E184" s="192" t="n">
        <f aca="false">D184*C184</f>
        <v>427</v>
      </c>
      <c r="F184" s="69"/>
      <c r="K184" s="70"/>
    </row>
    <row r="185" customFormat="false" ht="17.35" hidden="false" customHeight="false" outlineLevel="0" collapsed="false">
      <c r="A185" s="193" t="s">
        <v>210</v>
      </c>
      <c r="B185" s="175"/>
      <c r="C185" s="175"/>
      <c r="D185" s="175"/>
      <c r="E185" s="176"/>
      <c r="F185" s="69"/>
      <c r="K185" s="70"/>
    </row>
    <row r="186" customFormat="false" ht="17.35" hidden="false" customHeight="false" outlineLevel="0" collapsed="false">
      <c r="A186" s="177" t="s">
        <v>211</v>
      </c>
      <c r="B186" s="124" t="s">
        <v>202</v>
      </c>
      <c r="C186" s="194" t="n">
        <f aca="false">IF(Квартирная!B19="BC-45",0.64,0)</f>
        <v>0</v>
      </c>
      <c r="D186" s="195" t="n">
        <f aca="false">Управление!E63</f>
        <v>154.589372</v>
      </c>
      <c r="E186" s="196" t="n">
        <f aca="false">D186*C186</f>
        <v>0</v>
      </c>
      <c r="F186" s="197" t="s">
        <v>212</v>
      </c>
      <c r="K186" s="70"/>
    </row>
    <row r="187" customFormat="false" ht="17.35" hidden="false" customHeight="false" outlineLevel="0" collapsed="false">
      <c r="A187" s="198" t="str">
        <f aca="false">Квартирная!B23</f>
        <v>Английский дуб фог</v>
      </c>
      <c r="B187" s="143" t="s">
        <v>119</v>
      </c>
      <c r="C187" s="142" t="n">
        <f aca="false">IF(AND(F176="Стандарт",),3.5,4.9)</f>
        <v>3.5</v>
      </c>
      <c r="D187" s="199" t="n">
        <f aca="false">ifs(A187="Нет",0,A187=Управление!I97,Управление!J97,A187=Управление!I98,Управление!J98,A187=Управление!I99,Управление!J99,A187=Управление!I100,Управление!J100,A187=Управление!I101,Управление!J101,A187=Управление!I102,Управление!J102,A187=Управление!I103,Управление!J103,A187=Управление!I104,Управление!J104,A187=Управление!I105,Управление!J105,A187=Управление!I106,Управление!J106,A187=Управление!I107,Управление!J107,A187=Управление!I108,Управление!J108,A187=Управление!I109,Управление!J109,A187=Управление!I110,Управление!J110,A187=Управление!I111,Управление!J111,A187=Управление!I112,Управление!J112,A187=Управление!I113,Управление!J113,A187=Управление!I114,Управление!J114,A187=Управление!I115,Управление!J115,A187=Управление!I116,Управление!J116,A187=Управление!I117,Управление!J117,A187=Управление!I118,Управление!J118,A187=Управление!I119,Управление!J119,A187=Управление!I120,Управление!J120,A187=Управление!I121,Управление!J121,A187=Управление!I122,Управление!J122,A187=Управление!I123,Управление!J123,A187=Управление!I124,Управление!J124,A187=Управление!I125,Управление!J125,A187=Управление!I126,Управление!J126,A187=Управление!I127,Управление!J127,A187=Управление!I128,Управление!J128,A187=Управление!I129,Управление!J129,A187=Управление!I130,Управление!J130,A187=Управление!I131,Управление!J131,A187=Управление!I132,Управление!J132,A187=Управление!I133,Управление!J133,A187=Управление!I134,Управление!J134,A187=Управление!I135,Управление!J135,A187=Управление!I136,Управление!J136,A187=Управление!I137,Управление!J137,A187=Управление!I138,Управление!J138,A187=Управление!I139,Управление!J139,A187=Управление!I140,Управление!J140)</f>
        <v>140</v>
      </c>
      <c r="E187" s="200" t="n">
        <f aca="false">D187*C187</f>
        <v>490</v>
      </c>
      <c r="F187" s="197" t="s">
        <v>212</v>
      </c>
      <c r="K187" s="70"/>
    </row>
    <row r="188" customFormat="false" ht="17.35" hidden="false" customHeight="false" outlineLevel="0" collapsed="false">
      <c r="A188" s="201" t="s">
        <v>213</v>
      </c>
      <c r="B188" s="191" t="s">
        <v>82</v>
      </c>
      <c r="C188" s="202" t="n">
        <f aca="false">IF(Квартирная!B19="BC-45",1,0)</f>
        <v>0</v>
      </c>
      <c r="D188" s="191" t="n">
        <v>25</v>
      </c>
      <c r="E188" s="192" t="n">
        <f aca="false">C188*D188</f>
        <v>0</v>
      </c>
      <c r="F188" s="197" t="s">
        <v>212</v>
      </c>
      <c r="K188" s="70"/>
    </row>
    <row r="189" customFormat="false" ht="17.35" hidden="false" customHeight="false" outlineLevel="0" collapsed="false">
      <c r="A189" s="193" t="s">
        <v>210</v>
      </c>
      <c r="B189" s="175"/>
      <c r="C189" s="175"/>
      <c r="D189" s="175"/>
      <c r="E189" s="176"/>
      <c r="F189" s="69"/>
      <c r="K189" s="70"/>
    </row>
    <row r="190" customFormat="false" ht="17.35" hidden="false" customHeight="false" outlineLevel="0" collapsed="false">
      <c r="A190" s="177" t="s">
        <v>211</v>
      </c>
      <c r="B190" s="124" t="s">
        <v>202</v>
      </c>
      <c r="C190" s="194" t="n">
        <f aca="false">IF(Квартирная!B19="BC-24",0.96,0)</f>
        <v>0</v>
      </c>
      <c r="D190" s="195" t="n">
        <f aca="false">Управление!E63</f>
        <v>154.589372</v>
      </c>
      <c r="E190" s="196" t="n">
        <f aca="false">D190*C190</f>
        <v>0</v>
      </c>
      <c r="F190" s="197" t="s">
        <v>214</v>
      </c>
      <c r="K190" s="70"/>
    </row>
    <row r="191" customFormat="false" ht="17.35" hidden="false" customHeight="false" outlineLevel="0" collapsed="false">
      <c r="A191" s="198" t="str">
        <f aca="false">Квартирная!B23</f>
        <v>Английский дуб фог</v>
      </c>
      <c r="B191" s="143" t="s">
        <v>119</v>
      </c>
      <c r="C191" s="142" t="n">
        <f aca="false">IF(F176="Стандарт",3.5,4.9)</f>
        <v>3.5</v>
      </c>
      <c r="D191" s="199" t="n">
        <f aca="false">ifs(A191="Нет",0,A191=Управление!I97,Управление!J97,A191=Управление!I98,Управление!J98,A191=Управление!I99,Управление!J99,A191=Управление!I100,Управление!J100,A191=Управление!I101,Управление!J101,A191=Управление!I102,Управление!J102,A191=Управление!I103,Управление!J103,A191=Управление!I104,Управление!J104,A191=Управление!I105,Управление!J105,A191=Управление!I106,Управление!J106,A191=Управление!I107,Управление!J107,A191=Управление!I108,Управление!J108,A191=Управление!I109,Управление!J109,A191=Управление!I110,Управление!J110,A191=Управление!I111,Управление!J111,A191=Управление!I112,Управление!J112,A191=Управление!I113,Управление!J113,A191=Управление!I114,Управление!J114,A191=Управление!I115,Управление!J115,A191=Управление!I116,Управление!J116,A191=Управление!I117,Управление!J117,A191=Управление!I118,Управление!J118,A191=Управление!I119,Управление!J119,A191=Управление!I120,Управление!J120,A191=Управление!I121,Управление!J121,A191=Управление!I122,Управление!J122,A191=Управление!I123,Управление!J123,A191=Управление!I124,Управление!J124,A191=Управление!I125,Управление!J125,A191=Управление!I126,Управление!J126,A191=Управление!I127,Управление!J127,A191=Управление!I128,Управление!J128,A191=Управление!I129,Управление!J129,A191=Управление!I130,Управление!J130,A191=Управление!I131,Управление!J131,A191=Управление!I132,Управление!J132,A191=Управление!I133,Управление!J133,A191=Управление!I134,Управление!J134,A191=Управление!I135,Управление!J135,A191=Управление!I136,Управление!J136,A191=Управление!I137,Управление!J137,A191=Управление!I138,Управление!J138,A191=Управление!I139,Управление!J139,A191=Управление!I140,Управление!J140)</f>
        <v>140</v>
      </c>
      <c r="E191" s="200" t="n">
        <f aca="false">D191*C191</f>
        <v>490</v>
      </c>
      <c r="F191" s="197" t="s">
        <v>214</v>
      </c>
      <c r="K191" s="70"/>
    </row>
    <row r="192" customFormat="false" ht="17.35" hidden="false" customHeight="false" outlineLevel="0" collapsed="false">
      <c r="A192" s="203" t="s">
        <v>213</v>
      </c>
      <c r="B192" s="199" t="s">
        <v>82</v>
      </c>
      <c r="C192" s="116" t="n">
        <f aca="false">IF(Квартирная!B19="BC-24",1,0)</f>
        <v>0</v>
      </c>
      <c r="D192" s="199" t="n">
        <v>25</v>
      </c>
      <c r="E192" s="200" t="n">
        <f aca="false">C192*D192</f>
        <v>0</v>
      </c>
      <c r="F192" s="197" t="s">
        <v>214</v>
      </c>
      <c r="K192" s="70"/>
    </row>
    <row r="193" customFormat="false" ht="17.35" hidden="false" customHeight="false" outlineLevel="0" collapsed="false">
      <c r="A193" s="204" t="s">
        <v>215</v>
      </c>
      <c r="B193" s="205" t="s">
        <v>202</v>
      </c>
      <c r="C193" s="206" t="n">
        <f aca="false">IF(F176="Стандарт",1.932,2.89)</f>
        <v>1.932</v>
      </c>
      <c r="D193" s="207" t="n">
        <f aca="false">Управление!E78</f>
        <v>290.8902692</v>
      </c>
      <c r="E193" s="208" t="n">
        <f aca="false">D193*C193</f>
        <v>562</v>
      </c>
      <c r="F193" s="197" t="s">
        <v>214</v>
      </c>
      <c r="K193" s="70"/>
    </row>
    <row r="194" customFormat="false" ht="17.35" hidden="false" customHeight="false" outlineLevel="0" collapsed="false">
      <c r="A194" s="193" t="s">
        <v>210</v>
      </c>
      <c r="B194" s="175"/>
      <c r="C194" s="175"/>
      <c r="D194" s="175"/>
      <c r="E194" s="176"/>
      <c r="F194" s="69"/>
      <c r="K194" s="70"/>
    </row>
    <row r="195" customFormat="false" ht="17.35" hidden="false" customHeight="false" outlineLevel="0" collapsed="false">
      <c r="A195" s="177" t="s">
        <v>211</v>
      </c>
      <c r="B195" s="124" t="s">
        <v>202</v>
      </c>
      <c r="C195" s="194" t="n">
        <f aca="false">IF(Квартирная!B19="BC-13",0.966,0)</f>
        <v>0</v>
      </c>
      <c r="D195" s="195" t="n">
        <f aca="false">Управление!E63</f>
        <v>154.589372</v>
      </c>
      <c r="E195" s="196" t="n">
        <f aca="false">D195*C195</f>
        <v>0</v>
      </c>
      <c r="F195" s="197" t="s">
        <v>216</v>
      </c>
      <c r="K195" s="70"/>
    </row>
    <row r="196" customFormat="false" ht="17.35" hidden="false" customHeight="false" outlineLevel="0" collapsed="false">
      <c r="A196" s="201" t="s">
        <v>213</v>
      </c>
      <c r="B196" s="191" t="s">
        <v>82</v>
      </c>
      <c r="C196" s="202" t="n">
        <f aca="false">IF(Квартирная!B19="BC-13",1,0)</f>
        <v>0</v>
      </c>
      <c r="D196" s="191" t="n">
        <v>25</v>
      </c>
      <c r="E196" s="192" t="n">
        <f aca="false">C196*D196</f>
        <v>0</v>
      </c>
      <c r="F196" s="197" t="s">
        <v>216</v>
      </c>
      <c r="K196" s="70"/>
    </row>
    <row r="197" customFormat="false" ht="17.35" hidden="false" customHeight="false" outlineLevel="0" collapsed="false">
      <c r="A197" s="203" t="s">
        <v>217</v>
      </c>
      <c r="B197" s="199" t="s">
        <v>49</v>
      </c>
      <c r="C197" s="116" t="n">
        <f aca="false">IF(Квартирная!B19="BC-13",0.1,0)</f>
        <v>0</v>
      </c>
      <c r="D197" s="199" t="n">
        <f aca="false">Управление!D79</f>
        <v>430</v>
      </c>
      <c r="E197" s="200" t="n">
        <f aca="false">C197*D197</f>
        <v>0</v>
      </c>
      <c r="F197" s="197" t="s">
        <v>216</v>
      </c>
      <c r="K197" s="70"/>
    </row>
    <row r="198" customFormat="false" ht="17.35" hidden="false" customHeight="false" outlineLevel="0" collapsed="false">
      <c r="A198" s="209" t="str">
        <f aca="false">Квартирная!B23</f>
        <v>Английский дуб фог</v>
      </c>
      <c r="B198" s="205" t="s">
        <v>119</v>
      </c>
      <c r="C198" s="210" t="n">
        <f aca="false">IF(F176="Стандарт",3.5,4.9)</f>
        <v>3.5</v>
      </c>
      <c r="D198" s="211" t="n">
        <f aca="false">ifs(A198="Нет",0,A198=Управление!I97,Управление!J97,A198=Управление!I98,Управление!J98,A198=Управление!I99,Управление!J99,A198=Управление!I100,Управление!J100,A198=Управление!I101,Управление!J101,A198=Управление!I102,Управление!J102,A198=Управление!I103,Управление!J103,A198=Управление!I104,Управление!J104,A198=Управление!I105,Управление!J105,A198=Управление!I106,Управление!J106,A198=Управление!I107,Управление!J107,A198=Управление!I108,Управление!J108,A198=Управление!I109,Управление!J109,A198=Управление!I110,Управление!J110,A198=Управление!I111,Управление!J111,A198=Управление!I112,Управление!J112,A198=Управление!I113,Управление!J113,A198=Управление!I114,Управление!J114,A198=Управление!I115,Управление!J115,A198=Управление!I116,Управление!J116,A198=Управление!I117,Управление!J117,A198=Управление!I118,Управление!J118,A198=Управление!I119,Управление!J119,A198=Управление!I120,Управление!J120,A198=Управление!I121,Управление!J121,A198=Управление!I122,Управление!J122,A198=Управление!I123,Управление!J123,A198=Управление!I124,Управление!J124,A198=Управление!I125,Управление!J125,A198=Управление!I126,Управление!J126,A198=Управление!I127,Управление!J127,A198=Управление!I128,Управление!J128,A198=Управление!I129,Управление!J129,A198=Управление!I130,Управление!J130,A198=Управление!I131,Управление!J131,A198=Управление!I132,Управление!J132,A198=Управление!I133,Управление!J133,A198=Управление!I134,Управление!J134,A198=Управление!I135,Управление!J135,A198=Управление!I136,Управление!J136,A198=Управление!I137,Управление!J137,A198=Управление!I138,Управление!J138,A198=Управление!I139,Управление!J139,A198=Управление!I140,Управление!J140)</f>
        <v>140</v>
      </c>
      <c r="E198" s="208" t="n">
        <f aca="false">C198*D198</f>
        <v>490</v>
      </c>
      <c r="F198" s="197" t="s">
        <v>216</v>
      </c>
      <c r="K198" s="70"/>
    </row>
    <row r="199" customFormat="false" ht="17.35" hidden="false" customHeight="false" outlineLevel="0" collapsed="false">
      <c r="A199" s="193" t="s">
        <v>210</v>
      </c>
      <c r="B199" s="175"/>
      <c r="C199" s="175"/>
      <c r="D199" s="175"/>
      <c r="E199" s="176"/>
      <c r="F199" s="69"/>
      <c r="K199" s="70"/>
    </row>
    <row r="200" customFormat="false" ht="17.35" hidden="false" customHeight="false" outlineLevel="0" collapsed="false">
      <c r="A200" s="177" t="s">
        <v>215</v>
      </c>
      <c r="B200" s="143" t="s">
        <v>202</v>
      </c>
      <c r="C200" s="178" t="n">
        <f aca="false">IF(F176="Стандарт",1.932,2.89)</f>
        <v>1.932</v>
      </c>
      <c r="D200" s="117" t="n">
        <f aca="false">Управление!E78</f>
        <v>290.8902692</v>
      </c>
      <c r="E200" s="200" t="n">
        <f aca="false">D200*C200</f>
        <v>562.0000000944</v>
      </c>
      <c r="F200" s="197" t="s">
        <v>218</v>
      </c>
      <c r="K200" s="70"/>
    </row>
    <row r="201" customFormat="false" ht="17.35" hidden="false" customHeight="false" outlineLevel="0" collapsed="false">
      <c r="A201" s="177" t="s">
        <v>211</v>
      </c>
      <c r="B201" s="124" t="s">
        <v>202</v>
      </c>
      <c r="C201" s="194" t="n">
        <f aca="false">IF(Квартирная!B19="BC-22",0.29,0)</f>
        <v>0</v>
      </c>
      <c r="D201" s="195" t="n">
        <f aca="false">Управление!E63</f>
        <v>154.589372</v>
      </c>
      <c r="E201" s="196" t="n">
        <f aca="false">D201*C201</f>
        <v>0</v>
      </c>
      <c r="F201" s="197" t="s">
        <v>218</v>
      </c>
      <c r="K201" s="70"/>
    </row>
    <row r="202" customFormat="false" ht="17.35" hidden="false" customHeight="false" outlineLevel="0" collapsed="false">
      <c r="A202" s="198" t="str">
        <f aca="false">Квартирная!B23</f>
        <v>Английский дуб фог</v>
      </c>
      <c r="B202" s="143" t="s">
        <v>119</v>
      </c>
      <c r="C202" s="142" t="n">
        <f aca="false">IF(F176="Стандарт",3.5,4.9)</f>
        <v>3.5</v>
      </c>
      <c r="D202" s="199" t="n">
        <f aca="false">ifs(A202="Нет",0,A202=Управление!I97,Управление!J97,A202=Управление!I98,Управление!J98,A202=Управление!I99,Управление!J99,A202=Управление!I100,Управление!J100,A202=Управление!I101,Управление!J101,A202=Управление!I102,Управление!J102,A202=Управление!I103,Управление!J103,A202=Управление!I104,Управление!J104,A202=Управление!I105,Управление!J105,A202=Управление!I106,Управление!J106,A202=Управление!I107,Управление!J107,A202=Управление!I108,Управление!J108,A202=Управление!I109,Управление!J109,A202=Управление!I110,Управление!J110,A202=Управление!I111,Управление!J111,A202=Управление!I112,Управление!J112,A202=Управление!I113,Управление!J113,A202=Управление!I114,Управление!J114,A202=Управление!I115,Управление!J115,A202=Управление!I116,Управление!J116,A202=Управление!I117,Управление!J117,A202=Управление!I118,Управление!J118,A202=Управление!I119,Управление!J119,A202=Управление!I120,Управление!J120,A202=Управление!I121,Управление!J121,A202=Управление!I122,Управление!J122,A202=Управление!I123,Управление!J123,A202=Управление!I124,Управление!J124,A202=Управление!I125,Управление!J125,A202=Управление!I126,Управление!J126,A202=Управление!I127,Управление!J127,A202=Управление!I128,Управление!J128,A202=Управление!I129,Управление!J129,A202=Управление!I130,Управление!J130,A202=Управление!I131,Управление!J131,A202=Управление!I132,Управление!J132,A202=Управление!I133,Управление!J133,A202=Управление!I134,Управление!J134,A202=Управление!I135,Управление!J135,A202=Управление!I136,Управление!J136,A202=Управление!I137,Управление!J137,A202=Управление!I138,Управление!J138,A202=Управление!I139,Управление!J139,A202=Управление!I140,Управление!J140)</f>
        <v>140</v>
      </c>
      <c r="E202" s="200" t="n">
        <f aca="false">C202*D202</f>
        <v>490</v>
      </c>
      <c r="F202" s="197" t="s">
        <v>218</v>
      </c>
      <c r="K202" s="70"/>
    </row>
    <row r="203" customFormat="false" ht="17.35" hidden="false" customHeight="false" outlineLevel="0" collapsed="false">
      <c r="A203" s="203" t="s">
        <v>217</v>
      </c>
      <c r="B203" s="199" t="s">
        <v>49</v>
      </c>
      <c r="C203" s="116" t="n">
        <f aca="false">IF(Квартирная!B19="BC-22",0.05,0)</f>
        <v>0</v>
      </c>
      <c r="D203" s="199" t="n">
        <f aca="false">Управление!D79</f>
        <v>430</v>
      </c>
      <c r="E203" s="200" t="n">
        <f aca="false">C203*D203</f>
        <v>0</v>
      </c>
      <c r="F203" s="197" t="s">
        <v>218</v>
      </c>
      <c r="K203" s="70"/>
    </row>
    <row r="204" customFormat="false" ht="17.35" hidden="false" customHeight="false" outlineLevel="0" collapsed="false">
      <c r="A204" s="203" t="s">
        <v>219</v>
      </c>
      <c r="B204" s="199" t="s">
        <v>82</v>
      </c>
      <c r="C204" s="116" t="n">
        <f aca="false">IF(Квартирная!B19="BC-22",1,0)</f>
        <v>0</v>
      </c>
      <c r="D204" s="199" t="n">
        <v>13.1</v>
      </c>
      <c r="E204" s="200" t="n">
        <f aca="false">C204*D204</f>
        <v>0</v>
      </c>
      <c r="F204" s="197" t="s">
        <v>218</v>
      </c>
      <c r="K204" s="70"/>
    </row>
    <row r="205" customFormat="false" ht="17.35" hidden="false" customHeight="false" outlineLevel="0" collapsed="false">
      <c r="A205" s="203" t="s">
        <v>220</v>
      </c>
      <c r="B205" s="199" t="s">
        <v>82</v>
      </c>
      <c r="C205" s="116" t="n">
        <f aca="false">IF(Квартирная!B19="BC-22",1,0)</f>
        <v>0</v>
      </c>
      <c r="D205" s="199" t="n">
        <v>2.5</v>
      </c>
      <c r="E205" s="200" t="n">
        <f aca="false">C205*D205</f>
        <v>0</v>
      </c>
      <c r="F205" s="197" t="s">
        <v>218</v>
      </c>
      <c r="K205" s="70"/>
    </row>
    <row r="206" customFormat="false" ht="17.35" hidden="false" customHeight="false" outlineLevel="0" collapsed="false">
      <c r="A206" s="212" t="s">
        <v>213</v>
      </c>
      <c r="B206" s="211" t="s">
        <v>82</v>
      </c>
      <c r="C206" s="213" t="n">
        <f aca="false">IF(Квартирная!B19="BC-22",1,0)</f>
        <v>0</v>
      </c>
      <c r="D206" s="211" t="n">
        <v>25</v>
      </c>
      <c r="E206" s="208" t="n">
        <f aca="false">C206*D206</f>
        <v>0</v>
      </c>
      <c r="F206" s="197" t="s">
        <v>218</v>
      </c>
      <c r="K206" s="70"/>
    </row>
    <row r="207" customFormat="false" ht="17.35" hidden="false" customHeight="false" outlineLevel="0" collapsed="false">
      <c r="A207" s="193" t="s">
        <v>210</v>
      </c>
      <c r="B207" s="175"/>
      <c r="C207" s="175"/>
      <c r="D207" s="175"/>
      <c r="E207" s="176"/>
      <c r="F207" s="69"/>
      <c r="K207" s="70"/>
    </row>
    <row r="208" customFormat="false" ht="17.35" hidden="false" customHeight="false" outlineLevel="0" collapsed="false">
      <c r="A208" s="177" t="s">
        <v>211</v>
      </c>
      <c r="B208" s="124" t="s">
        <v>202</v>
      </c>
      <c r="C208" s="194" t="n">
        <f aca="false">IF(Квартирная!B19="BC-6",0.645,0)</f>
        <v>0.645</v>
      </c>
      <c r="D208" s="195" t="n">
        <f aca="false">Управление!E63</f>
        <v>154.589372</v>
      </c>
      <c r="E208" s="196" t="n">
        <f aca="false">D208*C208</f>
        <v>99.71014493</v>
      </c>
      <c r="F208" s="197" t="s">
        <v>221</v>
      </c>
      <c r="K208" s="70"/>
    </row>
    <row r="209" customFormat="false" ht="17.35" hidden="false" customHeight="false" outlineLevel="0" collapsed="false">
      <c r="A209" s="198" t="s">
        <v>222</v>
      </c>
      <c r="B209" s="143" t="s">
        <v>202</v>
      </c>
      <c r="C209" s="142" t="n">
        <f aca="false">IF(AND(Квартирная!B19="BC-6",F176="Стандарт"),0.0612,0.0669)</f>
        <v>0.0612</v>
      </c>
      <c r="D209" s="214" t="n">
        <f aca="false">Управление!E80</f>
        <v>1400</v>
      </c>
      <c r="E209" s="215" t="n">
        <f aca="false">C209*D209</f>
        <v>85.68</v>
      </c>
      <c r="F209" s="197" t="s">
        <v>221</v>
      </c>
      <c r="K209" s="70"/>
    </row>
    <row r="210" customFormat="false" ht="17.35" hidden="false" customHeight="false" outlineLevel="0" collapsed="false">
      <c r="A210" s="198" t="s">
        <v>223</v>
      </c>
      <c r="B210" s="143" t="s">
        <v>224</v>
      </c>
      <c r="C210" s="142" t="n">
        <f aca="false">IF(F176="Стандарт",4.14,4.52)</f>
        <v>4.14</v>
      </c>
      <c r="D210" s="216" t="n">
        <f aca="false">Управление!C88</f>
        <v>60</v>
      </c>
      <c r="E210" s="215" t="n">
        <f aca="false">D210*C210</f>
        <v>248.4</v>
      </c>
      <c r="F210" s="197"/>
      <c r="K210" s="70"/>
    </row>
    <row r="211" customFormat="false" ht="17.35" hidden="false" customHeight="false" outlineLevel="0" collapsed="false">
      <c r="A211" s="198" t="str">
        <f aca="false">Квартирная!B23</f>
        <v>Английский дуб фог</v>
      </c>
      <c r="B211" s="143" t="s">
        <v>119</v>
      </c>
      <c r="C211" s="142" t="n">
        <f aca="false">IF(F176="Стандарт",3.5,4.9)</f>
        <v>3.5</v>
      </c>
      <c r="D211" s="199" t="n">
        <f aca="false">ifs(A211="Нет",0,A211=Управление!I97,Управление!J97,A211=Управление!I98,Управление!J98,A211=Управление!I99,Управление!J99,A211=Управление!I100,Управление!J100,A211=Управление!I101,Управление!J101,A211=Управление!I102,Управление!J102,A211=Управление!I103,Управление!J103,A211=Управление!I104,Управление!J104,A211=Управление!I105,Управление!J105,A211=Управление!I106,Управление!J106,A211=Управление!I107,Управление!J107,A211=Управление!I108,Управление!J108,A211=Управление!I109,Управление!J109,A211=Управление!I110,Управление!J110,A211=Управление!I111,Управление!J111,A211=Управление!I112,Управление!J112,A211=Управление!I113,Управление!J113,A211=Управление!I114,Управление!J114,A211=Управление!I115,Управление!J115,A211=Управление!I116,Управление!J116,A211=Управление!I117,Управление!J117,A211=Управление!I118,Управление!J118,A211=Управление!I119,Управление!J119,A211=Управление!I120,Управление!J120,A211=Управление!I121,Управление!J121,A211=Управление!I122,Управление!J122,A211=Управление!I123,Управление!J123,A211=Управление!I124,Управление!J124,A211=Управление!I125,Управление!J125,A211=Управление!I126,Управление!J126,A211=Управление!I127,Управление!J127,A211=Управление!I128,Управление!J128,A211=Управление!I129,Управление!J129,A211=Управление!I130,Управление!J130,A211=Управление!I131,Управление!J131,A211=Управление!I132,Управление!J132,A211=Управление!I133,Управление!J133,A211=Управление!I134,Управление!J134,A211=Управление!I135,Управление!J135,A211=Управление!I136,Управление!J136,A211=Управление!I137,Управление!J137,A211=Управление!I138,Управление!J138,A211=Управление!I139,Управление!J139,A211=Управление!I140,Управление!J140)</f>
        <v>140</v>
      </c>
      <c r="E211" s="200" t="n">
        <f aca="false">C211*D211</f>
        <v>490</v>
      </c>
      <c r="F211" s="197" t="s">
        <v>221</v>
      </c>
      <c r="K211" s="70"/>
    </row>
    <row r="212" customFormat="false" ht="17.35" hidden="false" customHeight="false" outlineLevel="0" collapsed="false">
      <c r="A212" s="203" t="s">
        <v>217</v>
      </c>
      <c r="B212" s="199" t="s">
        <v>49</v>
      </c>
      <c r="C212" s="116" t="n">
        <f aca="false">IF(Квартирная!B19="BC-6",0.1,0)</f>
        <v>0.1</v>
      </c>
      <c r="D212" s="199" t="n">
        <f aca="false">Управление!D79</f>
        <v>430</v>
      </c>
      <c r="E212" s="200" t="n">
        <f aca="false">C212*D212</f>
        <v>43</v>
      </c>
      <c r="F212" s="197" t="s">
        <v>221</v>
      </c>
      <c r="K212" s="70"/>
    </row>
    <row r="213" customFormat="false" ht="17.35" hidden="false" customHeight="false" outlineLevel="0" collapsed="false">
      <c r="A213" s="212" t="s">
        <v>225</v>
      </c>
      <c r="B213" s="211" t="s">
        <v>82</v>
      </c>
      <c r="C213" s="213" t="n">
        <f aca="false">IF(Квартирная!B19="BC-6",1,0)</f>
        <v>1</v>
      </c>
      <c r="D213" s="211" t="n">
        <v>2.1</v>
      </c>
      <c r="E213" s="208" t="n">
        <f aca="false">C213*D213</f>
        <v>2.1</v>
      </c>
      <c r="F213" s="197" t="s">
        <v>221</v>
      </c>
      <c r="K213" s="70"/>
    </row>
    <row r="214" customFormat="false" ht="17.35" hidden="false" customHeight="false" outlineLevel="0" collapsed="false">
      <c r="A214" s="193" t="s">
        <v>210</v>
      </c>
      <c r="B214" s="175"/>
      <c r="C214" s="175"/>
      <c r="D214" s="175"/>
      <c r="E214" s="176"/>
      <c r="F214" s="69"/>
      <c r="K214" s="70"/>
    </row>
    <row r="215" customFormat="false" ht="17.35" hidden="false" customHeight="false" outlineLevel="0" collapsed="false">
      <c r="A215" s="198" t="s">
        <v>226</v>
      </c>
      <c r="B215" s="143" t="s">
        <v>82</v>
      </c>
      <c r="C215" s="142" t="n">
        <f aca="false">IF(AND(Квартирная!B19="BC-19",F176="Стандарт"),0.07344,0.08028)</f>
        <v>0.08028</v>
      </c>
      <c r="D215" s="214" t="n">
        <f aca="false">Управление!E80</f>
        <v>1400</v>
      </c>
      <c r="E215" s="217" t="n">
        <f aca="false">C215*D215</f>
        <v>112.392</v>
      </c>
      <c r="F215" s="218" t="s">
        <v>227</v>
      </c>
      <c r="K215" s="70"/>
    </row>
    <row r="216" customFormat="false" ht="17.35" hidden="false" customHeight="false" outlineLevel="0" collapsed="false">
      <c r="A216" s="203" t="s">
        <v>217</v>
      </c>
      <c r="B216" s="199" t="s">
        <v>49</v>
      </c>
      <c r="C216" s="116" t="n">
        <f aca="false">IF(Квартирная!B19="BC-19",0.1,0)</f>
        <v>0</v>
      </c>
      <c r="D216" s="199" t="n">
        <f aca="false">Управление!D79</f>
        <v>430</v>
      </c>
      <c r="E216" s="217" t="n">
        <f aca="false">C216*D216</f>
        <v>0</v>
      </c>
      <c r="F216" s="218" t="s">
        <v>227</v>
      </c>
      <c r="K216" s="70"/>
    </row>
    <row r="217" customFormat="false" ht="17.35" hidden="false" customHeight="false" outlineLevel="0" collapsed="false">
      <c r="A217" s="198" t="s">
        <v>223</v>
      </c>
      <c r="B217" s="143" t="s">
        <v>224</v>
      </c>
      <c r="C217" s="142" t="n">
        <f aca="false">IF(F176="Стандарт",4.152,4.532)</f>
        <v>4.152</v>
      </c>
      <c r="D217" s="216" t="n">
        <f aca="false">Управление!C88</f>
        <v>60</v>
      </c>
      <c r="E217" s="217" t="n">
        <f aca="false">D217*C217</f>
        <v>249.12</v>
      </c>
      <c r="F217" s="218" t="s">
        <v>227</v>
      </c>
      <c r="K217" s="70"/>
    </row>
    <row r="218" customFormat="false" ht="17.35" hidden="false" customHeight="false" outlineLevel="0" collapsed="false">
      <c r="A218" s="203"/>
      <c r="B218" s="199"/>
      <c r="C218" s="116"/>
      <c r="D218" s="199"/>
      <c r="E218" s="200"/>
      <c r="F218" s="218" t="s">
        <v>227</v>
      </c>
      <c r="K218" s="70"/>
    </row>
    <row r="219" customFormat="false" ht="17.35" hidden="false" customHeight="false" outlineLevel="0" collapsed="false">
      <c r="A219" s="212"/>
      <c r="B219" s="211"/>
      <c r="C219" s="213"/>
      <c r="D219" s="211"/>
      <c r="E219" s="208"/>
      <c r="F219" s="218" t="s">
        <v>227</v>
      </c>
      <c r="K219" s="70"/>
    </row>
    <row r="220" customFormat="false" ht="17.35" hidden="false" customHeight="false" outlineLevel="0" collapsed="false">
      <c r="A220" s="193" t="s">
        <v>210</v>
      </c>
      <c r="B220" s="175"/>
      <c r="C220" s="175"/>
      <c r="D220" s="175"/>
      <c r="E220" s="176"/>
      <c r="F220" s="90"/>
      <c r="K220" s="70"/>
    </row>
    <row r="221" customFormat="false" ht="17.35" hidden="false" customHeight="false" outlineLevel="0" collapsed="false">
      <c r="A221" s="198" t="s">
        <v>226</v>
      </c>
      <c r="B221" s="143" t="s">
        <v>82</v>
      </c>
      <c r="C221" s="142" t="n">
        <f aca="false">IF(AND(Квартирная!B19="BC-19",F176="Стандарт"),0.0612,0.0669)</f>
        <v>0.0669</v>
      </c>
      <c r="D221" s="214" t="n">
        <f aca="false">Управление!E80</f>
        <v>1400</v>
      </c>
      <c r="E221" s="200" t="n">
        <f aca="false">C221*D221</f>
        <v>93.66</v>
      </c>
      <c r="F221" s="218" t="s">
        <v>228</v>
      </c>
      <c r="K221" s="70"/>
    </row>
    <row r="222" customFormat="false" ht="17.35" hidden="false" customHeight="false" outlineLevel="0" collapsed="false">
      <c r="A222" s="203" t="s">
        <v>217</v>
      </c>
      <c r="B222" s="199" t="s">
        <v>49</v>
      </c>
      <c r="C222" s="116" t="n">
        <f aca="false">IF(Квартирная!B19="BC-38",0.1,0)</f>
        <v>0</v>
      </c>
      <c r="D222" s="199" t="n">
        <f aca="false">Управление!D79</f>
        <v>430</v>
      </c>
      <c r="E222" s="200" t="n">
        <f aca="false">C222*D222</f>
        <v>0</v>
      </c>
      <c r="F222" s="218" t="s">
        <v>228</v>
      </c>
      <c r="K222" s="70"/>
    </row>
    <row r="223" customFormat="false" ht="17.35" hidden="false" customHeight="false" outlineLevel="0" collapsed="false">
      <c r="A223" s="198" t="s">
        <v>223</v>
      </c>
      <c r="B223" s="143" t="s">
        <v>224</v>
      </c>
      <c r="C223" s="142" t="n">
        <f aca="false">IF(F176="Стандарт",4.14,4.52)</f>
        <v>4.14</v>
      </c>
      <c r="D223" s="216" t="n">
        <f aca="false">Управление!C88</f>
        <v>60</v>
      </c>
      <c r="E223" s="215" t="n">
        <f aca="false">D223*C223</f>
        <v>248.4</v>
      </c>
      <c r="F223" s="218" t="s">
        <v>228</v>
      </c>
      <c r="K223" s="70"/>
    </row>
    <row r="224" customFormat="false" ht="17.35" hidden="false" customHeight="false" outlineLevel="0" collapsed="false">
      <c r="A224" s="203"/>
      <c r="B224" s="199"/>
      <c r="C224" s="116"/>
      <c r="D224" s="199"/>
      <c r="E224" s="200"/>
      <c r="F224" s="218" t="s">
        <v>228</v>
      </c>
      <c r="K224" s="70"/>
    </row>
    <row r="225" customFormat="false" ht="17.35" hidden="false" customHeight="false" outlineLevel="0" collapsed="false">
      <c r="A225" s="212"/>
      <c r="B225" s="211"/>
      <c r="C225" s="213"/>
      <c r="D225" s="211"/>
      <c r="E225" s="208"/>
      <c r="F225" s="218" t="s">
        <v>228</v>
      </c>
      <c r="K225" s="70"/>
    </row>
    <row r="226" customFormat="false" ht="17.35" hidden="false" customHeight="false" outlineLevel="0" collapsed="false">
      <c r="A226" s="193" t="s">
        <v>210</v>
      </c>
      <c r="B226" s="175"/>
      <c r="C226" s="175"/>
      <c r="D226" s="175"/>
      <c r="E226" s="176"/>
      <c r="F226" s="90"/>
      <c r="K226" s="70"/>
    </row>
    <row r="227" customFormat="false" ht="17.35" hidden="false" customHeight="false" outlineLevel="0" collapsed="false">
      <c r="A227" s="198" t="s">
        <v>226</v>
      </c>
      <c r="B227" s="143" t="s">
        <v>82</v>
      </c>
      <c r="C227" s="142" t="n">
        <f aca="false">IF(AND(Квартирная!B19="ВС-17",F176="Стандарт"),0.153,0.16725)</f>
        <v>0.16725</v>
      </c>
      <c r="D227" s="214" t="n">
        <f aca="false">Управление!E80</f>
        <v>1400</v>
      </c>
      <c r="E227" s="200" t="n">
        <f aca="false">C227*D227</f>
        <v>234.15</v>
      </c>
      <c r="F227" s="218" t="s">
        <v>229</v>
      </c>
      <c r="K227" s="70"/>
    </row>
    <row r="228" customFormat="false" ht="17.35" hidden="false" customHeight="false" outlineLevel="0" collapsed="false">
      <c r="A228" s="203" t="s">
        <v>217</v>
      </c>
      <c r="B228" s="199" t="s">
        <v>49</v>
      </c>
      <c r="C228" s="116" t="n">
        <f aca="false">IF(Квартирная!B19="ВС-17",0.3,0)</f>
        <v>0</v>
      </c>
      <c r="D228" s="199" t="n">
        <f aca="false">Управление!D79</f>
        <v>430</v>
      </c>
      <c r="E228" s="200" t="n">
        <f aca="false">C228*D228</f>
        <v>0</v>
      </c>
      <c r="F228" s="218" t="s">
        <v>229</v>
      </c>
      <c r="K228" s="70"/>
    </row>
    <row r="229" customFormat="false" ht="17.35" hidden="false" customHeight="false" outlineLevel="0" collapsed="false">
      <c r="A229" s="198" t="s">
        <v>223</v>
      </c>
      <c r="B229" s="143" t="s">
        <v>224</v>
      </c>
      <c r="C229" s="142" t="n">
        <f aca="false">IF(F176="Стандарт",12.39,13.53)</f>
        <v>12.39</v>
      </c>
      <c r="D229" s="216" t="n">
        <f aca="false">Управление!C89</f>
        <v>40</v>
      </c>
      <c r="E229" s="215" t="n">
        <f aca="false">D229*C229</f>
        <v>495.6</v>
      </c>
      <c r="F229" s="218" t="s">
        <v>229</v>
      </c>
      <c r="K229" s="70"/>
    </row>
    <row r="230" customFormat="false" ht="17.35" hidden="false" customHeight="false" outlineLevel="0" collapsed="false">
      <c r="A230" s="203"/>
      <c r="B230" s="199"/>
      <c r="C230" s="116"/>
      <c r="D230" s="199"/>
      <c r="E230" s="200"/>
      <c r="F230" s="218" t="s">
        <v>229</v>
      </c>
      <c r="K230" s="70"/>
    </row>
    <row r="231" customFormat="false" ht="17.35" hidden="false" customHeight="false" outlineLevel="0" collapsed="false">
      <c r="A231" s="212"/>
      <c r="B231" s="211"/>
      <c r="C231" s="213"/>
      <c r="D231" s="211"/>
      <c r="E231" s="208"/>
      <c r="F231" s="218" t="s">
        <v>229</v>
      </c>
      <c r="K231" s="70"/>
    </row>
    <row r="232" customFormat="false" ht="17.35" hidden="false" customHeight="false" outlineLevel="0" collapsed="false">
      <c r="A232" s="193" t="s">
        <v>210</v>
      </c>
      <c r="B232" s="175"/>
      <c r="C232" s="175"/>
      <c r="D232" s="175"/>
      <c r="E232" s="176"/>
      <c r="F232" s="218"/>
      <c r="K232" s="70"/>
    </row>
    <row r="233" customFormat="false" ht="17.35" hidden="false" customHeight="false" outlineLevel="0" collapsed="false">
      <c r="A233" s="198" t="s">
        <v>222</v>
      </c>
      <c r="B233" s="143" t="s">
        <v>202</v>
      </c>
      <c r="C233" s="142" t="n">
        <f aca="false">IF(AND(Квартирная!B19="BC-44",F176="Стандарт"),0.102,0.1115)</f>
        <v>0.1115</v>
      </c>
      <c r="D233" s="214" t="n">
        <f aca="false">Управление!E80</f>
        <v>1400</v>
      </c>
      <c r="E233" s="217" t="n">
        <f aca="false">C233*D233</f>
        <v>156.1</v>
      </c>
      <c r="F233" s="218" t="s">
        <v>230</v>
      </c>
      <c r="K233" s="70"/>
    </row>
    <row r="234" customFormat="false" ht="17.35" hidden="false" customHeight="false" outlineLevel="0" collapsed="false">
      <c r="A234" s="203" t="s">
        <v>217</v>
      </c>
      <c r="B234" s="199" t="s">
        <v>49</v>
      </c>
      <c r="C234" s="116" t="n">
        <f aca="false">IF(Квартирная!B19="BC-44",0.1,0)</f>
        <v>0</v>
      </c>
      <c r="D234" s="199" t="n">
        <f aca="false">Управление!D79</f>
        <v>430</v>
      </c>
      <c r="E234" s="200" t="n">
        <f aca="false">C234*D234</f>
        <v>0</v>
      </c>
      <c r="F234" s="218" t="s">
        <v>230</v>
      </c>
      <c r="K234" s="70"/>
    </row>
    <row r="235" customFormat="false" ht="17.35" hidden="false" customHeight="false" outlineLevel="0" collapsed="false">
      <c r="A235" s="198" t="s">
        <v>223</v>
      </c>
      <c r="B235" s="143" t="s">
        <v>224</v>
      </c>
      <c r="C235" s="116" t="n">
        <f aca="false">IF(F176="Стандарт",4.18,4.56)</f>
        <v>4.18</v>
      </c>
      <c r="D235" s="216" t="n">
        <f aca="false">Управление!C88</f>
        <v>60</v>
      </c>
      <c r="E235" s="217" t="n">
        <f aca="false">C235*D235</f>
        <v>250.8</v>
      </c>
      <c r="F235" s="218" t="s">
        <v>230</v>
      </c>
      <c r="K235" s="70"/>
    </row>
    <row r="236" customFormat="false" ht="17.35" hidden="false" customHeight="false" outlineLevel="0" collapsed="false">
      <c r="A236" s="203"/>
      <c r="B236" s="199"/>
      <c r="C236" s="116"/>
      <c r="D236" s="199"/>
      <c r="E236" s="200"/>
      <c r="F236" s="218" t="s">
        <v>230</v>
      </c>
      <c r="K236" s="70"/>
    </row>
    <row r="237" customFormat="false" ht="17.35" hidden="false" customHeight="false" outlineLevel="0" collapsed="false">
      <c r="A237" s="212"/>
      <c r="B237" s="211"/>
      <c r="C237" s="213"/>
      <c r="D237" s="211"/>
      <c r="E237" s="208"/>
      <c r="F237" s="218" t="s">
        <v>230</v>
      </c>
      <c r="K237" s="70"/>
    </row>
    <row r="238" customFormat="false" ht="17.35" hidden="false" customHeight="false" outlineLevel="0" collapsed="false">
      <c r="A238" s="219" t="s">
        <v>231</v>
      </c>
      <c r="B238" s="220"/>
      <c r="C238" s="221"/>
      <c r="D238" s="220"/>
      <c r="E238" s="222"/>
      <c r="F238" s="69"/>
      <c r="K238" s="70"/>
    </row>
    <row r="239" customFormat="false" ht="17.35" hidden="false" customHeight="false" outlineLevel="0" collapsed="false">
      <c r="A239" s="223" t="s">
        <v>232</v>
      </c>
      <c r="B239" s="224" t="s">
        <v>82</v>
      </c>
      <c r="C239" s="225" t="n">
        <f aca="false">IF(OR(Квартирная!B19="BC-6",Квартирная!B19="BC-13",Квартирная!B19="ВС-17",Квартирная!B19="BC-19",Квартирная!B19="BC-22",Квартирная!B19="BC-24",Квартирная!B19="BC-38",Квартирная!B19="BC-44",Квартирная!B19="BC-45",Квартирная!B19="Kombi",0,Квартирная!B19="Forta",0,Квартирная!B19="Verso",0,Квартирная!B19="Stark",0,),0,1)</f>
        <v>0</v>
      </c>
      <c r="D239" s="226" t="n">
        <f aca="false">SUM(E175:E184)</f>
        <v>2695.393333</v>
      </c>
      <c r="E239" s="227" t="n">
        <f aca="false">D239*C239</f>
        <v>0</v>
      </c>
      <c r="F239" s="69"/>
      <c r="K239" s="70"/>
    </row>
    <row r="240" customFormat="false" ht="17.35" hidden="false" customHeight="false" outlineLevel="0" collapsed="false">
      <c r="A240" s="223" t="s">
        <v>233</v>
      </c>
      <c r="B240" s="224" t="s">
        <v>82</v>
      </c>
      <c r="C240" s="225" t="n">
        <f aca="false">IF(Квартирная!B19="BC-6",1,0)</f>
        <v>1</v>
      </c>
      <c r="D240" s="226" t="n">
        <f aca="false">SUM(E208:E213,E175:E184)</f>
        <v>3664.283478</v>
      </c>
      <c r="E240" s="227" t="n">
        <f aca="false">D240*C240</f>
        <v>3664.283478</v>
      </c>
      <c r="F240" s="69"/>
      <c r="K240" s="70"/>
    </row>
    <row r="241" customFormat="false" ht="17.35" hidden="false" customHeight="false" outlineLevel="0" collapsed="false">
      <c r="A241" s="223" t="s">
        <v>234</v>
      </c>
      <c r="B241" s="224" t="s">
        <v>82</v>
      </c>
      <c r="C241" s="225" t="n">
        <f aca="false">IF(Квартирная!B19="BC-13",1,0)</f>
        <v>0</v>
      </c>
      <c r="D241" s="226" t="n">
        <f aca="false">SUM(E195:E198,E175:E184)</f>
        <v>3185.393333</v>
      </c>
      <c r="E241" s="227" t="n">
        <f aca="false">D241*C241</f>
        <v>0</v>
      </c>
      <c r="F241" s="69"/>
      <c r="K241" s="70"/>
    </row>
    <row r="242" customFormat="false" ht="17.35" hidden="false" customHeight="false" outlineLevel="0" collapsed="false">
      <c r="A242" s="223" t="s">
        <v>235</v>
      </c>
      <c r="B242" s="224" t="s">
        <v>82</v>
      </c>
      <c r="C242" s="225" t="n">
        <f aca="false">IF(Квартирная!B19="ВС-17",1,0)</f>
        <v>0</v>
      </c>
      <c r="D242" s="228" t="n">
        <f aca="false">SUM(E227:E231,E175:E184)</f>
        <v>3425.143333</v>
      </c>
      <c r="E242" s="227" t="n">
        <f aca="false">D242*C242</f>
        <v>0</v>
      </c>
      <c r="F242" s="69"/>
      <c r="K242" s="70"/>
    </row>
    <row r="243" customFormat="false" ht="17.35" hidden="false" customHeight="false" outlineLevel="0" collapsed="false">
      <c r="A243" s="223" t="s">
        <v>236</v>
      </c>
      <c r="B243" s="224" t="s">
        <v>82</v>
      </c>
      <c r="C243" s="225" t="n">
        <f aca="false">IF(Квартирная!B19="BC-19",1,0)</f>
        <v>0</v>
      </c>
      <c r="D243" s="228" t="n">
        <f aca="false">SUM(E215:E219,E175:E184)</f>
        <v>3056.905333</v>
      </c>
      <c r="E243" s="227" t="n">
        <f aca="false">D243*C243</f>
        <v>0</v>
      </c>
      <c r="F243" s="69"/>
      <c r="K243" s="70"/>
    </row>
    <row r="244" customFormat="false" ht="17.35" hidden="false" customHeight="false" outlineLevel="0" collapsed="false">
      <c r="A244" s="223" t="s">
        <v>237</v>
      </c>
      <c r="B244" s="224" t="s">
        <v>82</v>
      </c>
      <c r="C244" s="225" t="n">
        <f aca="false">IF(Квартирная!B19="BC-22",1,0)</f>
        <v>0</v>
      </c>
      <c r="D244" s="226" t="n">
        <f aca="false">SUM(E200:E206,E176:E184)</f>
        <v>3263.06</v>
      </c>
      <c r="E244" s="227" t="n">
        <f aca="false">D244*C244</f>
        <v>0</v>
      </c>
      <c r="F244" s="69"/>
      <c r="K244" s="70"/>
    </row>
    <row r="245" customFormat="false" ht="17.35" hidden="false" customHeight="false" outlineLevel="0" collapsed="false">
      <c r="A245" s="223" t="s">
        <v>238</v>
      </c>
      <c r="B245" s="224" t="s">
        <v>82</v>
      </c>
      <c r="C245" s="225" t="n">
        <f aca="false">IF(Квартирная!B19="BC-24",1,0)</f>
        <v>0</v>
      </c>
      <c r="D245" s="226" t="n">
        <f aca="false">SUM(E190:E193,E176:E184)</f>
        <v>3263.06</v>
      </c>
      <c r="E245" s="227" t="n">
        <f aca="false">D245*C245</f>
        <v>0</v>
      </c>
      <c r="F245" s="69"/>
      <c r="K245" s="70"/>
    </row>
    <row r="246" customFormat="false" ht="17.35" hidden="false" customHeight="false" outlineLevel="0" collapsed="false">
      <c r="A246" s="223" t="s">
        <v>239</v>
      </c>
      <c r="B246" s="224" t="s">
        <v>82</v>
      </c>
      <c r="C246" s="225" t="n">
        <f aca="false">IF(Квартирная!B19="BC-38",1,0)</f>
        <v>0</v>
      </c>
      <c r="D246" s="228" t="n">
        <f aca="false">SUM(E221:E225,E175:E184)</f>
        <v>3037.453333</v>
      </c>
      <c r="E246" s="227" t="n">
        <f aca="false">D246*C246</f>
        <v>0</v>
      </c>
      <c r="F246" s="69"/>
      <c r="K246" s="70"/>
    </row>
    <row r="247" customFormat="false" ht="17.35" hidden="false" customHeight="false" outlineLevel="0" collapsed="false">
      <c r="A247" s="223" t="s">
        <v>240</v>
      </c>
      <c r="B247" s="224" t="s">
        <v>82</v>
      </c>
      <c r="C247" s="225" t="n">
        <f aca="false">IF(Квартирная!B19="BC-44",1,0)</f>
        <v>0</v>
      </c>
      <c r="D247" s="228" t="n">
        <f aca="false">SUM(E233:E237,E175:E184)</f>
        <v>3102.293333</v>
      </c>
      <c r="E247" s="227" t="n">
        <f aca="false">D247*C247</f>
        <v>0</v>
      </c>
      <c r="F247" s="69"/>
      <c r="K247" s="70"/>
    </row>
    <row r="248" customFormat="false" ht="17.35" hidden="false" customHeight="false" outlineLevel="0" collapsed="false">
      <c r="A248" s="229" t="s">
        <v>241</v>
      </c>
      <c r="B248" s="230" t="s">
        <v>82</v>
      </c>
      <c r="C248" s="231" t="n">
        <f aca="false">IF(Квартирная!B19="BC-45",1,0)</f>
        <v>0</v>
      </c>
      <c r="D248" s="232" t="n">
        <f aca="false">SUM(E186:E188,E175:E184)</f>
        <v>3185.393333</v>
      </c>
      <c r="E248" s="233" t="n">
        <f aca="false">D248*C248</f>
        <v>0</v>
      </c>
      <c r="F248" s="69"/>
      <c r="K248" s="70"/>
    </row>
    <row r="249" customFormat="false" ht="17.35" hidden="false" customHeight="false" outlineLevel="0" collapsed="false">
      <c r="A249" s="174" t="s">
        <v>242</v>
      </c>
      <c r="B249" s="175"/>
      <c r="C249" s="175"/>
      <c r="D249" s="175"/>
      <c r="E249" s="176"/>
      <c r="F249" s="69"/>
      <c r="K249" s="70"/>
    </row>
    <row r="250" customFormat="false" ht="17.35" hidden="false" customHeight="false" outlineLevel="0" collapsed="false">
      <c r="A250" s="177" t="s">
        <v>243</v>
      </c>
      <c r="B250" s="143" t="s">
        <v>202</v>
      </c>
      <c r="C250" s="178" t="n">
        <f aca="false">IF(F250="Стандарт",1.932,2.89)</f>
        <v>1.932</v>
      </c>
      <c r="D250" s="157" t="n">
        <f aca="false">IF(OR(Квартирная!C19='Внутренняя отделка'!B13,Квартирная!C19='Внутренняя отделка'!C13,Квартирная!C19='Внутренняя отделка'!D13,Квартирная!C19='Внутренняя отделка'!E13),Управление!E78,Управление!E64)</f>
        <v>250.6901311</v>
      </c>
      <c r="E250" s="234" t="n">
        <f aca="false">D250*C250</f>
        <v>484.3333332852</v>
      </c>
      <c r="F250" s="69" t="str">
        <f aca="false">IF(O4&gt;2052,"Нестандарт","Стандарт")</f>
        <v>Стандарт</v>
      </c>
      <c r="K250" s="70"/>
    </row>
    <row r="251" customFormat="false" ht="17.35" hidden="false" customHeight="false" outlineLevel="0" collapsed="false">
      <c r="A251" s="180" t="s">
        <v>203</v>
      </c>
      <c r="B251" s="181" t="s">
        <v>29</v>
      </c>
      <c r="C251" s="116" t="n">
        <v>0.15</v>
      </c>
      <c r="D251" s="199" t="n">
        <f aca="false">Управление!G65</f>
        <v>1000</v>
      </c>
      <c r="E251" s="234" t="n">
        <f aca="false">D251*C251</f>
        <v>150</v>
      </c>
      <c r="F251" s="69"/>
      <c r="K251" s="70"/>
    </row>
    <row r="252" customFormat="false" ht="17.35" hidden="false" customHeight="false" outlineLevel="0" collapsed="false">
      <c r="A252" s="183" t="s">
        <v>204</v>
      </c>
      <c r="B252" s="181" t="s">
        <v>119</v>
      </c>
      <c r="C252" s="199" t="n">
        <v>0.005</v>
      </c>
      <c r="D252" s="117" t="n">
        <f aca="false">Управление!E66</f>
        <v>214</v>
      </c>
      <c r="E252" s="234" t="n">
        <f aca="false">D252*C252</f>
        <v>1.07</v>
      </c>
      <c r="F252" s="69"/>
      <c r="K252" s="70"/>
    </row>
    <row r="253" customFormat="false" ht="17.35" hidden="false" customHeight="false" outlineLevel="0" collapsed="false">
      <c r="A253" s="183" t="s">
        <v>205</v>
      </c>
      <c r="B253" s="181" t="s">
        <v>119</v>
      </c>
      <c r="C253" s="116" t="n">
        <v>0.05</v>
      </c>
      <c r="D253" s="117" t="n">
        <f aca="false">Управление!E67</f>
        <v>60</v>
      </c>
      <c r="E253" s="234" t="n">
        <f aca="false">D253*C253</f>
        <v>3</v>
      </c>
      <c r="F253" s="69"/>
      <c r="K253" s="70"/>
    </row>
    <row r="254" customFormat="false" ht="17.35" hidden="false" customHeight="false" outlineLevel="0" collapsed="false">
      <c r="A254" s="180" t="s">
        <v>206</v>
      </c>
      <c r="B254" s="181" t="s">
        <v>49</v>
      </c>
      <c r="C254" s="199" t="n">
        <v>0.018</v>
      </c>
      <c r="D254" s="199" t="n">
        <f aca="false">Управление!D68</f>
        <v>55</v>
      </c>
      <c r="E254" s="234" t="n">
        <f aca="false">D254*C254</f>
        <v>0.99</v>
      </c>
      <c r="F254" s="69"/>
      <c r="K254" s="70"/>
    </row>
    <row r="255" customFormat="false" ht="17.35" hidden="false" customHeight="false" outlineLevel="0" collapsed="false">
      <c r="A255" s="180" t="s">
        <v>107</v>
      </c>
      <c r="B255" s="181" t="s">
        <v>82</v>
      </c>
      <c r="C255" s="116" t="n">
        <v>1</v>
      </c>
      <c r="D255" s="199" t="n">
        <v>20</v>
      </c>
      <c r="E255" s="234" t="n">
        <f aca="false">D255*C255</f>
        <v>20</v>
      </c>
      <c r="F255" s="69"/>
      <c r="K255" s="70"/>
    </row>
    <row r="256" customFormat="false" ht="17.35" hidden="false" customHeight="false" outlineLevel="0" collapsed="false">
      <c r="A256" s="180" t="s">
        <v>207</v>
      </c>
      <c r="B256" s="181" t="s">
        <v>82</v>
      </c>
      <c r="C256" s="116" t="n">
        <v>1</v>
      </c>
      <c r="D256" s="199" t="n">
        <f aca="false">Управление!B70</f>
        <v>734</v>
      </c>
      <c r="E256" s="234" t="n">
        <f aca="false">D256*C256</f>
        <v>734</v>
      </c>
      <c r="F256" s="69"/>
      <c r="K256" s="70"/>
    </row>
    <row r="257" customFormat="false" ht="17.35" hidden="false" customHeight="false" outlineLevel="0" collapsed="false">
      <c r="A257" s="180" t="s">
        <v>208</v>
      </c>
      <c r="B257" s="181" t="s">
        <v>82</v>
      </c>
      <c r="C257" s="116" t="n">
        <v>1</v>
      </c>
      <c r="D257" s="199" t="n">
        <f aca="false">Управление!B71</f>
        <v>65</v>
      </c>
      <c r="E257" s="234" t="n">
        <f aca="false">D257*C257</f>
        <v>65</v>
      </c>
      <c r="F257" s="69"/>
      <c r="K257" s="70"/>
    </row>
    <row r="258" customFormat="false" ht="17.35" hidden="false" customHeight="false" outlineLevel="0" collapsed="false">
      <c r="A258" s="184" t="s">
        <v>209</v>
      </c>
      <c r="B258" s="185" t="s">
        <v>82</v>
      </c>
      <c r="C258" s="116" t="n">
        <v>1</v>
      </c>
      <c r="D258" s="156" t="n">
        <f aca="false">ifs(Квартирная!C19='Внутренняя отделка'!B3,700,Квартирная!C19='Внутренняя отделка'!C3,700,Квартирная!C19='Внутренняя отделка'!D3,700,Квартирная!C19='Внутренняя отделка'!E3,700,Квартирная!C19='Внутренняя отделка'!F3,500,Квартирная!C19='Внутренняя отделка'!G3,700,Квартирная!C19='Внутренняя отделка'!H3,500,Квартирная!C19='Внутренняя отделка'!I3,700,Квартирная!C19='Внутренняя отделка'!J3,700,Квартирная!C19='Внутренняя отделка'!K3,700,Квартирная!C19='Внутренняя отделка'!L3,700,Квартирная!C19='Внутренняя отделка'!M3,700,Квартирная!C19='Внутренняя отделка'!N3,700,Квартирная!C19='Внутренняя отделка'!B8,500,Квартирная!C19='Внутренняя отделка'!C8,500,Квартирная!C19='Внутренняя отделка'!D8,500,Квартирная!C19='Внутренняя отделка'!E8,700,Квартирная!C19='Внутренняя отделка'!F8,700,Квартирная!C19='Внутренняя отделка'!G8,700,Квартирная!C19='Внутренняя отделка'!H8,500,Квартирная!C19='Внутренняя отделка'!I8,500,Квартирная!C19='Внутренняя отделка'!J8,900,Квартирная!C19='Внутренняя отделка'!K8,700,Квартирная!C19='Внутренняя отделка'!B13,900,Квартирная!C19='Внутренняя отделка'!C13,900,Квартирная!C19='Внутренняя отделка'!D13,900,Квартирная!C19='Внутренняя отделка'!E13,900,Квартирная!C19='Внутренняя отделка'!L8,500,Квартирная!C19='Внутренняя отделка'!M8,0)</f>
        <v>700</v>
      </c>
      <c r="E258" s="234" t="n">
        <f aca="false">D258*C258</f>
        <v>700</v>
      </c>
      <c r="F258" s="69"/>
      <c r="K258" s="70"/>
    </row>
    <row r="259" customFormat="false" ht="17.35" hidden="false" customHeight="false" outlineLevel="0" collapsed="false">
      <c r="A259" s="189" t="str">
        <f aca="false">Квартирная!C21</f>
        <v>Астана Эш Уайт</v>
      </c>
      <c r="B259" s="190" t="s">
        <v>119</v>
      </c>
      <c r="C259" s="171" t="n">
        <f aca="false">IF(F250="Стандарт",3.5,4.55)</f>
        <v>3.5</v>
      </c>
      <c r="D259" s="191" t="n">
        <f aca="false">ifs(A259="Нет",0,A259=Управление!I97,Управление!J97,A259=Управление!I98,Управление!J98,A259=Управление!I99,Управление!J99,A259=Управление!I100,Управление!J100,A259=Управление!I101,Управление!J101,A259=Управление!I102,Управление!J102,A259=Управление!I103,Управление!J103,A259=Управление!I104,Управление!J104,A259=Управление!I105,Управление!J105,A259=Управление!I106,Управление!J106,A259=Управление!I107,Управление!J107,A259=Управление!I108,Управление!J108,A259=Управление!I109,Управление!J109,A259=Управление!I110,Управление!J110,A259=Управление!I111,Управление!J111,A259=Управление!I112,Управление!J112,A259=Управление!I113,Управление!J113,A259=Управление!I114,Управление!J114,A259=Управление!I115,Управление!J115,A259=Управление!I116,Управление!J116,A259=Управление!I117,Управление!J117,A259=Управление!I118,Управление!J118,A259=Управление!I119,Управление!J119,A259=Управление!I120,Управление!J120,A259=Управление!I121,Управление!J121,A259=Управление!I122,Управление!J122,A259=Управление!I123,Управление!J123,A259=Управление!I124,Управление!J124,A259=Управление!I125,Управление!J125,A259=Управление!I126,Управление!J126,A259=Управление!I127,Управление!J127,A259=Управление!I128,Управление!J128,A259=Управление!I129,Управление!J129,A259=Управление!I130,Управление!J130,A259=Управление!I131,Управление!J131,A259=Управление!I132,Управление!J132,A259=Управление!I133,Управление!J133,A259=Управление!I134,Управление!J134,A259=Управление!I135,Управление!J135,A259=Управление!I136,Управление!J136,A259=Управление!I137,Управление!J137,A259=Управление!I138,Управление!J138,A259=Управление!I139,Управление!J139,A259=Управление!I140,Управление!J140)</f>
        <v>132</v>
      </c>
      <c r="E259" s="234" t="n">
        <f aca="false">D259*C259</f>
        <v>462</v>
      </c>
      <c r="F259" s="69"/>
      <c r="K259" s="70"/>
    </row>
    <row r="260" customFormat="false" ht="17.35" hidden="false" customHeight="false" outlineLevel="0" collapsed="false">
      <c r="A260" s="198" t="s">
        <v>226</v>
      </c>
      <c r="B260" s="199" t="s">
        <v>119</v>
      </c>
      <c r="C260" s="116" t="n">
        <f aca="false">ifs(Квартирная!C19='Внутренняя отделка'!B3,0,Квартирная!C19='Внутренняя отделка'!C3,0,Квартирная!C19='Внутренняя отделка'!D3,0,Квартирная!C19='Внутренняя отделка'!E3,0,Квартирная!C19='Внутренняя отделка'!G3,0,Квартирная!C19='Внутренняя отделка'!H3,0,Квартирная!C19='Внутренняя отделка'!I3,0,Квартирная!C19='Внутренняя отделка'!J3,0,Квартирная!C19='Внутренняя отделка'!K3,0,Квартирная!C19='Внутренняя отделка'!L3,0,Квартирная!C19='Внутренняя отделка'!M3,0,Квартирная!C19='Внутренняя отделка'!N3,0,Квартирная!C19='Внутренняя отделка'!B8,0,Квартирная!C19='Внутренняя отделка'!C8,0,Квартирная!C19='Внутренняя отделка'!D8,0,Квартирная!C19='Внутренняя отделка'!E8,0,Квартирная!C19='Внутренняя отделка'!G8,2,Квартирная!C19='Внутренняя отделка'!H8,2,Квартирная!C19='Внутренняя отделка'!I8,1.5,Квартирная!C19='Внутренняя отделка'!K8,1,Квартирная!C19='Внутренняя отделка'!B13,0,Квартирная!C19='Внутренняя отделка'!C13,0,Квартирная!C19='Внутренняя отделка'!D13,0,Квартирная!C19='Внутренняя отделка'!E13,0,Квартирная!C19='Внутренняя отделка'!F8,0,Квартирная!C19='Внутренняя отделка'!F3,0,Квартирная!C19='Внутренняя отделка'!J8,0,Квартирная!C19='Внутренняя отделка'!L8,0,Квартирная!C19='Внутренняя отделка'!M8,0)</f>
        <v>0</v>
      </c>
      <c r="D260" s="199" t="n">
        <f aca="false">IF(F250="Стандарт",315,366)</f>
        <v>315</v>
      </c>
      <c r="E260" s="234" t="n">
        <f aca="false">D260*C260</f>
        <v>0</v>
      </c>
      <c r="F260" s="69"/>
      <c r="K260" s="70"/>
    </row>
    <row r="261" customFormat="false" ht="17.35" hidden="false" customHeight="false" outlineLevel="0" collapsed="false">
      <c r="A261" s="203" t="s">
        <v>217</v>
      </c>
      <c r="B261" s="199" t="s">
        <v>49</v>
      </c>
      <c r="C261" s="155" t="n">
        <f aca="false">ifs(Квартирная!C19='Внутренняя отделка'!B3,0,Квартирная!C19='Внутренняя отделка'!C3,0,Квартирная!C19='Внутренняя отделка'!D3,0,Квартирная!C19='Внутренняя отделка'!E3,0,Квартирная!C19='Внутренняя отделка'!G3,0,Квартирная!C19='Внутренняя отделка'!H3,0,Квартирная!C19='Внутренняя отделка'!I3,0,Квартирная!C19='Внутренняя отделка'!J3,0,Квартирная!C19='Внутренняя отделка'!K3,0,Квартирная!C19='Внутренняя отделка'!L3,0,Квартирная!C19='Внутренняя отделка'!M3,0,Квартирная!C19='Внутренняя отделка'!N3,0,Квартирная!C19='Внутренняя отделка'!B8,0,Квартирная!C19='Внутренняя отделка'!C8,0,Квартирная!C19='Внутренняя отделка'!D8,0,Квартирная!C19='Внутренняя отделка'!E8,0,Квартирная!C19='Внутренняя отделка'!G8,0.1,Квартирная!C19='Внутренняя отделка'!H8,0.1,Квартирная!C19='Внутренняя отделка'!I8,0.15,Квартирная!C19='Внутренняя отделка'!K8,0.05,Квартирная!C19='Внутренняя отделка'!B13,0.4,Квартирная!C19='Внутренняя отделка'!C13,0.4,Квартирная!C19='Внутренняя отделка'!D13,0.4,Квартирная!C19='Внутренняя отделка'!E13,0.4,Квартирная!C19='Внутренняя отделка'!F8,0,Квартирная!C19='Внутренняя отделка'!F3,0,Квартирная!C19='Внутренняя отделка'!J8,0,Квартирная!C19='Внутренняя отделка'!L8,0,Квартирная!C19='Внутренняя отделка'!M8,0)</f>
        <v>0</v>
      </c>
      <c r="D261" s="199" t="n">
        <f aca="false">Управление!D79</f>
        <v>430</v>
      </c>
      <c r="E261" s="200" t="n">
        <f aca="false">C261*D261</f>
        <v>0</v>
      </c>
      <c r="F261" s="69"/>
      <c r="K261" s="70"/>
    </row>
    <row r="262" customFormat="false" ht="17.35" hidden="false" customHeight="false" outlineLevel="0" collapsed="false">
      <c r="A262" s="235" t="s">
        <v>244</v>
      </c>
      <c r="B262" s="236" t="s">
        <v>119</v>
      </c>
      <c r="C262" s="116" t="n">
        <f aca="false">IF(AND(Квартирная!C19="Ф-30",F250="Стандарт"),0.12084,0.12864)</f>
        <v>0.12864</v>
      </c>
      <c r="D262" s="199" t="n">
        <f aca="false">IF(AND(Квартирная!C19="Ф-30",F250="Стандарт"),Управление!E80,0)</f>
        <v>0</v>
      </c>
      <c r="E262" s="234" t="n">
        <f aca="false">D262*C262</f>
        <v>0</v>
      </c>
      <c r="F262" s="69"/>
      <c r="K262" s="70"/>
    </row>
    <row r="263" customFormat="false" ht="17.35" hidden="false" customHeight="false" outlineLevel="0" collapsed="false">
      <c r="A263" s="235" t="s">
        <v>223</v>
      </c>
      <c r="B263" s="236" t="s">
        <v>224</v>
      </c>
      <c r="C263" s="116" t="n">
        <f aca="false">IF(AND(Квартирная!C19="Ф-30",F250="Стандарт"),8.176,8.696)</f>
        <v>8.696</v>
      </c>
      <c r="D263" s="199" t="n">
        <f aca="false">IF(AND(Квартирная!C19="Ф-30",F250="Стандарт"),Управление!C88,0)</f>
        <v>0</v>
      </c>
      <c r="E263" s="234" t="n">
        <f aca="false">D263*C263</f>
        <v>0</v>
      </c>
      <c r="F263" s="69"/>
      <c r="K263" s="70"/>
    </row>
    <row r="264" customFormat="false" ht="17.35" hidden="false" customHeight="false" outlineLevel="0" collapsed="false">
      <c r="A264" s="235" t="s">
        <v>245</v>
      </c>
      <c r="B264" s="236" t="s">
        <v>119</v>
      </c>
      <c r="C264" s="116" t="n">
        <f aca="false">IF(AND(Квартирная!C19="Ф-32",F250="Стандарт"),0.116812,0.124352)</f>
        <v>0.124352</v>
      </c>
      <c r="D264" s="199" t="n">
        <f aca="false">IF(AND(Квартирная!C19="Ф-32",F250="Стандарт"),Управление!E80,0)</f>
        <v>0</v>
      </c>
      <c r="E264" s="200" t="n">
        <f aca="false">C264*D264</f>
        <v>0</v>
      </c>
      <c r="F264" s="69"/>
      <c r="K264" s="70"/>
    </row>
    <row r="265" customFormat="false" ht="17.35" hidden="false" customHeight="false" outlineLevel="0" collapsed="false">
      <c r="A265" s="235" t="s">
        <v>223</v>
      </c>
      <c r="B265" s="236" t="s">
        <v>224</v>
      </c>
      <c r="C265" s="116" t="n">
        <f aca="false">IF(AND(Квартирная!C19="Ф-32",F250="Стандарт"),4.144,4.404)</f>
        <v>4.404</v>
      </c>
      <c r="D265" s="199" t="n">
        <f aca="false">IF(AND(Квартирная!C19="Ф-32",F250="Стандарт"),Управление!C88,0)</f>
        <v>0</v>
      </c>
      <c r="E265" s="234" t="n">
        <f aca="false">D265*C265</f>
        <v>0</v>
      </c>
      <c r="F265" s="69"/>
      <c r="K265" s="70"/>
    </row>
    <row r="266" customFormat="false" ht="17.35" hidden="false" customHeight="false" outlineLevel="0" collapsed="false">
      <c r="A266" s="235" t="s">
        <v>246</v>
      </c>
      <c r="B266" s="236" t="s">
        <v>119</v>
      </c>
      <c r="C266" s="116" t="n">
        <f aca="false">IF(AND(Квартирная!C19="Ф-79",F250="Стандарт"),0.06042,0.06432)</f>
        <v>0.06432</v>
      </c>
      <c r="D266" s="199" t="n">
        <f aca="false">IF(AND(Квартирная!C19="Ф-79",F250="Стандарт"),Управление!E80,0)</f>
        <v>0</v>
      </c>
      <c r="E266" s="234" t="n">
        <f aca="false">D266*C266</f>
        <v>0</v>
      </c>
      <c r="F266" s="69"/>
      <c r="K266" s="70"/>
    </row>
    <row r="267" customFormat="false" ht="17.35" hidden="false" customHeight="false" outlineLevel="0" collapsed="false">
      <c r="A267" s="235" t="s">
        <v>223</v>
      </c>
      <c r="B267" s="236" t="s">
        <v>224</v>
      </c>
      <c r="C267" s="116" t="n">
        <f aca="false">IF(AND(Квартирная!C19="Ф-79",F250="Стандарт"),4.088,4.348)</f>
        <v>4.348</v>
      </c>
      <c r="D267" s="199" t="n">
        <f aca="false">IF(AND(Квартирная!C19="Ф-79",F250="Стандарт"),Управление!C88,0)</f>
        <v>0</v>
      </c>
      <c r="E267" s="200" t="n">
        <f aca="false">C267*D267</f>
        <v>0</v>
      </c>
      <c r="F267" s="69"/>
      <c r="K267" s="70"/>
    </row>
    <row r="268" customFormat="false" ht="17.35" hidden="false" customHeight="false" outlineLevel="0" collapsed="false">
      <c r="A268" s="203" t="s">
        <v>247</v>
      </c>
      <c r="B268" s="236" t="s">
        <v>82</v>
      </c>
      <c r="C268" s="116" t="n">
        <f aca="false">IF(Квартирная!C19='Внутренняя отделка'!E13,0.1,0)</f>
        <v>0</v>
      </c>
      <c r="D268" s="199" t="n">
        <f aca="false">Управление!B91</f>
        <v>260</v>
      </c>
      <c r="E268" s="234" t="n">
        <f aca="false">D268*C268</f>
        <v>0</v>
      </c>
      <c r="F268" s="69"/>
      <c r="K268" s="70"/>
    </row>
    <row r="269" customFormat="false" ht="17.35" hidden="false" customHeight="false" outlineLevel="0" collapsed="false">
      <c r="A269" s="203" t="s">
        <v>248</v>
      </c>
      <c r="B269" s="236" t="s">
        <v>224</v>
      </c>
      <c r="C269" s="116" t="n">
        <f aca="false">IF(AND(Квартирная!C19="ФЗ-1",F250="Стандарт"),4.476,4.736)</f>
        <v>4.736</v>
      </c>
      <c r="D269" s="199" t="n">
        <f aca="false">IF(AND(Квартирная!C19="ФЗ-1",F250="Стандарт"),Управление!C90,0)</f>
        <v>0</v>
      </c>
      <c r="E269" s="234" t="n">
        <f aca="false">D269*C269</f>
        <v>0</v>
      </c>
      <c r="F269" s="69"/>
      <c r="K269" s="70"/>
    </row>
    <row r="270" customFormat="false" ht="17.35" hidden="false" customHeight="false" outlineLevel="0" collapsed="false">
      <c r="A270" s="203" t="s">
        <v>249</v>
      </c>
      <c r="B270" s="236" t="s">
        <v>119</v>
      </c>
      <c r="C270" s="116" t="n">
        <f aca="false">IF(AND(Квартирная!C19="ФЗ-1",F250="Стандарт"),0.451136,0.480256)</f>
        <v>0.480256</v>
      </c>
      <c r="D270" s="199" t="n">
        <f aca="false">IF(AND(Квартирная!C19="ФЗ-1",F250="Стандарт"),Управление!E81,0)</f>
        <v>0</v>
      </c>
      <c r="E270" s="200" t="n">
        <f aca="false">C270*D270</f>
        <v>0</v>
      </c>
      <c r="F270" s="69"/>
      <c r="K270" s="70"/>
    </row>
    <row r="271" customFormat="false" ht="17.35" hidden="false" customHeight="false" outlineLevel="0" collapsed="false">
      <c r="A271" s="203" t="s">
        <v>250</v>
      </c>
      <c r="B271" s="236" t="s">
        <v>119</v>
      </c>
      <c r="C271" s="116" t="n">
        <f aca="false">IF(AND(Квартирная!C19="ФЗ-6",F250="Стандарт"),1.28896,1.37216)</f>
        <v>1.37216</v>
      </c>
      <c r="D271" s="199" t="n">
        <f aca="false">IF(AND(Квартирная!C19="ФЗ-6",F250="Стандарт"),Управление!E81,0)</f>
        <v>0</v>
      </c>
      <c r="E271" s="234" t="n">
        <f aca="false">D271*C271</f>
        <v>0</v>
      </c>
      <c r="F271" s="69"/>
      <c r="K271" s="70"/>
    </row>
    <row r="272" customFormat="false" ht="17.35" hidden="false" customHeight="false" outlineLevel="0" collapsed="false">
      <c r="A272" s="235" t="s">
        <v>223</v>
      </c>
      <c r="B272" s="236" t="s">
        <v>224</v>
      </c>
      <c r="C272" s="116" t="n">
        <f aca="false">IF(AND(Квартирная!C19="ФЗ-6",F250="Стандарт"),5.308,5.568)</f>
        <v>5.568</v>
      </c>
      <c r="D272" s="199" t="n">
        <f aca="false">IF(AND(Квартирная!C19="ФЗ-6",F250="Стандарт"),Управление!C88,0)</f>
        <v>0</v>
      </c>
      <c r="E272" s="234" t="n">
        <f aca="false">D272*C272</f>
        <v>0</v>
      </c>
      <c r="F272" s="69"/>
      <c r="K272" s="70"/>
    </row>
    <row r="273" customFormat="false" ht="17.35" hidden="false" customHeight="false" outlineLevel="0" collapsed="false">
      <c r="A273" s="203" t="s">
        <v>251</v>
      </c>
      <c r="B273" s="236" t="s">
        <v>119</v>
      </c>
      <c r="C273" s="116" t="n">
        <f aca="false">IF(AND(Квартирная!C19="ФЗ-7",F250="Стандарт"),1.583004,1.685184)</f>
        <v>1.685184</v>
      </c>
      <c r="D273" s="199" t="n">
        <f aca="false">IF(AND(Квартирная!C19="ФЗ-7",F250="Стандарт"),Управление!E81,0)</f>
        <v>0</v>
      </c>
      <c r="E273" s="200" t="n">
        <f aca="false">C273*D273</f>
        <v>0</v>
      </c>
      <c r="F273" s="69"/>
      <c r="K273" s="70"/>
    </row>
    <row r="274" customFormat="false" ht="17.35" hidden="false" customHeight="false" outlineLevel="0" collapsed="false">
      <c r="A274" s="235" t="s">
        <v>223</v>
      </c>
      <c r="B274" s="236" t="s">
        <v>224</v>
      </c>
      <c r="C274" s="116" t="n">
        <f aca="false">IF(AND(Квартирная!C19="ФЗ-7",F250="Стандарт"),5.6,5.86)</f>
        <v>5.86</v>
      </c>
      <c r="D274" s="199" t="n">
        <f aca="false">IF(AND(Квартирная!C19="ФЗ-7",F250="Стандарт"),Управление!C88,0)</f>
        <v>0</v>
      </c>
      <c r="E274" s="234" t="n">
        <f aca="false">D274*C274</f>
        <v>0</v>
      </c>
      <c r="F274" s="69"/>
      <c r="K274" s="70"/>
    </row>
    <row r="275" customFormat="false" ht="17.35" hidden="false" customHeight="false" outlineLevel="0" collapsed="false">
      <c r="A275" s="212" t="s">
        <v>252</v>
      </c>
      <c r="B275" s="237" t="s">
        <v>119</v>
      </c>
      <c r="C275" s="213" t="n">
        <f aca="false">IF(AND(Квартирная!C19="ФЗ-8",F250="Стандарт"),1.2573,1.33985)</f>
        <v>1.33985</v>
      </c>
      <c r="D275" s="211" t="n">
        <f aca="false">IF(AND(Квартирная!C19="ФЗ-8",F250="Стандарт"),Управление!E81,0)</f>
        <v>0</v>
      </c>
      <c r="E275" s="238" t="n">
        <f aca="false">D275*C275</f>
        <v>0</v>
      </c>
      <c r="F275" s="69"/>
      <c r="K275" s="70"/>
    </row>
    <row r="276" customFormat="false" ht="17.35" hidden="false" customHeight="false" outlineLevel="0" collapsed="false">
      <c r="A276" s="239" t="s">
        <v>253</v>
      </c>
      <c r="B276" s="240"/>
      <c r="C276" s="240"/>
      <c r="D276" s="240"/>
      <c r="E276" s="241"/>
      <c r="F276" s="69"/>
      <c r="K276" s="70"/>
    </row>
    <row r="277" customFormat="false" ht="17.35" hidden="false" customHeight="false" outlineLevel="0" collapsed="false">
      <c r="A277" s="203" t="s">
        <v>201</v>
      </c>
      <c r="B277" s="143" t="s">
        <v>202</v>
      </c>
      <c r="C277" s="178" t="n">
        <f aca="false">IF(F176="Стандарт",0.82,1)</f>
        <v>0.82</v>
      </c>
      <c r="D277" s="117" t="n">
        <f aca="false">Управление!E64</f>
        <v>250.6901311</v>
      </c>
      <c r="E277" s="234" t="n">
        <f aca="false">D277*C277</f>
        <v>205.565907502</v>
      </c>
      <c r="F277" s="69"/>
      <c r="K277" s="70"/>
    </row>
    <row r="278" customFormat="false" ht="17.35" hidden="false" customHeight="false" outlineLevel="0" collapsed="false">
      <c r="A278" s="198" t="str">
        <f aca="false">IF(Квартирная!B25="Как основной", Квартирная!B21, Квартирная!B25)</f>
        <v>Астана Эш Уайт</v>
      </c>
      <c r="B278" s="143" t="s">
        <v>119</v>
      </c>
      <c r="C278" s="142" t="n">
        <f aca="false">IF(F176="Стандарт",3.5,4.55)</f>
        <v>3.5</v>
      </c>
      <c r="D278" s="199" t="n">
        <f aca="false">ifs(A278="Нет",0,A278=Управление!I97,Управление!J97,A278=Управление!I98,Управление!J98,A278=Управление!I99,Управление!J99,A278=Управление!I100,Управление!J100,A278=Управление!I101,Управление!J101,A278=Управление!I102,Управление!J102,A278=Управление!I103,Управление!J103,A278=Управление!I104,Управление!J104,A278=Управление!I105,Управление!J105,A278=Управление!I106,Управление!J106,A278=Управление!I107,Управление!J107,A278=Управление!I108,Управление!J108,A278=Управление!I109,Управление!J109,A278=Управление!I110,Управление!J110,A278=Управление!I111,Управление!J111,A278=Управление!I112,Управление!J112,A278=Управление!I113,Управление!J113,A278=Управление!I114,Управление!J114,A278=Управление!I115,Управление!J115,A278=Управление!I116,Управление!J116,A278=Управление!I117,Управление!J117,A278=Управление!I118,Управление!J118,A278=Управление!I119,Управление!J119,A278=Управление!I120,Управление!J120,A278=Управление!I121,Управление!J121,A278=Управление!I122,Управление!J122,A278=Управление!I123,Управление!J123,A278=Управление!I124,Управление!J124,A278=Управление!I125,Управление!J125,A278=Управление!I126,Управление!J126,A278=Управление!I127,Управление!J127,A278=Управление!I128,Управление!J128,A278=Управление!I129,Управление!J129,A278=Управление!I130,Управление!J130,A278=Управление!I131,Управление!J131,A278=Управление!I132,Управление!J132,A278=Управление!I133,Управление!J133,A278=Управление!I134,Управление!J134,A278=Управление!I135,Управление!J135,A278=Управление!I136,Управление!J136,A278=Управление!I137,Управление!J137,A278=Управление!I138,Управление!J138,A278=Управление!I139,Управление!J139,A278=Управление!I140,Управление!J140)</f>
        <v>132</v>
      </c>
      <c r="E278" s="234" t="n">
        <f aca="false">D278*C278</f>
        <v>462</v>
      </c>
      <c r="F278" s="69"/>
      <c r="K278" s="70"/>
    </row>
    <row r="279" customFormat="false" ht="17.35" hidden="false" customHeight="false" outlineLevel="0" collapsed="false">
      <c r="A279" s="242" t="s">
        <v>203</v>
      </c>
      <c r="B279" s="181" t="s">
        <v>29</v>
      </c>
      <c r="C279" s="139" t="n">
        <v>0.15</v>
      </c>
      <c r="D279" s="140" t="n">
        <f aca="false">Управление!G65</f>
        <v>1000</v>
      </c>
      <c r="E279" s="182" t="n">
        <f aca="false">D279*C279</f>
        <v>150</v>
      </c>
      <c r="F279" s="69"/>
      <c r="K279" s="70"/>
    </row>
    <row r="280" customFormat="false" ht="17.35" hidden="false" customHeight="false" outlineLevel="0" collapsed="false">
      <c r="A280" s="243" t="s">
        <v>204</v>
      </c>
      <c r="B280" s="181" t="s">
        <v>119</v>
      </c>
      <c r="C280" s="139" t="n">
        <v>0.005</v>
      </c>
      <c r="D280" s="164" t="n">
        <f aca="false">Управление!E66</f>
        <v>214</v>
      </c>
      <c r="E280" s="182" t="n">
        <f aca="false">D280*C280</f>
        <v>1.07</v>
      </c>
      <c r="F280" s="69"/>
      <c r="K280" s="70"/>
    </row>
    <row r="281" customFormat="false" ht="17.35" hidden="false" customHeight="false" outlineLevel="0" collapsed="false">
      <c r="A281" s="243" t="s">
        <v>205</v>
      </c>
      <c r="B281" s="181" t="s">
        <v>119</v>
      </c>
      <c r="C281" s="139" t="n">
        <v>0.05</v>
      </c>
      <c r="D281" s="164" t="n">
        <f aca="false">Управление!E67</f>
        <v>60</v>
      </c>
      <c r="E281" s="182" t="n">
        <f aca="false">D281*C281</f>
        <v>3</v>
      </c>
      <c r="F281" s="69"/>
      <c r="K281" s="70"/>
    </row>
    <row r="282" customFormat="false" ht="17.35" hidden="false" customHeight="false" outlineLevel="0" collapsed="false">
      <c r="A282" s="242" t="s">
        <v>206</v>
      </c>
      <c r="B282" s="181" t="s">
        <v>49</v>
      </c>
      <c r="C282" s="139" t="n">
        <v>0.018</v>
      </c>
      <c r="D282" s="140" t="n">
        <f aca="false">Управление!D68</f>
        <v>55</v>
      </c>
      <c r="E282" s="182" t="n">
        <f aca="false">D282*C282</f>
        <v>0.99</v>
      </c>
      <c r="F282" s="69"/>
      <c r="K282" s="70"/>
    </row>
    <row r="283" customFormat="false" ht="17.35" hidden="false" customHeight="false" outlineLevel="0" collapsed="false">
      <c r="A283" s="242" t="s">
        <v>107</v>
      </c>
      <c r="B283" s="181" t="s">
        <v>82</v>
      </c>
      <c r="C283" s="139" t="n">
        <v>1</v>
      </c>
      <c r="D283" s="140" t="n">
        <v>20</v>
      </c>
      <c r="E283" s="182" t="n">
        <f aca="false">D283*C283</f>
        <v>20</v>
      </c>
      <c r="F283" s="69"/>
      <c r="K283" s="70"/>
    </row>
    <row r="284" customFormat="false" ht="17.35" hidden="false" customHeight="false" outlineLevel="0" collapsed="false">
      <c r="A284" s="242" t="s">
        <v>207</v>
      </c>
      <c r="B284" s="181" t="s">
        <v>82</v>
      </c>
      <c r="C284" s="139" t="n">
        <v>1</v>
      </c>
      <c r="D284" s="140" t="n">
        <f aca="false">Управление!B70</f>
        <v>734</v>
      </c>
      <c r="E284" s="182" t="n">
        <f aca="false">D284*C284</f>
        <v>734</v>
      </c>
      <c r="F284" s="69"/>
      <c r="K284" s="70"/>
    </row>
    <row r="285" customFormat="false" ht="17.35" hidden="false" customHeight="false" outlineLevel="0" collapsed="false">
      <c r="A285" s="242" t="s">
        <v>254</v>
      </c>
      <c r="B285" s="181" t="s">
        <v>82</v>
      </c>
      <c r="C285" s="139" t="n">
        <v>1</v>
      </c>
      <c r="D285" s="140" t="n">
        <v>75</v>
      </c>
      <c r="E285" s="182" t="n">
        <f aca="false">D285*C285</f>
        <v>75</v>
      </c>
      <c r="F285" s="69"/>
      <c r="K285" s="70"/>
    </row>
    <row r="286" customFormat="false" ht="17.35" hidden="false" customHeight="false" outlineLevel="0" collapsed="false">
      <c r="A286" s="244" t="s">
        <v>209</v>
      </c>
      <c r="B286" s="245" t="s">
        <v>82</v>
      </c>
      <c r="C286" s="213" t="n">
        <v>1</v>
      </c>
      <c r="D286" s="211" t="n">
        <f aca="false">ifs(Квартирная!B19="BC-45",500,Квартирная!B19="BC-24",400,Квартирная!B19="BC-13",400,Квартирная!B19="Kombi",0,Квартирная!B19="Verso",0,Квартирная!B19="Forta",0,Квартирная!B19="Stark",0,Квартирная!B19="BC-6",300,Квартирная!B19="BC-22",300,Квартирная!B19="BC-41",300,Квартирная!B19="BC-46",300,Квартирная!B19="BC-47",300,Квартирная!B19="BC-32",300,Квартирная!B19="BC-48",300,Квартирная!B19="BC-42",300,Квартирная!B19="BC-49",300,Квартирная!B19="BC-50",300,Квартирная!B19="BC-43",300,Квартирная!B19="BC-51",300,Квартирная!B19="НФ-6",300,Квартирная!B19="BC-52",300,Квартирная!B19="BC-34",300,Квартирная!B19="BC-30",300,Квартирная!B19="BC-44",300,Квартирная!B19="BC-19",300,Квартирная!B19="BC-38",300,Квартирная!B19="ВС-17",300)</f>
        <v>300</v>
      </c>
      <c r="E286" s="238" t="n">
        <f aca="false">D286*C286</f>
        <v>300</v>
      </c>
      <c r="F286" s="69"/>
      <c r="K286" s="70"/>
    </row>
    <row r="287" customFormat="false" ht="18.55" hidden="false" customHeight="false" outlineLevel="0" collapsed="false">
      <c r="A287" s="246" t="s">
        <v>255</v>
      </c>
      <c r="B287" s="247"/>
      <c r="C287" s="248"/>
      <c r="D287" s="248"/>
      <c r="E287" s="249"/>
      <c r="F287" s="69"/>
      <c r="K287" s="70"/>
    </row>
    <row r="288" customFormat="false" ht="17.35" hidden="false" customHeight="false" outlineLevel="0" collapsed="false">
      <c r="A288" s="250" t="s">
        <v>256</v>
      </c>
      <c r="B288" s="251"/>
      <c r="C288" s="252" t="n">
        <f aca="false">IF(Квартирная!B10&gt;2250,6.86875,6.0445)</f>
        <v>6.0445</v>
      </c>
      <c r="D288" s="253" t="n">
        <f aca="false">IF(Квартирная!B19="Verso",Управление!G3,0)</f>
        <v>0</v>
      </c>
      <c r="E288" s="254" t="n">
        <f aca="false">D288*C288</f>
        <v>0</v>
      </c>
      <c r="F288" s="69"/>
      <c r="K288" s="70"/>
    </row>
    <row r="289" customFormat="false" ht="17.35" hidden="false" customHeight="false" outlineLevel="0" collapsed="false">
      <c r="A289" s="255" t="str">
        <f aca="false">Квартирная!C29</f>
        <v>Нет</v>
      </c>
      <c r="B289" s="256"/>
      <c r="C289" s="257" t="n">
        <f aca="false">IF(Квартирная!B19="Verso",1,0)</f>
        <v>0</v>
      </c>
      <c r="D289" s="257" t="n">
        <f aca="false">ifs(A289="Нет",0,A289=Управление!I4,Управление!J4,A289=Управление!I5,Управление!J5,A289=Управление!I6,Управление!J6,A289=Управление!I7,Управление!J7,A289=Управление!I8,Управление!J8,A289=Управление!I9,Управление!J9,A289=Управление!I10,Управление!J10,A289=Управление!I11,Управление!J11,A289=Управление!I12,Управление!J12,A289=Управление!I13,Управление!J13,A289=Управление!I14,Управление!J14,A289=Управление!I15,Управление!J15,A289=Управление!I16,Управление!J16,A289=Управление!I17,Управление!J17,A289=Управление!I18,Управление!J18,A289=Управление!I19,Управление!J19,A289=Управление!I20,Управление!J20,A289=Управление!I21,Управление!J21,A289=Управление!I22,Управление!J22,A289=Управление!I23,Управление!J23,A289=Управление!I24,Управление!J24)</f>
        <v>0</v>
      </c>
      <c r="E289" s="258" t="n">
        <f aca="false">D289*C289</f>
        <v>0</v>
      </c>
      <c r="F289" s="69"/>
      <c r="K289" s="70"/>
    </row>
    <row r="290" customFormat="false" ht="17.35" hidden="false" customHeight="false" outlineLevel="0" collapsed="false">
      <c r="A290" s="255" t="str">
        <f aca="false">Квартирная!B29</f>
        <v>Антик медь</v>
      </c>
      <c r="B290" s="256"/>
      <c r="C290" s="257" t="n">
        <f aca="false">IF(Квартирная!B19="Verso",1,0)</f>
        <v>0</v>
      </c>
      <c r="D290" s="259" t="n">
        <f aca="false">ifs(A290="Нет",0,A290=Управление!I4,Управление!J4,A290=Управление!I5,Управление!J5,A290=Управление!I6,Управление!J6,A290=Управление!I7,Управление!J7,A290=Управление!I8,Управление!J8,A290=Управление!I9,Управление!J9,A290=Управление!I10,Управление!J10,A290=Управление!I11,Управление!J11,A290=Управление!I12,Управление!J12,A290=Управление!I13,Управление!J13,A290=Управление!I14,Управление!J14,A290=Управление!I15,Управление!J15,A290=Управление!I16,Управление!J16,A290=Управление!I17,Управление!J17,A290=Управление!I18,Управление!J18,A290=Управление!I19,Управление!J19,A290=Управление!I20,Управление!J20,A290=Управление!I21,Управление!J21,A290=Управление!I22,Управление!J22,A290=Управление!I23,Управление!J23,A290=Управление!I24,Управление!J24)</f>
        <v>390</v>
      </c>
      <c r="E290" s="258" t="n">
        <f aca="false">C290*D290</f>
        <v>0</v>
      </c>
      <c r="F290" s="147"/>
      <c r="K290" s="70"/>
    </row>
    <row r="291" customFormat="false" ht="17.35" hidden="false" customHeight="false" outlineLevel="0" collapsed="false">
      <c r="A291" s="260" t="s">
        <v>257</v>
      </c>
      <c r="B291" s="261"/>
      <c r="C291" s="262" t="n">
        <f aca="false">IF(Квартирная!B19="Verso",25,0)</f>
        <v>0</v>
      </c>
      <c r="D291" s="263" t="n">
        <f aca="false">Управление!B86</f>
        <v>2.52</v>
      </c>
      <c r="E291" s="264" t="n">
        <f aca="false">C291*D291</f>
        <v>0</v>
      </c>
      <c r="F291" s="69"/>
      <c r="K291" s="70"/>
    </row>
    <row r="292" customFormat="false" ht="18.55" hidden="false" customHeight="false" outlineLevel="0" collapsed="false">
      <c r="A292" s="265" t="s">
        <v>258</v>
      </c>
      <c r="B292" s="266"/>
      <c r="C292" s="267"/>
      <c r="D292" s="267"/>
      <c r="E292" s="268"/>
      <c r="F292" s="69"/>
      <c r="K292" s="70"/>
    </row>
    <row r="293" customFormat="false" ht="17.35" hidden="false" customHeight="false" outlineLevel="0" collapsed="false">
      <c r="A293" s="250" t="s">
        <v>259</v>
      </c>
      <c r="B293" s="269" t="s">
        <v>82</v>
      </c>
      <c r="C293" s="270" t="n">
        <f aca="false">IF(Квартирная!B19="Forta",1.2,0)</f>
        <v>0</v>
      </c>
      <c r="D293" s="253" t="n">
        <f aca="false">Управление!G82</f>
        <v>187</v>
      </c>
      <c r="E293" s="254" t="n">
        <f aca="false">C293*D293</f>
        <v>0</v>
      </c>
      <c r="F293" s="69"/>
      <c r="K293" s="70"/>
    </row>
    <row r="294" customFormat="false" ht="17.35" hidden="false" customHeight="false" outlineLevel="0" collapsed="false">
      <c r="A294" s="255" t="s">
        <v>260</v>
      </c>
      <c r="B294" s="271" t="s">
        <v>29</v>
      </c>
      <c r="C294" s="272" t="n">
        <f aca="false">IF(Квартирная!B19="Forta",2.15875,0)</f>
        <v>0</v>
      </c>
      <c r="D294" s="273" t="n">
        <f aca="false">Управление!G3</f>
        <v>84</v>
      </c>
      <c r="E294" s="258" t="n">
        <f aca="false">C294*D294</f>
        <v>0</v>
      </c>
      <c r="F294" s="69"/>
      <c r="K294" s="70"/>
    </row>
    <row r="295" customFormat="false" ht="17.35" hidden="false" customHeight="false" outlineLevel="0" collapsed="false">
      <c r="A295" s="255" t="str">
        <f aca="false">Квартирная!C29</f>
        <v>Нет</v>
      </c>
      <c r="B295" s="271" t="s">
        <v>29</v>
      </c>
      <c r="C295" s="257" t="n">
        <f aca="false">IF(Квартирная!B19="Forta",0.1,0)</f>
        <v>0</v>
      </c>
      <c r="D295" s="257" t="n">
        <f aca="false">ifs(A295="Нет",0,A295=Управление!I4,Управление!J4,A295=Управление!I5,Управление!J5,A295=Управление!I6,Управление!J6,A295=Управление!I7,Управление!J7,A295=Управление!I8,Управление!J8,A295=Управление!I9,Управление!J9,A295=Управление!I10,Управление!J10,A295=Управление!I11,Управление!J11,A295=Управление!I12,Управление!J12,A295=Управление!I13,Управление!J13,A295=Управление!I14,Управление!J14,A295=Управление!I15,Управление!J15,A295=Управление!I16,Управление!J16,A295=Управление!I17,Управление!J17,A295=Управление!I18,Управление!J18,A295=Управление!I19,Управление!J19,A295=Управление!I20,Управление!J20,A295=Управление!I21,Управление!J21,A295=Управление!I22,Управление!J22,A295=Управление!I23,Управление!J23,A295=Управление!I24,Управление!J24)</f>
        <v>0</v>
      </c>
      <c r="E295" s="274" t="n">
        <f aca="false">D295*C295</f>
        <v>0</v>
      </c>
      <c r="F295" s="69"/>
      <c r="K295" s="70"/>
    </row>
    <row r="296" customFormat="false" ht="17.35" hidden="false" customHeight="false" outlineLevel="0" collapsed="false">
      <c r="A296" s="275" t="s">
        <v>261</v>
      </c>
      <c r="B296" s="276" t="s">
        <v>82</v>
      </c>
      <c r="C296" s="277" t="n">
        <f aca="false">IF(Квартирная!B19="Forta",12,0)</f>
        <v>0</v>
      </c>
      <c r="D296" s="277" t="n">
        <f aca="false">Управление!B85</f>
        <v>1.93</v>
      </c>
      <c r="E296" s="258" t="n">
        <f aca="false">C296*D296</f>
        <v>0</v>
      </c>
      <c r="F296" s="69"/>
      <c r="K296" s="70"/>
    </row>
    <row r="297" customFormat="false" ht="17.35" hidden="false" customHeight="false" outlineLevel="0" collapsed="false">
      <c r="A297" s="275" t="s">
        <v>262</v>
      </c>
      <c r="B297" s="276" t="s">
        <v>82</v>
      </c>
      <c r="C297" s="277" t="n">
        <f aca="false">IF(Квартирная!B19="Forta",12,0)</f>
        <v>0</v>
      </c>
      <c r="D297" s="277" t="n">
        <f aca="false">Управление!B83</f>
        <v>0.59</v>
      </c>
      <c r="E297" s="258" t="n">
        <f aca="false">C297*D297</f>
        <v>0</v>
      </c>
      <c r="F297" s="69"/>
      <c r="K297" s="70"/>
    </row>
    <row r="298" customFormat="false" ht="17.35" hidden="false" customHeight="false" outlineLevel="0" collapsed="false">
      <c r="A298" s="278" t="s">
        <v>263</v>
      </c>
      <c r="B298" s="279" t="s">
        <v>82</v>
      </c>
      <c r="C298" s="263" t="n">
        <f aca="false">IF(Квартирная!B19="Forta",12,0)</f>
        <v>0</v>
      </c>
      <c r="D298" s="262" t="n">
        <f aca="false">Управление!B84</f>
        <v>1.61</v>
      </c>
      <c r="E298" s="264" t="n">
        <f aca="false">C298*D298</f>
        <v>0</v>
      </c>
      <c r="F298" s="69"/>
      <c r="K298" s="70"/>
    </row>
    <row r="299" customFormat="false" ht="18.55" hidden="false" customHeight="false" outlineLevel="0" collapsed="false">
      <c r="A299" s="265" t="s">
        <v>264</v>
      </c>
      <c r="B299" s="266"/>
      <c r="C299" s="267"/>
      <c r="D299" s="267"/>
      <c r="E299" s="268"/>
      <c r="F299" s="69"/>
      <c r="K299" s="70"/>
    </row>
    <row r="300" customFormat="false" ht="17.35" hidden="false" customHeight="false" outlineLevel="0" collapsed="false">
      <c r="A300" s="250" t="s">
        <v>265</v>
      </c>
      <c r="B300" s="251"/>
      <c r="C300" s="252" t="n">
        <f aca="false">IF(Квартирная!B19="Stark",6.04,0)</f>
        <v>0</v>
      </c>
      <c r="D300" s="280" t="n">
        <f aca="false">Управление!G3</f>
        <v>84</v>
      </c>
      <c r="E300" s="254" t="n">
        <f aca="false">D300*C300</f>
        <v>0</v>
      </c>
      <c r="F300" s="69"/>
      <c r="K300" s="70"/>
    </row>
    <row r="301" customFormat="false" ht="17.35" hidden="false" customHeight="false" outlineLevel="0" collapsed="false">
      <c r="A301" s="255" t="str">
        <f aca="false">Квартирная!C29</f>
        <v>Нет</v>
      </c>
      <c r="B301" s="256"/>
      <c r="C301" s="257" t="n">
        <v>0.3</v>
      </c>
      <c r="D301" s="277" t="n">
        <f aca="false">ifs(A301="Нет",0,A301=Управление!I4,Управление!J4,A301=Управление!I5,Управление!J5,A301=Управление!I6,Управление!J6,A301=Управление!I7,Управление!J7,A301=Управление!I8,Управление!J8,A301=Управление!I9,Управление!J9,A301=Управление!I10,Управление!J10,A301=Управление!I11,Управление!J11,A301=Управление!I12,Управление!J12,A301=Управление!I13,Управление!J13,A301=Управление!I14,Управление!J14,A301=Управление!I15,Управление!J15,A301=Управление!I16,Управление!J16,A301=Управление!I17,Управление!J17,A301=Управление!I18,Управление!J18,A301=Управление!I19,Управление!J19,A301=Управление!I20,Управление!J20,A301=Управление!I21,Управление!J21,A301=Управление!I22,Управление!J22,A301=Управление!I23,Управление!J23,A301=Управление!I24,Управление!J24)</f>
        <v>0</v>
      </c>
      <c r="E301" s="258" t="n">
        <f aca="false">D301*C301</f>
        <v>0</v>
      </c>
      <c r="F301" s="69" t="str">
        <f aca="false">IF(Квартирная!B10&lt;=2110,"Стандарт","Нестандарт")</f>
        <v>Стандарт</v>
      </c>
      <c r="K301" s="70"/>
    </row>
    <row r="302" customFormat="false" ht="17.35" hidden="false" customHeight="false" outlineLevel="0" collapsed="false">
      <c r="A302" s="260" t="s">
        <v>257</v>
      </c>
      <c r="B302" s="281"/>
      <c r="C302" s="282" t="n">
        <f aca="false">IF(Квартирная!B19="Stark",38,0)</f>
        <v>0</v>
      </c>
      <c r="D302" s="283" t="n">
        <f aca="false">Управление!B87</f>
        <v>2.52</v>
      </c>
      <c r="E302" s="284" t="n">
        <f aca="false">D302*C302</f>
        <v>0</v>
      </c>
      <c r="F302" s="69" t="str">
        <f aca="false">IF(Квартирная!B11&lt;=1010,"Стандарт","Нестандарт")</f>
        <v>Стандарт</v>
      </c>
      <c r="K302" s="70"/>
    </row>
    <row r="303" customFormat="false" ht="17.35" hidden="false" customHeight="false" outlineLevel="0" collapsed="false">
      <c r="A303" s="285" t="s">
        <v>266</v>
      </c>
      <c r="B303" s="220"/>
      <c r="C303" s="221"/>
      <c r="D303" s="220"/>
      <c r="E303" s="222"/>
      <c r="F303" s="286" t="str">
        <f aca="false">IF(AND(F11="Стандарт",F12="Стандарт"),"Стандарт","Нестандарт")</f>
        <v>Стандарт</v>
      </c>
      <c r="K303" s="70"/>
    </row>
    <row r="304" customFormat="false" ht="17.35" hidden="false" customHeight="false" outlineLevel="0" collapsed="false">
      <c r="A304" s="287" t="s">
        <v>267</v>
      </c>
      <c r="B304" s="103" t="s">
        <v>82</v>
      </c>
      <c r="C304" s="113" t="n">
        <f aca="false">IF(Квартирная!B14="Komfort",1,0)</f>
        <v>0</v>
      </c>
      <c r="D304" s="103" t="n">
        <f aca="false">IF(F304="Металл",Управление!J142,Управление!J143)</f>
        <v>2203</v>
      </c>
      <c r="E304" s="217" t="n">
        <f aca="false">D304*C304</f>
        <v>0</v>
      </c>
      <c r="F304" s="109" t="str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отделка'!E3),"Металл","МДФ")</f>
        <v>МДФ</v>
      </c>
      <c r="K304" s="70"/>
    </row>
    <row r="305" customFormat="false" ht="17.35" hidden="false" customHeight="false" outlineLevel="0" collapsed="false">
      <c r="A305" s="287" t="s">
        <v>268</v>
      </c>
      <c r="B305" s="103" t="s">
        <v>82</v>
      </c>
      <c r="C305" s="113" t="n">
        <f aca="false">IF(AND(Квартирная!B14="Komfort",Квартирная!A29="Цинкогрунтование"),1,0)</f>
        <v>0</v>
      </c>
      <c r="D305" s="103" t="n">
        <f aca="false">Управление!J146+Управление!J157</f>
        <v>730</v>
      </c>
      <c r="E305" s="217" t="n">
        <f aca="false">SUM(D305*C305)</f>
        <v>0</v>
      </c>
      <c r="F305" s="69" t="str">
        <f aca="false">Квартирная!A29</f>
        <v>Цинкогрунтование</v>
      </c>
      <c r="K305" s="70"/>
    </row>
    <row r="306" customFormat="false" ht="17.35" hidden="false" customHeight="false" outlineLevel="0" collapsed="false">
      <c r="A306" s="288" t="s">
        <v>269</v>
      </c>
      <c r="B306" s="289" t="s">
        <v>82</v>
      </c>
      <c r="C306" s="290" t="n">
        <f aca="false">IF(AND(Квартирная!B14="Komfort",Квартирная!B54="Порог шлифованный. Цвет: Хром"),1,0)</f>
        <v>0</v>
      </c>
      <c r="D306" s="289" t="n">
        <f aca="false">Управление!J147+Управление!J154</f>
        <v>614</v>
      </c>
      <c r="E306" s="291" t="n">
        <f aca="false">SUM(D306*C306)</f>
        <v>0</v>
      </c>
      <c r="F306" s="69" t="str">
        <f aca="false">Квартирная!B15</f>
        <v>Открытый [Без утепления]</v>
      </c>
      <c r="K306" s="70"/>
    </row>
    <row r="307" customFormat="false" ht="17.35" hidden="false" customHeight="false" outlineLevel="0" collapsed="false">
      <c r="A307" s="287" t="s">
        <v>38</v>
      </c>
      <c r="B307" s="103" t="s">
        <v>82</v>
      </c>
      <c r="C307" s="113" t="n">
        <f aca="false">IF(AND(Квартирная!B14="Komfort",Квартирная!B15="Закрытый [Утеплённый]"),1,0)</f>
        <v>0</v>
      </c>
      <c r="D307" s="103" t="n">
        <f aca="false">Управление!J148+Управление!J155</f>
        <v>122</v>
      </c>
      <c r="E307" s="291" t="n">
        <f aca="false">D307*C307</f>
        <v>0</v>
      </c>
      <c r="F307" s="69"/>
      <c r="K307" s="70"/>
    </row>
    <row r="308" customFormat="false" ht="17.35" hidden="false" customHeight="false" outlineLevel="0" collapsed="false">
      <c r="A308" s="287" t="s">
        <v>255</v>
      </c>
      <c r="B308" s="103" t="s">
        <v>82</v>
      </c>
      <c r="C308" s="113" t="n">
        <f aca="false">IF(AND(Квартирная!B14="Komfort",Квартирная!B19="Verso"),1,0)</f>
        <v>0</v>
      </c>
      <c r="D308" s="103" t="n">
        <f aca="false">Управление!J150</f>
        <v>505</v>
      </c>
      <c r="E308" s="291" t="n">
        <f aca="false">D308*C308</f>
        <v>0</v>
      </c>
      <c r="F308" s="69"/>
      <c r="K308" s="70"/>
    </row>
    <row r="309" customFormat="false" ht="17.35" hidden="false" customHeight="false" outlineLevel="0" collapsed="false">
      <c r="A309" s="287" t="s">
        <v>258</v>
      </c>
      <c r="B309" s="103" t="s">
        <v>82</v>
      </c>
      <c r="C309" s="113" t="n">
        <f aca="false">IF(AND(Квартирная!B14="Komfort",Квартирная!B19="Forta"),1,0)</f>
        <v>0</v>
      </c>
      <c r="D309" s="103" t="n">
        <f aca="false">Управление!J151</f>
        <v>289</v>
      </c>
      <c r="E309" s="291" t="n">
        <f aca="false">D309*C309</f>
        <v>0</v>
      </c>
      <c r="F309" s="69"/>
      <c r="K309" s="70"/>
    </row>
    <row r="310" customFormat="false" ht="17.35" hidden="false" customHeight="false" outlineLevel="0" collapsed="false">
      <c r="A310" s="287" t="s">
        <v>264</v>
      </c>
      <c r="B310" s="103" t="s">
        <v>82</v>
      </c>
      <c r="C310" s="113" t="n">
        <f aca="false">IF(AND(Квартирная!B14="Komfort",Квартирная!B19="Stark"),1,0)</f>
        <v>0</v>
      </c>
      <c r="D310" s="103" t="n">
        <f aca="false">Управление!J152</f>
        <v>400</v>
      </c>
      <c r="E310" s="291" t="n">
        <f aca="false">D310*C310</f>
        <v>0</v>
      </c>
      <c r="F310" s="69"/>
      <c r="K310" s="70"/>
    </row>
    <row r="311" customFormat="false" ht="17.35" hidden="false" customHeight="false" outlineLevel="0" collapsed="false">
      <c r="A311" s="287"/>
      <c r="B311" s="103"/>
      <c r="C311" s="113"/>
      <c r="D311" s="103" t="s">
        <v>270</v>
      </c>
      <c r="E311" s="217" t="n">
        <f aca="false">SUM(E304:E310)</f>
        <v>0</v>
      </c>
      <c r="F311" s="69"/>
      <c r="K311" s="70"/>
    </row>
    <row r="312" customFormat="false" ht="17.35" hidden="false" customHeight="false" outlineLevel="0" collapsed="false">
      <c r="A312" s="292"/>
      <c r="B312" s="293"/>
      <c r="C312" s="294"/>
      <c r="D312" s="293" t="s">
        <v>271</v>
      </c>
      <c r="E312" s="295" t="n">
        <f aca="false">IF(F303="Стандарт",E311,E311*1.05)</f>
        <v>0</v>
      </c>
      <c r="F312" s="69"/>
      <c r="K312" s="70"/>
    </row>
    <row r="313" customFormat="false" ht="17.35" hidden="false" customHeight="false" outlineLevel="0" collapsed="false">
      <c r="A313" s="285" t="s">
        <v>272</v>
      </c>
      <c r="B313" s="289"/>
      <c r="C313" s="290"/>
      <c r="D313" s="289"/>
      <c r="E313" s="296"/>
      <c r="F313" s="69"/>
      <c r="K313" s="70"/>
    </row>
    <row r="314" customFormat="false" ht="17.35" hidden="false" customHeight="false" outlineLevel="0" collapsed="false">
      <c r="A314" s="297" t="s">
        <v>58</v>
      </c>
      <c r="B314" s="103" t="s">
        <v>29</v>
      </c>
      <c r="C314" s="113" t="n">
        <v>1.344</v>
      </c>
      <c r="D314" s="103" t="n">
        <f aca="false">Управление!G82</f>
        <v>187</v>
      </c>
      <c r="E314" s="102" t="n">
        <f aca="false">D314*C314</f>
        <v>251.328</v>
      </c>
      <c r="F314" s="69"/>
      <c r="K314" s="70"/>
    </row>
    <row r="315" customFormat="false" ht="17.35" hidden="false" customHeight="false" outlineLevel="0" collapsed="false">
      <c r="A315" s="285" t="s">
        <v>273</v>
      </c>
      <c r="B315" s="269"/>
      <c r="C315" s="298"/>
      <c r="D315" s="298"/>
      <c r="E315" s="299"/>
      <c r="F315" s="69"/>
      <c r="K315" s="70"/>
    </row>
    <row r="316" customFormat="false" ht="17.35" hidden="false" customHeight="false" outlineLevel="0" collapsed="false">
      <c r="A316" s="300" t="s">
        <v>274</v>
      </c>
      <c r="B316" s="271" t="s">
        <v>82</v>
      </c>
      <c r="C316" s="257" t="n">
        <v>1</v>
      </c>
      <c r="D316" s="257" t="n">
        <f aca="false">IF(Квартирная!B32=Управление!I159,Управление!J159,0)</f>
        <v>0</v>
      </c>
      <c r="E316" s="258" t="n">
        <f aca="false">D316*C316</f>
        <v>0</v>
      </c>
      <c r="F316" s="69"/>
      <c r="K316" s="70"/>
    </row>
    <row r="317" customFormat="false" ht="17.35" hidden="false" customHeight="false" outlineLevel="0" collapsed="false">
      <c r="A317" s="300" t="s">
        <v>275</v>
      </c>
      <c r="B317" s="271" t="s">
        <v>82</v>
      </c>
      <c r="C317" s="257" t="n">
        <v>1</v>
      </c>
      <c r="D317" s="257" t="n">
        <f aca="false">IF(Квартирная!B32=Управление!I160,Управление!J160,0)</f>
        <v>0</v>
      </c>
      <c r="E317" s="258" t="n">
        <f aca="false">D317*C317</f>
        <v>0</v>
      </c>
      <c r="F317" s="69"/>
      <c r="K317" s="70"/>
    </row>
    <row r="318" customFormat="false" ht="17.35" hidden="false" customHeight="false" outlineLevel="0" collapsed="false">
      <c r="A318" s="300" t="s">
        <v>276</v>
      </c>
      <c r="B318" s="271" t="s">
        <v>82</v>
      </c>
      <c r="C318" s="257" t="n">
        <v>1</v>
      </c>
      <c r="D318" s="257" t="n">
        <f aca="false">IF(Квартирная!B32=Управление!I161,Управление!J161,0)</f>
        <v>0</v>
      </c>
      <c r="E318" s="258" t="n">
        <f aca="false">C318*D318</f>
        <v>0</v>
      </c>
      <c r="F318" s="69"/>
      <c r="K318" s="70"/>
    </row>
    <row r="319" customFormat="false" ht="17.35" hidden="false" customHeight="false" outlineLevel="0" collapsed="false">
      <c r="A319" s="301" t="s">
        <v>277</v>
      </c>
      <c r="B319" s="302" t="s">
        <v>82</v>
      </c>
      <c r="C319" s="262" t="n">
        <v>1</v>
      </c>
      <c r="D319" s="262" t="n">
        <f aca="false">IF(Квартирная!B32=Управление!I163,Управление!J163,0)</f>
        <v>0</v>
      </c>
      <c r="E319" s="264" t="n">
        <f aca="false">D319*C319</f>
        <v>0</v>
      </c>
      <c r="F319" s="69"/>
      <c r="K319" s="70"/>
    </row>
    <row r="320" customFormat="false" ht="17.35" hidden="false" customHeight="false" outlineLevel="0" collapsed="false">
      <c r="A320" s="285" t="s">
        <v>278</v>
      </c>
      <c r="B320" s="269"/>
      <c r="C320" s="298"/>
      <c r="D320" s="298"/>
      <c r="E320" s="299"/>
      <c r="F320" s="69"/>
      <c r="K320" s="70"/>
    </row>
    <row r="321" customFormat="false" ht="17.35" hidden="false" customHeight="false" outlineLevel="0" collapsed="false">
      <c r="A321" s="300" t="s">
        <v>279</v>
      </c>
      <c r="B321" s="271" t="s">
        <v>82</v>
      </c>
      <c r="C321" s="257" t="n">
        <f aca="false">IF(D321&gt;0,1,0)</f>
        <v>0</v>
      </c>
      <c r="D321" s="257" t="n">
        <f aca="false">IF(OR(Квартирная!B32="Гардиан 32.21",Квартирная!B32=A317,Квартирная!B32=A318,Квартирная!B32=A319),Управление!J162,0)</f>
        <v>0</v>
      </c>
      <c r="E321" s="258" t="n">
        <f aca="false">D321*C321</f>
        <v>0</v>
      </c>
      <c r="F321" s="69"/>
      <c r="K321" s="70"/>
    </row>
    <row r="322" customFormat="false" ht="17.35" hidden="false" customHeight="false" outlineLevel="0" collapsed="false">
      <c r="A322" s="300" t="s">
        <v>280</v>
      </c>
      <c r="B322" s="271" t="s">
        <v>82</v>
      </c>
      <c r="C322" s="257" t="n">
        <f aca="false">IF(D322&gt;0,1,0)</f>
        <v>0</v>
      </c>
      <c r="D322" s="257" t="n">
        <f aca="false">IF(AND(Квартирная!B43="Бугельная", OR(Квартирная!C43="Стандартный размер", Квартирная!C43="1600мм х 60мм")), Управление!J164, 0)</f>
        <v>0</v>
      </c>
      <c r="E322" s="258" t="n">
        <f aca="false">D322*C322</f>
        <v>0</v>
      </c>
      <c r="F322" s="69"/>
      <c r="K322" s="70"/>
    </row>
    <row r="323" customFormat="false" ht="17.35" hidden="false" customHeight="false" outlineLevel="0" collapsed="false">
      <c r="A323" s="303" t="s">
        <v>281</v>
      </c>
      <c r="B323" s="304" t="s">
        <v>82</v>
      </c>
      <c r="C323" s="305" t="n">
        <f aca="false">IF(D323&gt;0,1,0)</f>
        <v>0</v>
      </c>
      <c r="D323" s="305" t="n">
        <f aca="false">IF(AND(Квартирная!B43="Бугельная",Квартирная!C43="1800мм х 60мм"),Управление!J165,0)</f>
        <v>0</v>
      </c>
      <c r="E323" s="306" t="n">
        <f aca="false">D323*C323</f>
        <v>0</v>
      </c>
      <c r="F323" s="69"/>
      <c r="K323" s="70"/>
    </row>
    <row r="324" customFormat="false" ht="17.35" hidden="false" customHeight="false" outlineLevel="0" collapsed="false">
      <c r="A324" s="285" t="s">
        <v>282</v>
      </c>
      <c r="B324" s="269"/>
      <c r="C324" s="298"/>
      <c r="D324" s="298"/>
      <c r="E324" s="299"/>
      <c r="F324" s="69"/>
      <c r="K324" s="70"/>
    </row>
    <row r="325" customFormat="false" ht="17.35" hidden="false" customHeight="false" outlineLevel="0" collapsed="false">
      <c r="A325" s="300" t="s">
        <v>283</v>
      </c>
      <c r="B325" s="103" t="s">
        <v>82</v>
      </c>
      <c r="C325" s="113" t="n">
        <f aca="false">IF(AND(OR(Квартирная!A32="Специальный",Квартирная!A32="Цилиндровый"),Квартирная!B41="Золото"),1,0)</f>
        <v>0</v>
      </c>
      <c r="D325" s="113" t="n">
        <f aca="false">Управление!J167</f>
        <v>100</v>
      </c>
      <c r="E325" s="307" t="n">
        <f aca="false">D325*C325</f>
        <v>0</v>
      </c>
      <c r="F325" s="69"/>
      <c r="K325" s="70"/>
    </row>
    <row r="326" customFormat="false" ht="17.35" hidden="false" customHeight="false" outlineLevel="0" collapsed="false">
      <c r="A326" s="300" t="s">
        <v>284</v>
      </c>
      <c r="B326" s="103" t="s">
        <v>82</v>
      </c>
      <c r="C326" s="113" t="n">
        <f aca="false">IF(AND(OR(Квартирная!A32="Специальный",Квартирная!A32="Цилиндровый"),Квартирная!B41="Чёрная"),1,0)</f>
        <v>0</v>
      </c>
      <c r="D326" s="113" t="n">
        <f aca="false">Управление!J168</f>
        <v>57</v>
      </c>
      <c r="E326" s="307" t="n">
        <f aca="false">D326*C326</f>
        <v>0</v>
      </c>
      <c r="F326" s="69"/>
      <c r="K326" s="70"/>
    </row>
    <row r="327" customFormat="false" ht="17.35" hidden="false" customHeight="false" outlineLevel="0" collapsed="false">
      <c r="A327" s="300" t="s">
        <v>285</v>
      </c>
      <c r="B327" s="103" t="s">
        <v>82</v>
      </c>
      <c r="C327" s="113" t="n">
        <f aca="false">IF(AND(OR(Квартирная!A32="Специальный",Квартирная!A32="Цилиндровый"),Квартирная!B41="Хром",Квартирная!C41="Квадратное"),1,0)</f>
        <v>1</v>
      </c>
      <c r="D327" s="113" t="n">
        <f aca="false">Управление!J169</f>
        <v>60</v>
      </c>
      <c r="E327" s="307" t="n">
        <f aca="false">D327*C327</f>
        <v>60</v>
      </c>
      <c r="F327" s="69"/>
      <c r="K327" s="70"/>
    </row>
    <row r="328" customFormat="false" ht="17.35" hidden="false" customHeight="false" outlineLevel="0" collapsed="false">
      <c r="A328" s="300" t="s">
        <v>286</v>
      </c>
      <c r="B328" s="103" t="s">
        <v>82</v>
      </c>
      <c r="C328" s="113" t="n">
        <f aca="false">IF(AND(OR(Квартирная!A32="Специальный",Квартирная!A32="Цилиндровый"),Квартирная!B41="Бронза"),1,0)</f>
        <v>0</v>
      </c>
      <c r="D328" s="113" t="n">
        <f aca="false">Управление!J170</f>
        <v>100</v>
      </c>
      <c r="E328" s="307" t="n">
        <f aca="false">D328*C328</f>
        <v>0</v>
      </c>
      <c r="F328" s="69"/>
      <c r="K328" s="70"/>
    </row>
    <row r="329" customFormat="false" ht="17.35" hidden="false" customHeight="false" outlineLevel="0" collapsed="false">
      <c r="A329" s="260" t="s">
        <v>287</v>
      </c>
      <c r="B329" s="308" t="s">
        <v>82</v>
      </c>
      <c r="C329" s="294" t="n">
        <f aca="false">IF(AND(OR(Квартирная!A32="Специальный",Квартирная!A32="Цилиндровый"),Квартирная!B41="Хром",Квартирная!C41="Овальное"),1,0)</f>
        <v>0</v>
      </c>
      <c r="D329" s="293" t="n">
        <f aca="false">Управление!J171</f>
        <v>74</v>
      </c>
      <c r="E329" s="295" t="n">
        <f aca="false">D329*C329</f>
        <v>0</v>
      </c>
      <c r="F329" s="69"/>
      <c r="K329" s="70"/>
    </row>
    <row r="330" customFormat="false" ht="17.35" hidden="false" customHeight="false" outlineLevel="0" collapsed="false">
      <c r="A330" s="285" t="s">
        <v>288</v>
      </c>
      <c r="B330" s="269"/>
      <c r="C330" s="298"/>
      <c r="D330" s="298"/>
      <c r="E330" s="299"/>
      <c r="F330" s="69"/>
      <c r="K330" s="70"/>
    </row>
    <row r="331" customFormat="false" ht="17.35" hidden="false" customHeight="false" outlineLevel="0" collapsed="false">
      <c r="A331" s="300" t="s">
        <v>283</v>
      </c>
      <c r="B331" s="103" t="s">
        <v>82</v>
      </c>
      <c r="C331" s="113" t="n">
        <f aca="false">IF(AND(OR(Квартирная!A34="Специальный",Квартирная!A34="Цилиндровый"),Квартирная!B41="Золото"),1,0)</f>
        <v>0</v>
      </c>
      <c r="D331" s="113" t="n">
        <f aca="false">Управление!J167</f>
        <v>100</v>
      </c>
      <c r="E331" s="307" t="n">
        <f aca="false">D331*C331</f>
        <v>0</v>
      </c>
      <c r="F331" s="69"/>
      <c r="K331" s="70"/>
    </row>
    <row r="332" customFormat="false" ht="17.35" hidden="false" customHeight="false" outlineLevel="0" collapsed="false">
      <c r="A332" s="300" t="s">
        <v>284</v>
      </c>
      <c r="B332" s="103" t="s">
        <v>82</v>
      </c>
      <c r="C332" s="113" t="n">
        <f aca="false">IF(AND(OR(Квартирная!A34="Специальный",Квартирная!A34="Цилиндровый"),Квартирная!B41="Чёрная"),1,0)</f>
        <v>0</v>
      </c>
      <c r="D332" s="113" t="n">
        <f aca="false">Управление!J168</f>
        <v>57</v>
      </c>
      <c r="E332" s="307" t="n">
        <f aca="false">D332*C332</f>
        <v>0</v>
      </c>
      <c r="F332" s="69"/>
      <c r="K332" s="70"/>
    </row>
    <row r="333" customFormat="false" ht="17.35" hidden="false" customHeight="false" outlineLevel="0" collapsed="false">
      <c r="A333" s="300" t="s">
        <v>285</v>
      </c>
      <c r="B333" s="103" t="s">
        <v>82</v>
      </c>
      <c r="C333" s="113" t="n">
        <f aca="false">IF(AND(OR(Квартирная!A34="Специальный",Квартирная!A34="Цилиндровый"),Квартирная!B41="Хром",Квартирная!C41="Квадратное"),1,0)</f>
        <v>0</v>
      </c>
      <c r="D333" s="113" t="n">
        <f aca="false">Управление!J169</f>
        <v>60</v>
      </c>
      <c r="E333" s="307" t="n">
        <f aca="false">D333*C333</f>
        <v>0</v>
      </c>
      <c r="F333" s="69"/>
      <c r="K333" s="70"/>
    </row>
    <row r="334" customFormat="false" ht="17.35" hidden="false" customHeight="false" outlineLevel="0" collapsed="false">
      <c r="A334" s="300" t="s">
        <v>286</v>
      </c>
      <c r="B334" s="103" t="s">
        <v>82</v>
      </c>
      <c r="C334" s="113" t="n">
        <f aca="false">IF(AND(OR(Квартирная!A34="Специальный",Квартирная!A34="Цилиндровый"),Квартирная!B41="Бронза"),1,0)</f>
        <v>0</v>
      </c>
      <c r="D334" s="113" t="n">
        <f aca="false">Управление!J170</f>
        <v>100</v>
      </c>
      <c r="E334" s="307" t="n">
        <f aca="false">D334*C334</f>
        <v>0</v>
      </c>
      <c r="F334" s="69"/>
      <c r="K334" s="70"/>
    </row>
    <row r="335" customFormat="false" ht="17.35" hidden="false" customHeight="false" outlineLevel="0" collapsed="false">
      <c r="A335" s="260" t="s">
        <v>287</v>
      </c>
      <c r="B335" s="308" t="s">
        <v>82</v>
      </c>
      <c r="C335" s="294" t="n">
        <f aca="false">IF(AND(OR(Квартирная!A34="Специальный",Квартирная!A34="Цилиндровый"),Квартирная!B41="Хром",Квартирная!C41="Овальное"),1,0)</f>
        <v>0</v>
      </c>
      <c r="D335" s="293" t="n">
        <f aca="false">Управление!J171</f>
        <v>74</v>
      </c>
      <c r="E335" s="295" t="n">
        <f aca="false">D335*C335</f>
        <v>0</v>
      </c>
      <c r="F335" s="69"/>
      <c r="K335" s="70"/>
    </row>
    <row r="336" customFormat="false" ht="15" hidden="false" customHeight="false" outlineLevel="0" collapsed="false">
      <c r="B336" s="309"/>
      <c r="C336" s="310"/>
      <c r="E336" s="70"/>
      <c r="F336" s="69"/>
      <c r="K336" s="70"/>
    </row>
    <row r="337" customFormat="false" ht="15" hidden="false" customHeight="false" outlineLevel="0" collapsed="false">
      <c r="B337" s="309"/>
      <c r="C337" s="310"/>
      <c r="E337" s="70"/>
      <c r="F337" s="69"/>
      <c r="K337" s="70"/>
    </row>
    <row r="338" customFormat="false" ht="15" hidden="false" customHeight="false" outlineLevel="0" collapsed="false">
      <c r="B338" s="309"/>
      <c r="C338" s="310"/>
      <c r="E338" s="70"/>
      <c r="F338" s="69"/>
      <c r="K338" s="70"/>
    </row>
    <row r="339" customFormat="false" ht="15" hidden="false" customHeight="false" outlineLevel="0" collapsed="false">
      <c r="B339" s="309"/>
      <c r="C339" s="310"/>
      <c r="E339" s="70"/>
      <c r="F339" s="69"/>
      <c r="K339" s="70"/>
    </row>
    <row r="340" customFormat="false" ht="15" hidden="false" customHeight="false" outlineLevel="0" collapsed="false">
      <c r="B340" s="309"/>
      <c r="C340" s="310"/>
      <c r="E340" s="70"/>
      <c r="F340" s="69"/>
      <c r="K340" s="70"/>
    </row>
    <row r="341" customFormat="false" ht="15" hidden="false" customHeight="false" outlineLevel="0" collapsed="false">
      <c r="B341" s="309"/>
      <c r="C341" s="310"/>
      <c r="E341" s="70"/>
      <c r="F341" s="69"/>
      <c r="K341" s="70"/>
    </row>
    <row r="342" customFormat="false" ht="15" hidden="false" customHeight="false" outlineLevel="0" collapsed="false">
      <c r="B342" s="309"/>
      <c r="C342" s="310"/>
      <c r="E342" s="70"/>
      <c r="F342" s="69"/>
      <c r="K342" s="70"/>
    </row>
    <row r="343" customFormat="false" ht="15" hidden="false" customHeight="false" outlineLevel="0" collapsed="false">
      <c r="B343" s="309"/>
      <c r="C343" s="310"/>
      <c r="E343" s="70"/>
      <c r="F343" s="69"/>
      <c r="K343" s="70"/>
    </row>
    <row r="344" customFormat="false" ht="15" hidden="false" customHeight="false" outlineLevel="0" collapsed="false">
      <c r="B344" s="309"/>
      <c r="C344" s="310"/>
      <c r="E344" s="70"/>
      <c r="F344" s="69"/>
      <c r="K344" s="70"/>
    </row>
    <row r="345" customFormat="false" ht="15" hidden="false" customHeight="false" outlineLevel="0" collapsed="false">
      <c r="B345" s="309"/>
      <c r="C345" s="310"/>
      <c r="E345" s="70"/>
      <c r="F345" s="69"/>
      <c r="K345" s="70"/>
    </row>
    <row r="346" customFormat="false" ht="15" hidden="false" customHeight="false" outlineLevel="0" collapsed="false">
      <c r="B346" s="309"/>
      <c r="C346" s="310"/>
      <c r="E346" s="70"/>
      <c r="F346" s="69"/>
      <c r="K346" s="70"/>
    </row>
    <row r="347" customFormat="false" ht="15" hidden="false" customHeight="false" outlineLevel="0" collapsed="false">
      <c r="B347" s="309"/>
      <c r="C347" s="310"/>
      <c r="E347" s="70"/>
      <c r="F347" s="69"/>
      <c r="K347" s="70"/>
    </row>
    <row r="348" customFormat="false" ht="15" hidden="false" customHeight="false" outlineLevel="0" collapsed="false">
      <c r="B348" s="309"/>
      <c r="C348" s="310"/>
      <c r="E348" s="70"/>
      <c r="F348" s="69"/>
      <c r="K348" s="70"/>
    </row>
    <row r="349" customFormat="false" ht="15" hidden="false" customHeight="false" outlineLevel="0" collapsed="false">
      <c r="B349" s="309"/>
      <c r="C349" s="310"/>
      <c r="E349" s="70"/>
      <c r="F349" s="69"/>
      <c r="K349" s="70"/>
    </row>
    <row r="350" customFormat="false" ht="15" hidden="false" customHeight="false" outlineLevel="0" collapsed="false">
      <c r="B350" s="309"/>
      <c r="C350" s="310"/>
      <c r="E350" s="70"/>
      <c r="F350" s="69"/>
      <c r="K350" s="70"/>
    </row>
    <row r="351" customFormat="false" ht="15" hidden="false" customHeight="false" outlineLevel="0" collapsed="false">
      <c r="B351" s="309"/>
      <c r="C351" s="310"/>
      <c r="E351" s="70"/>
      <c r="F351" s="69"/>
      <c r="K351" s="70"/>
    </row>
    <row r="352" customFormat="false" ht="15" hidden="false" customHeight="false" outlineLevel="0" collapsed="false">
      <c r="B352" s="309"/>
      <c r="C352" s="310"/>
      <c r="E352" s="70"/>
      <c r="F352" s="69"/>
      <c r="K352" s="70"/>
    </row>
    <row r="353" customFormat="false" ht="15" hidden="false" customHeight="false" outlineLevel="0" collapsed="false">
      <c r="B353" s="309"/>
      <c r="C353" s="310"/>
      <c r="E353" s="70"/>
      <c r="F353" s="69"/>
      <c r="K353" s="70"/>
    </row>
    <row r="354" customFormat="false" ht="15" hidden="false" customHeight="false" outlineLevel="0" collapsed="false">
      <c r="B354" s="309"/>
      <c r="C354" s="310"/>
      <c r="E354" s="70"/>
      <c r="F354" s="69"/>
      <c r="K354" s="70"/>
    </row>
    <row r="355" customFormat="false" ht="15" hidden="false" customHeight="false" outlineLevel="0" collapsed="false">
      <c r="B355" s="309"/>
      <c r="C355" s="310"/>
      <c r="E355" s="70"/>
      <c r="F355" s="69"/>
      <c r="K355" s="70"/>
    </row>
    <row r="356" customFormat="false" ht="15" hidden="false" customHeight="false" outlineLevel="0" collapsed="false">
      <c r="B356" s="309"/>
      <c r="C356" s="310"/>
      <c r="E356" s="70"/>
      <c r="F356" s="69"/>
      <c r="K356" s="70"/>
    </row>
    <row r="357" customFormat="false" ht="15" hidden="false" customHeight="false" outlineLevel="0" collapsed="false">
      <c r="B357" s="309"/>
      <c r="C357" s="310"/>
      <c r="E357" s="70"/>
      <c r="F357" s="69"/>
      <c r="K357" s="70"/>
    </row>
    <row r="358" customFormat="false" ht="15" hidden="false" customHeight="false" outlineLevel="0" collapsed="false">
      <c r="B358" s="309"/>
      <c r="C358" s="310"/>
      <c r="E358" s="70"/>
      <c r="F358" s="69"/>
      <c r="K358" s="70"/>
    </row>
    <row r="359" customFormat="false" ht="15" hidden="false" customHeight="false" outlineLevel="0" collapsed="false">
      <c r="B359" s="309"/>
      <c r="C359" s="310"/>
      <c r="E359" s="70"/>
      <c r="F359" s="69"/>
      <c r="K359" s="70"/>
    </row>
    <row r="360" customFormat="false" ht="15" hidden="false" customHeight="false" outlineLevel="0" collapsed="false">
      <c r="B360" s="309"/>
      <c r="C360" s="310"/>
      <c r="E360" s="70"/>
      <c r="F360" s="69"/>
      <c r="K360" s="70"/>
    </row>
    <row r="361" customFormat="false" ht="15" hidden="false" customHeight="false" outlineLevel="0" collapsed="false">
      <c r="B361" s="309"/>
      <c r="C361" s="310"/>
      <c r="E361" s="70"/>
      <c r="F361" s="69"/>
      <c r="K361" s="70"/>
    </row>
    <row r="362" customFormat="false" ht="15" hidden="false" customHeight="false" outlineLevel="0" collapsed="false">
      <c r="B362" s="309"/>
      <c r="C362" s="310"/>
      <c r="E362" s="70"/>
      <c r="F362" s="69"/>
      <c r="K362" s="70"/>
    </row>
    <row r="363" customFormat="false" ht="15" hidden="false" customHeight="false" outlineLevel="0" collapsed="false">
      <c r="B363" s="309"/>
      <c r="C363" s="310"/>
      <c r="E363" s="70"/>
      <c r="F363" s="69"/>
      <c r="K363" s="70"/>
    </row>
    <row r="364" customFormat="false" ht="15" hidden="false" customHeight="false" outlineLevel="0" collapsed="false">
      <c r="B364" s="309"/>
      <c r="C364" s="310"/>
      <c r="E364" s="70"/>
      <c r="F364" s="69"/>
      <c r="K364" s="70"/>
    </row>
    <row r="365" customFormat="false" ht="15" hidden="false" customHeight="false" outlineLevel="0" collapsed="false">
      <c r="B365" s="309"/>
      <c r="C365" s="310"/>
      <c r="E365" s="70"/>
      <c r="F365" s="69"/>
      <c r="K365" s="70"/>
    </row>
    <row r="366" customFormat="false" ht="15" hidden="false" customHeight="false" outlineLevel="0" collapsed="false">
      <c r="B366" s="309"/>
      <c r="C366" s="310"/>
      <c r="E366" s="70"/>
      <c r="F366" s="69"/>
      <c r="K366" s="70"/>
    </row>
    <row r="367" customFormat="false" ht="15" hidden="false" customHeight="false" outlineLevel="0" collapsed="false">
      <c r="B367" s="309"/>
      <c r="C367" s="310"/>
      <c r="E367" s="70"/>
      <c r="F367" s="69"/>
      <c r="K367" s="70"/>
    </row>
    <row r="368" customFormat="false" ht="15" hidden="false" customHeight="false" outlineLevel="0" collapsed="false">
      <c r="B368" s="309"/>
      <c r="C368" s="310"/>
      <c r="E368" s="70"/>
      <c r="F368" s="69"/>
      <c r="K368" s="70"/>
    </row>
    <row r="369" customFormat="false" ht="15" hidden="false" customHeight="false" outlineLevel="0" collapsed="false">
      <c r="B369" s="309"/>
      <c r="C369" s="310"/>
      <c r="E369" s="70"/>
      <c r="F369" s="69"/>
      <c r="K369" s="70"/>
    </row>
    <row r="370" customFormat="false" ht="15" hidden="false" customHeight="false" outlineLevel="0" collapsed="false">
      <c r="B370" s="309"/>
      <c r="C370" s="310"/>
      <c r="E370" s="70"/>
      <c r="F370" s="69"/>
      <c r="K370" s="70"/>
    </row>
    <row r="371" customFormat="false" ht="15" hidden="false" customHeight="false" outlineLevel="0" collapsed="false">
      <c r="B371" s="309"/>
      <c r="C371" s="310"/>
      <c r="E371" s="70"/>
      <c r="F371" s="69"/>
      <c r="K371" s="70"/>
    </row>
    <row r="372" customFormat="false" ht="15" hidden="false" customHeight="false" outlineLevel="0" collapsed="false">
      <c r="B372" s="309"/>
      <c r="C372" s="310"/>
      <c r="E372" s="70"/>
      <c r="F372" s="69"/>
      <c r="K372" s="70"/>
    </row>
    <row r="373" customFormat="false" ht="15" hidden="false" customHeight="false" outlineLevel="0" collapsed="false">
      <c r="B373" s="309"/>
      <c r="C373" s="310"/>
      <c r="E373" s="70"/>
      <c r="F373" s="69"/>
      <c r="K373" s="70"/>
    </row>
    <row r="374" customFormat="false" ht="15" hidden="false" customHeight="false" outlineLevel="0" collapsed="false">
      <c r="B374" s="309"/>
      <c r="C374" s="310"/>
      <c r="E374" s="70"/>
      <c r="F374" s="69"/>
      <c r="K374" s="70"/>
    </row>
    <row r="375" customFormat="false" ht="15" hidden="false" customHeight="false" outlineLevel="0" collapsed="false">
      <c r="B375" s="309"/>
      <c r="C375" s="310"/>
      <c r="E375" s="70"/>
      <c r="F375" s="69"/>
      <c r="K375" s="70"/>
    </row>
    <row r="376" customFormat="false" ht="15" hidden="false" customHeight="false" outlineLevel="0" collapsed="false">
      <c r="B376" s="309"/>
      <c r="C376" s="310"/>
      <c r="E376" s="70"/>
      <c r="F376" s="69"/>
      <c r="K376" s="70"/>
    </row>
    <row r="377" customFormat="false" ht="15" hidden="false" customHeight="false" outlineLevel="0" collapsed="false">
      <c r="B377" s="309"/>
      <c r="C377" s="310"/>
      <c r="E377" s="70"/>
      <c r="F377" s="69"/>
      <c r="K377" s="70"/>
    </row>
    <row r="378" customFormat="false" ht="15" hidden="false" customHeight="false" outlineLevel="0" collapsed="false">
      <c r="B378" s="309"/>
      <c r="C378" s="310"/>
      <c r="E378" s="70"/>
      <c r="F378" s="69"/>
      <c r="K378" s="70"/>
    </row>
    <row r="379" customFormat="false" ht="15" hidden="false" customHeight="false" outlineLevel="0" collapsed="false">
      <c r="B379" s="309"/>
      <c r="C379" s="310"/>
      <c r="E379" s="70"/>
      <c r="F379" s="69"/>
      <c r="K379" s="70"/>
    </row>
    <row r="380" customFormat="false" ht="15" hidden="false" customHeight="false" outlineLevel="0" collapsed="false">
      <c r="B380" s="309"/>
      <c r="C380" s="310"/>
      <c r="E380" s="70"/>
      <c r="F380" s="69"/>
      <c r="K380" s="70"/>
    </row>
    <row r="381" customFormat="false" ht="15" hidden="false" customHeight="false" outlineLevel="0" collapsed="false">
      <c r="B381" s="309"/>
      <c r="C381" s="310"/>
      <c r="E381" s="70"/>
      <c r="F381" s="69"/>
      <c r="K381" s="70"/>
    </row>
    <row r="382" customFormat="false" ht="15" hidden="false" customHeight="false" outlineLevel="0" collapsed="false">
      <c r="B382" s="309"/>
      <c r="C382" s="310"/>
      <c r="E382" s="70"/>
      <c r="F382" s="69"/>
      <c r="K382" s="70"/>
    </row>
    <row r="383" customFormat="false" ht="15" hidden="false" customHeight="false" outlineLevel="0" collapsed="false">
      <c r="B383" s="309"/>
      <c r="C383" s="310"/>
      <c r="E383" s="70"/>
      <c r="F383" s="69"/>
      <c r="K383" s="70"/>
    </row>
    <row r="384" customFormat="false" ht="15" hidden="false" customHeight="false" outlineLevel="0" collapsed="false">
      <c r="B384" s="309"/>
      <c r="C384" s="310"/>
      <c r="E384" s="70"/>
      <c r="F384" s="69"/>
      <c r="K384" s="70"/>
    </row>
    <row r="385" customFormat="false" ht="15" hidden="false" customHeight="false" outlineLevel="0" collapsed="false">
      <c r="B385" s="309"/>
      <c r="C385" s="310"/>
      <c r="E385" s="70"/>
      <c r="F385" s="69"/>
      <c r="K385" s="70"/>
    </row>
    <row r="386" customFormat="false" ht="15" hidden="false" customHeight="false" outlineLevel="0" collapsed="false">
      <c r="B386" s="309"/>
      <c r="C386" s="310"/>
      <c r="E386" s="70"/>
      <c r="F386" s="69"/>
      <c r="K386" s="70"/>
    </row>
    <row r="387" customFormat="false" ht="15" hidden="false" customHeight="false" outlineLevel="0" collapsed="false">
      <c r="B387" s="309"/>
      <c r="C387" s="310"/>
      <c r="E387" s="70"/>
      <c r="F387" s="69"/>
      <c r="K387" s="70"/>
    </row>
    <row r="388" customFormat="false" ht="15" hidden="false" customHeight="false" outlineLevel="0" collapsed="false">
      <c r="B388" s="309"/>
      <c r="C388" s="310"/>
      <c r="E388" s="70"/>
      <c r="F388" s="69"/>
      <c r="K388" s="70"/>
    </row>
    <row r="389" customFormat="false" ht="15" hidden="false" customHeight="false" outlineLevel="0" collapsed="false">
      <c r="B389" s="309"/>
      <c r="C389" s="310"/>
      <c r="E389" s="70"/>
      <c r="F389" s="69"/>
      <c r="K389" s="70"/>
    </row>
    <row r="390" customFormat="false" ht="15" hidden="false" customHeight="false" outlineLevel="0" collapsed="false">
      <c r="B390" s="309"/>
      <c r="C390" s="310"/>
      <c r="E390" s="70"/>
      <c r="F390" s="69"/>
      <c r="K390" s="70"/>
    </row>
    <row r="391" customFormat="false" ht="15" hidden="false" customHeight="false" outlineLevel="0" collapsed="false">
      <c r="B391" s="309"/>
      <c r="C391" s="310"/>
      <c r="E391" s="70"/>
      <c r="F391" s="69"/>
      <c r="K391" s="70"/>
    </row>
    <row r="392" customFormat="false" ht="15" hidden="false" customHeight="false" outlineLevel="0" collapsed="false">
      <c r="B392" s="309"/>
      <c r="C392" s="310"/>
      <c r="E392" s="70"/>
      <c r="F392" s="69"/>
      <c r="K392" s="70"/>
    </row>
    <row r="393" customFormat="false" ht="15" hidden="false" customHeight="false" outlineLevel="0" collapsed="false">
      <c r="B393" s="309"/>
      <c r="C393" s="310"/>
      <c r="E393" s="70"/>
      <c r="F393" s="69"/>
      <c r="K393" s="70"/>
    </row>
    <row r="394" customFormat="false" ht="15" hidden="false" customHeight="false" outlineLevel="0" collapsed="false">
      <c r="B394" s="309"/>
      <c r="C394" s="310"/>
      <c r="E394" s="70"/>
      <c r="F394" s="69"/>
      <c r="K394" s="70"/>
    </row>
    <row r="395" customFormat="false" ht="15" hidden="false" customHeight="false" outlineLevel="0" collapsed="false">
      <c r="B395" s="309"/>
      <c r="C395" s="310"/>
      <c r="E395" s="70"/>
      <c r="F395" s="69"/>
      <c r="K395" s="70"/>
    </row>
    <row r="396" customFormat="false" ht="15" hidden="false" customHeight="false" outlineLevel="0" collapsed="false">
      <c r="B396" s="309"/>
      <c r="C396" s="310"/>
      <c r="E396" s="70"/>
      <c r="F396" s="69"/>
      <c r="K396" s="70"/>
    </row>
    <row r="397" customFormat="false" ht="15" hidden="false" customHeight="false" outlineLevel="0" collapsed="false">
      <c r="B397" s="309"/>
      <c r="C397" s="310"/>
      <c r="E397" s="70"/>
      <c r="F397" s="69"/>
      <c r="K397" s="70"/>
    </row>
    <row r="398" customFormat="false" ht="15" hidden="false" customHeight="false" outlineLevel="0" collapsed="false">
      <c r="B398" s="309"/>
      <c r="C398" s="310"/>
      <c r="E398" s="70"/>
      <c r="F398" s="69"/>
      <c r="K398" s="70"/>
    </row>
    <row r="399" customFormat="false" ht="15" hidden="false" customHeight="false" outlineLevel="0" collapsed="false">
      <c r="B399" s="309"/>
      <c r="C399" s="310"/>
      <c r="E399" s="70"/>
      <c r="F399" s="69"/>
      <c r="K399" s="70"/>
    </row>
    <row r="400" customFormat="false" ht="15" hidden="false" customHeight="false" outlineLevel="0" collapsed="false">
      <c r="B400" s="309"/>
      <c r="C400" s="310"/>
      <c r="E400" s="70"/>
      <c r="F400" s="69"/>
      <c r="K400" s="70"/>
    </row>
    <row r="401" customFormat="false" ht="15" hidden="false" customHeight="false" outlineLevel="0" collapsed="false">
      <c r="B401" s="309"/>
      <c r="C401" s="310"/>
      <c r="E401" s="70"/>
      <c r="F401" s="69"/>
      <c r="K401" s="70"/>
    </row>
    <row r="402" customFormat="false" ht="15" hidden="false" customHeight="false" outlineLevel="0" collapsed="false">
      <c r="B402" s="309"/>
      <c r="C402" s="310"/>
      <c r="E402" s="70"/>
      <c r="F402" s="69"/>
      <c r="K402" s="70"/>
    </row>
    <row r="403" customFormat="false" ht="15" hidden="false" customHeight="false" outlineLevel="0" collapsed="false">
      <c r="B403" s="309"/>
      <c r="C403" s="310"/>
      <c r="E403" s="70"/>
      <c r="F403" s="69"/>
      <c r="K403" s="70"/>
    </row>
    <row r="404" customFormat="false" ht="15" hidden="false" customHeight="false" outlineLevel="0" collapsed="false">
      <c r="B404" s="309"/>
      <c r="C404" s="310"/>
      <c r="E404" s="70"/>
      <c r="F404" s="69"/>
      <c r="K404" s="70"/>
    </row>
    <row r="405" customFormat="false" ht="15" hidden="false" customHeight="false" outlineLevel="0" collapsed="false">
      <c r="B405" s="309"/>
      <c r="C405" s="310"/>
      <c r="E405" s="70"/>
      <c r="F405" s="69"/>
      <c r="K405" s="70"/>
    </row>
    <row r="406" customFormat="false" ht="15" hidden="false" customHeight="false" outlineLevel="0" collapsed="false">
      <c r="B406" s="309"/>
      <c r="C406" s="310"/>
      <c r="E406" s="70"/>
      <c r="F406" s="69"/>
      <c r="K406" s="70"/>
    </row>
    <row r="407" customFormat="false" ht="15" hidden="false" customHeight="false" outlineLevel="0" collapsed="false">
      <c r="B407" s="309"/>
      <c r="C407" s="310"/>
      <c r="E407" s="70"/>
      <c r="F407" s="69"/>
      <c r="K407" s="70"/>
    </row>
    <row r="408" customFormat="false" ht="15" hidden="false" customHeight="false" outlineLevel="0" collapsed="false">
      <c r="B408" s="309"/>
      <c r="C408" s="310"/>
      <c r="E408" s="70"/>
      <c r="F408" s="69"/>
      <c r="K408" s="70"/>
    </row>
    <row r="409" customFormat="false" ht="15" hidden="false" customHeight="false" outlineLevel="0" collapsed="false">
      <c r="B409" s="309"/>
      <c r="C409" s="310"/>
      <c r="E409" s="70"/>
      <c r="F409" s="69"/>
      <c r="K409" s="70"/>
    </row>
    <row r="410" customFormat="false" ht="15" hidden="false" customHeight="false" outlineLevel="0" collapsed="false">
      <c r="B410" s="309"/>
      <c r="C410" s="310"/>
      <c r="E410" s="70"/>
      <c r="F410" s="69"/>
      <c r="K410" s="70"/>
    </row>
    <row r="411" customFormat="false" ht="15" hidden="false" customHeight="false" outlineLevel="0" collapsed="false">
      <c r="B411" s="309"/>
      <c r="C411" s="310"/>
      <c r="E411" s="70"/>
      <c r="F411" s="69"/>
      <c r="K411" s="70"/>
    </row>
    <row r="412" customFormat="false" ht="15" hidden="false" customHeight="false" outlineLevel="0" collapsed="false">
      <c r="B412" s="309"/>
      <c r="C412" s="310"/>
      <c r="E412" s="70"/>
      <c r="F412" s="69"/>
      <c r="K412" s="70"/>
    </row>
    <row r="413" customFormat="false" ht="15" hidden="false" customHeight="false" outlineLevel="0" collapsed="false">
      <c r="B413" s="309"/>
      <c r="C413" s="310"/>
      <c r="E413" s="70"/>
      <c r="F413" s="69"/>
      <c r="K413" s="70"/>
    </row>
    <row r="414" customFormat="false" ht="15" hidden="false" customHeight="false" outlineLevel="0" collapsed="false">
      <c r="B414" s="309"/>
      <c r="C414" s="310"/>
      <c r="E414" s="70"/>
      <c r="F414" s="69"/>
      <c r="K414" s="70"/>
    </row>
    <row r="415" customFormat="false" ht="15" hidden="false" customHeight="false" outlineLevel="0" collapsed="false">
      <c r="B415" s="309"/>
      <c r="C415" s="310"/>
      <c r="E415" s="70"/>
      <c r="F415" s="69"/>
      <c r="K415" s="70"/>
    </row>
    <row r="416" customFormat="false" ht="15" hidden="false" customHeight="false" outlineLevel="0" collapsed="false">
      <c r="B416" s="309"/>
      <c r="C416" s="310"/>
      <c r="E416" s="70"/>
      <c r="F416" s="69"/>
      <c r="K416" s="70"/>
    </row>
    <row r="417" customFormat="false" ht="15" hidden="false" customHeight="false" outlineLevel="0" collapsed="false">
      <c r="B417" s="309"/>
      <c r="C417" s="310"/>
      <c r="E417" s="70"/>
      <c r="F417" s="69"/>
      <c r="K417" s="70"/>
    </row>
    <row r="418" customFormat="false" ht="15" hidden="false" customHeight="false" outlineLevel="0" collapsed="false">
      <c r="B418" s="309"/>
      <c r="C418" s="310"/>
      <c r="E418" s="70"/>
      <c r="F418" s="69"/>
      <c r="K418" s="70"/>
    </row>
    <row r="419" customFormat="false" ht="15" hidden="false" customHeight="false" outlineLevel="0" collapsed="false">
      <c r="B419" s="309"/>
      <c r="C419" s="310"/>
      <c r="E419" s="70"/>
      <c r="F419" s="69"/>
      <c r="K419" s="70"/>
    </row>
    <row r="420" customFormat="false" ht="15" hidden="false" customHeight="false" outlineLevel="0" collapsed="false">
      <c r="B420" s="309"/>
      <c r="C420" s="310"/>
      <c r="E420" s="70"/>
      <c r="F420" s="69"/>
      <c r="K420" s="70"/>
    </row>
    <row r="421" customFormat="false" ht="15" hidden="false" customHeight="false" outlineLevel="0" collapsed="false">
      <c r="B421" s="309"/>
      <c r="C421" s="310"/>
      <c r="E421" s="70"/>
      <c r="F421" s="69"/>
      <c r="K421" s="70"/>
    </row>
    <row r="422" customFormat="false" ht="15" hidden="false" customHeight="false" outlineLevel="0" collapsed="false">
      <c r="B422" s="309"/>
      <c r="C422" s="310"/>
      <c r="E422" s="70"/>
      <c r="F422" s="69"/>
      <c r="K422" s="70"/>
    </row>
    <row r="423" customFormat="false" ht="15" hidden="false" customHeight="false" outlineLevel="0" collapsed="false">
      <c r="B423" s="309"/>
      <c r="C423" s="310"/>
      <c r="E423" s="70"/>
      <c r="F423" s="69"/>
      <c r="K423" s="70"/>
    </row>
    <row r="424" customFormat="false" ht="15" hidden="false" customHeight="false" outlineLevel="0" collapsed="false">
      <c r="B424" s="309"/>
      <c r="C424" s="310"/>
      <c r="E424" s="70"/>
      <c r="F424" s="69"/>
      <c r="K424" s="70"/>
    </row>
    <row r="425" customFormat="false" ht="15" hidden="false" customHeight="false" outlineLevel="0" collapsed="false">
      <c r="B425" s="309"/>
      <c r="C425" s="310"/>
      <c r="E425" s="70"/>
      <c r="F425" s="69"/>
      <c r="K425" s="70"/>
    </row>
    <row r="426" customFormat="false" ht="15" hidden="false" customHeight="false" outlineLevel="0" collapsed="false">
      <c r="B426" s="309"/>
      <c r="C426" s="310"/>
      <c r="E426" s="70"/>
      <c r="F426" s="69"/>
      <c r="K426" s="70"/>
    </row>
    <row r="427" customFormat="false" ht="15" hidden="false" customHeight="false" outlineLevel="0" collapsed="false">
      <c r="B427" s="309"/>
      <c r="C427" s="310"/>
      <c r="E427" s="70"/>
      <c r="F427" s="69"/>
      <c r="K427" s="70"/>
    </row>
    <row r="428" customFormat="false" ht="15" hidden="false" customHeight="false" outlineLevel="0" collapsed="false">
      <c r="B428" s="309"/>
      <c r="C428" s="310"/>
      <c r="E428" s="70"/>
      <c r="F428" s="69"/>
      <c r="K428" s="70"/>
    </row>
    <row r="429" customFormat="false" ht="15" hidden="false" customHeight="false" outlineLevel="0" collapsed="false">
      <c r="B429" s="309"/>
      <c r="C429" s="310"/>
      <c r="E429" s="70"/>
      <c r="F429" s="69"/>
      <c r="K429" s="70"/>
    </row>
    <row r="430" customFormat="false" ht="15" hidden="false" customHeight="false" outlineLevel="0" collapsed="false">
      <c r="B430" s="309"/>
      <c r="C430" s="310"/>
      <c r="E430" s="70"/>
      <c r="F430" s="69"/>
      <c r="K430" s="70"/>
    </row>
    <row r="431" customFormat="false" ht="15" hidden="false" customHeight="false" outlineLevel="0" collapsed="false">
      <c r="B431" s="309"/>
      <c r="C431" s="310"/>
      <c r="E431" s="70"/>
      <c r="F431" s="69"/>
      <c r="K431" s="70"/>
    </row>
    <row r="432" customFormat="false" ht="15" hidden="false" customHeight="false" outlineLevel="0" collapsed="false">
      <c r="B432" s="309"/>
      <c r="C432" s="310"/>
      <c r="E432" s="70"/>
      <c r="F432" s="69"/>
      <c r="K432" s="70"/>
    </row>
    <row r="433" customFormat="false" ht="15" hidden="false" customHeight="false" outlineLevel="0" collapsed="false">
      <c r="B433" s="309"/>
      <c r="C433" s="310"/>
      <c r="E433" s="70"/>
      <c r="F433" s="69"/>
      <c r="K433" s="70"/>
    </row>
    <row r="434" customFormat="false" ht="15" hidden="false" customHeight="false" outlineLevel="0" collapsed="false">
      <c r="B434" s="309"/>
      <c r="C434" s="310"/>
      <c r="E434" s="70"/>
      <c r="F434" s="69"/>
      <c r="K434" s="70"/>
    </row>
    <row r="435" customFormat="false" ht="15" hidden="false" customHeight="false" outlineLevel="0" collapsed="false">
      <c r="B435" s="309"/>
      <c r="C435" s="310"/>
      <c r="E435" s="70"/>
      <c r="F435" s="69"/>
      <c r="K435" s="70"/>
    </row>
    <row r="436" customFormat="false" ht="15" hidden="false" customHeight="false" outlineLevel="0" collapsed="false">
      <c r="B436" s="309"/>
      <c r="C436" s="310"/>
      <c r="E436" s="70"/>
      <c r="F436" s="69"/>
      <c r="K436" s="70"/>
    </row>
    <row r="437" customFormat="false" ht="15" hidden="false" customHeight="false" outlineLevel="0" collapsed="false">
      <c r="B437" s="309"/>
      <c r="C437" s="310"/>
      <c r="E437" s="70"/>
      <c r="F437" s="69"/>
      <c r="K437" s="70"/>
    </row>
    <row r="438" customFormat="false" ht="15" hidden="false" customHeight="false" outlineLevel="0" collapsed="false">
      <c r="B438" s="309"/>
      <c r="C438" s="310"/>
      <c r="E438" s="70"/>
      <c r="F438" s="69"/>
      <c r="K438" s="70"/>
    </row>
    <row r="439" customFormat="false" ht="15" hidden="false" customHeight="false" outlineLevel="0" collapsed="false">
      <c r="B439" s="309"/>
      <c r="C439" s="310"/>
      <c r="E439" s="70"/>
      <c r="F439" s="69"/>
      <c r="K439" s="70"/>
    </row>
    <row r="440" customFormat="false" ht="15" hidden="false" customHeight="false" outlineLevel="0" collapsed="false">
      <c r="B440" s="309"/>
      <c r="C440" s="310"/>
      <c r="E440" s="70"/>
      <c r="F440" s="69"/>
      <c r="K440" s="70"/>
    </row>
    <row r="441" customFormat="false" ht="15" hidden="false" customHeight="false" outlineLevel="0" collapsed="false">
      <c r="B441" s="309"/>
      <c r="C441" s="310"/>
      <c r="E441" s="70"/>
      <c r="F441" s="69"/>
      <c r="K441" s="70"/>
    </row>
    <row r="442" customFormat="false" ht="15" hidden="false" customHeight="false" outlineLevel="0" collapsed="false">
      <c r="B442" s="309"/>
      <c r="C442" s="310"/>
      <c r="E442" s="70"/>
      <c r="F442" s="69"/>
      <c r="K442" s="70"/>
    </row>
    <row r="443" customFormat="false" ht="15" hidden="false" customHeight="false" outlineLevel="0" collapsed="false">
      <c r="B443" s="309"/>
      <c r="C443" s="310"/>
      <c r="E443" s="70"/>
      <c r="F443" s="69"/>
      <c r="K443" s="70"/>
    </row>
    <row r="444" customFormat="false" ht="15" hidden="false" customHeight="false" outlineLevel="0" collapsed="false">
      <c r="B444" s="309"/>
      <c r="C444" s="310"/>
      <c r="E444" s="70"/>
      <c r="F444" s="69"/>
      <c r="K444" s="70"/>
    </row>
    <row r="445" customFormat="false" ht="15" hidden="false" customHeight="false" outlineLevel="0" collapsed="false">
      <c r="B445" s="309"/>
      <c r="C445" s="310"/>
      <c r="E445" s="70"/>
      <c r="F445" s="69"/>
      <c r="K445" s="70"/>
    </row>
    <row r="446" customFormat="false" ht="15" hidden="false" customHeight="false" outlineLevel="0" collapsed="false">
      <c r="B446" s="309"/>
      <c r="C446" s="310"/>
      <c r="E446" s="70"/>
      <c r="F446" s="69"/>
      <c r="K446" s="70"/>
    </row>
    <row r="447" customFormat="false" ht="15" hidden="false" customHeight="false" outlineLevel="0" collapsed="false">
      <c r="B447" s="309"/>
      <c r="C447" s="310"/>
      <c r="E447" s="70"/>
      <c r="F447" s="69"/>
      <c r="K447" s="70"/>
    </row>
    <row r="448" customFormat="false" ht="15" hidden="false" customHeight="false" outlineLevel="0" collapsed="false">
      <c r="B448" s="309"/>
      <c r="C448" s="310"/>
      <c r="E448" s="70"/>
      <c r="F448" s="69"/>
      <c r="K448" s="70"/>
    </row>
    <row r="449" customFormat="false" ht="15" hidden="false" customHeight="false" outlineLevel="0" collapsed="false">
      <c r="B449" s="309"/>
      <c r="C449" s="310"/>
      <c r="E449" s="70"/>
      <c r="F449" s="69"/>
      <c r="K449" s="70"/>
    </row>
    <row r="450" customFormat="false" ht="15" hidden="false" customHeight="false" outlineLevel="0" collapsed="false">
      <c r="B450" s="309"/>
      <c r="C450" s="310"/>
      <c r="E450" s="70"/>
      <c r="F450" s="69"/>
      <c r="K450" s="70"/>
    </row>
    <row r="451" customFormat="false" ht="15" hidden="false" customHeight="false" outlineLevel="0" collapsed="false">
      <c r="B451" s="309"/>
      <c r="C451" s="310"/>
      <c r="E451" s="70"/>
      <c r="F451" s="69"/>
      <c r="K451" s="70"/>
    </row>
    <row r="452" customFormat="false" ht="15" hidden="false" customHeight="false" outlineLevel="0" collapsed="false">
      <c r="B452" s="309"/>
      <c r="C452" s="310"/>
      <c r="E452" s="70"/>
      <c r="F452" s="69"/>
      <c r="K452" s="70"/>
    </row>
    <row r="453" customFormat="false" ht="15" hidden="false" customHeight="false" outlineLevel="0" collapsed="false">
      <c r="B453" s="309"/>
      <c r="C453" s="310"/>
      <c r="E453" s="70"/>
      <c r="F453" s="69"/>
      <c r="K453" s="70"/>
    </row>
    <row r="454" customFormat="false" ht="15" hidden="false" customHeight="false" outlineLevel="0" collapsed="false">
      <c r="B454" s="309"/>
      <c r="C454" s="310"/>
      <c r="E454" s="70"/>
      <c r="F454" s="69"/>
      <c r="K454" s="70"/>
    </row>
    <row r="455" customFormat="false" ht="15" hidden="false" customHeight="false" outlineLevel="0" collapsed="false">
      <c r="B455" s="309"/>
      <c r="C455" s="310"/>
      <c r="E455" s="70"/>
      <c r="F455" s="69"/>
      <c r="K455" s="70"/>
    </row>
    <row r="456" customFormat="false" ht="15" hidden="false" customHeight="false" outlineLevel="0" collapsed="false">
      <c r="B456" s="309"/>
      <c r="C456" s="310"/>
      <c r="E456" s="70"/>
      <c r="F456" s="69"/>
      <c r="K456" s="70"/>
    </row>
    <row r="457" customFormat="false" ht="15" hidden="false" customHeight="false" outlineLevel="0" collapsed="false">
      <c r="B457" s="309"/>
      <c r="C457" s="310"/>
      <c r="E457" s="70"/>
      <c r="F457" s="69"/>
      <c r="K457" s="70"/>
    </row>
    <row r="458" customFormat="false" ht="15" hidden="false" customHeight="false" outlineLevel="0" collapsed="false">
      <c r="B458" s="309"/>
      <c r="C458" s="310"/>
      <c r="E458" s="70"/>
      <c r="F458" s="69"/>
      <c r="K458" s="70"/>
    </row>
    <row r="459" customFormat="false" ht="15" hidden="false" customHeight="false" outlineLevel="0" collapsed="false">
      <c r="B459" s="309"/>
      <c r="C459" s="310"/>
      <c r="E459" s="70"/>
      <c r="F459" s="69"/>
      <c r="K459" s="70"/>
    </row>
    <row r="460" customFormat="false" ht="15" hidden="false" customHeight="false" outlineLevel="0" collapsed="false">
      <c r="B460" s="309"/>
      <c r="C460" s="310"/>
      <c r="E460" s="70"/>
      <c r="F460" s="69"/>
      <c r="K460" s="70"/>
    </row>
    <row r="461" customFormat="false" ht="15" hidden="false" customHeight="false" outlineLevel="0" collapsed="false">
      <c r="B461" s="309"/>
      <c r="C461" s="310"/>
      <c r="E461" s="70"/>
      <c r="F461" s="69"/>
      <c r="K461" s="70"/>
    </row>
    <row r="462" customFormat="false" ht="15" hidden="false" customHeight="false" outlineLevel="0" collapsed="false">
      <c r="B462" s="309"/>
      <c r="C462" s="310"/>
      <c r="E462" s="70"/>
      <c r="F462" s="69"/>
      <c r="K462" s="70"/>
    </row>
    <row r="463" customFormat="false" ht="15" hidden="false" customHeight="false" outlineLevel="0" collapsed="false">
      <c r="B463" s="309"/>
      <c r="C463" s="310"/>
      <c r="E463" s="70"/>
      <c r="F463" s="69"/>
      <c r="K463" s="70"/>
    </row>
    <row r="464" customFormat="false" ht="15" hidden="false" customHeight="false" outlineLevel="0" collapsed="false">
      <c r="B464" s="309"/>
      <c r="C464" s="310"/>
      <c r="E464" s="70"/>
      <c r="F464" s="69"/>
      <c r="K464" s="70"/>
    </row>
    <row r="465" customFormat="false" ht="15" hidden="false" customHeight="false" outlineLevel="0" collapsed="false">
      <c r="B465" s="309"/>
      <c r="C465" s="310"/>
      <c r="E465" s="70"/>
      <c r="F465" s="69"/>
      <c r="K465" s="70"/>
    </row>
    <row r="466" customFormat="false" ht="15" hidden="false" customHeight="false" outlineLevel="0" collapsed="false">
      <c r="B466" s="309"/>
      <c r="C466" s="310"/>
      <c r="E466" s="70"/>
      <c r="F466" s="69"/>
      <c r="K466" s="70"/>
    </row>
    <row r="467" customFormat="false" ht="15" hidden="false" customHeight="false" outlineLevel="0" collapsed="false">
      <c r="B467" s="309"/>
      <c r="C467" s="310"/>
      <c r="E467" s="70"/>
      <c r="F467" s="69"/>
      <c r="K467" s="70"/>
    </row>
    <row r="468" customFormat="false" ht="15" hidden="false" customHeight="false" outlineLevel="0" collapsed="false">
      <c r="B468" s="309"/>
      <c r="C468" s="310"/>
      <c r="E468" s="70"/>
      <c r="F468" s="69"/>
      <c r="K468" s="70"/>
    </row>
    <row r="469" customFormat="false" ht="15" hidden="false" customHeight="false" outlineLevel="0" collapsed="false">
      <c r="B469" s="309"/>
      <c r="C469" s="310"/>
      <c r="E469" s="70"/>
      <c r="F469" s="69"/>
      <c r="K469" s="70"/>
    </row>
    <row r="470" customFormat="false" ht="15" hidden="false" customHeight="false" outlineLevel="0" collapsed="false">
      <c r="B470" s="309"/>
      <c r="C470" s="310"/>
      <c r="E470" s="70"/>
      <c r="F470" s="69"/>
      <c r="K470" s="70"/>
    </row>
    <row r="471" customFormat="false" ht="15" hidden="false" customHeight="false" outlineLevel="0" collapsed="false">
      <c r="B471" s="309"/>
      <c r="C471" s="310"/>
      <c r="E471" s="70"/>
      <c r="F471" s="69"/>
      <c r="K471" s="70"/>
    </row>
    <row r="472" customFormat="false" ht="15" hidden="false" customHeight="false" outlineLevel="0" collapsed="false">
      <c r="B472" s="309"/>
      <c r="C472" s="310"/>
      <c r="E472" s="70"/>
      <c r="F472" s="69"/>
      <c r="K472" s="70"/>
    </row>
    <row r="473" customFormat="false" ht="15" hidden="false" customHeight="false" outlineLevel="0" collapsed="false">
      <c r="B473" s="309"/>
      <c r="C473" s="310"/>
      <c r="E473" s="70"/>
      <c r="F473" s="69"/>
      <c r="K473" s="70"/>
    </row>
    <row r="474" customFormat="false" ht="15" hidden="false" customHeight="false" outlineLevel="0" collapsed="false">
      <c r="B474" s="309"/>
      <c r="C474" s="310"/>
      <c r="E474" s="70"/>
      <c r="F474" s="69"/>
      <c r="K474" s="70"/>
    </row>
    <row r="475" customFormat="false" ht="15" hidden="false" customHeight="false" outlineLevel="0" collapsed="false">
      <c r="B475" s="309"/>
      <c r="C475" s="310"/>
      <c r="E475" s="70"/>
      <c r="F475" s="69"/>
      <c r="K475" s="70"/>
    </row>
    <row r="476" customFormat="false" ht="15" hidden="false" customHeight="false" outlineLevel="0" collapsed="false">
      <c r="B476" s="309"/>
      <c r="C476" s="310"/>
      <c r="E476" s="70"/>
      <c r="F476" s="69"/>
      <c r="K476" s="70"/>
    </row>
    <row r="477" customFormat="false" ht="15" hidden="false" customHeight="false" outlineLevel="0" collapsed="false">
      <c r="B477" s="309"/>
      <c r="C477" s="310"/>
      <c r="E477" s="70"/>
      <c r="F477" s="69"/>
      <c r="K477" s="70"/>
    </row>
    <row r="478" customFormat="false" ht="15" hidden="false" customHeight="false" outlineLevel="0" collapsed="false">
      <c r="B478" s="309"/>
      <c r="C478" s="310"/>
      <c r="E478" s="70"/>
      <c r="F478" s="69"/>
      <c r="K478" s="70"/>
    </row>
    <row r="479" customFormat="false" ht="15" hidden="false" customHeight="false" outlineLevel="0" collapsed="false">
      <c r="B479" s="309"/>
      <c r="C479" s="310"/>
      <c r="E479" s="70"/>
      <c r="F479" s="69"/>
      <c r="K479" s="70"/>
    </row>
    <row r="480" customFormat="false" ht="15" hidden="false" customHeight="false" outlineLevel="0" collapsed="false">
      <c r="B480" s="309"/>
      <c r="C480" s="310"/>
      <c r="E480" s="70"/>
      <c r="F480" s="69"/>
      <c r="K480" s="70"/>
    </row>
    <row r="481" customFormat="false" ht="15" hidden="false" customHeight="false" outlineLevel="0" collapsed="false">
      <c r="B481" s="309"/>
      <c r="C481" s="310"/>
      <c r="E481" s="70"/>
      <c r="F481" s="69"/>
      <c r="K481" s="70"/>
    </row>
    <row r="482" customFormat="false" ht="15" hidden="false" customHeight="false" outlineLevel="0" collapsed="false">
      <c r="B482" s="309"/>
      <c r="C482" s="310"/>
      <c r="E482" s="70"/>
      <c r="F482" s="69"/>
      <c r="K482" s="70"/>
    </row>
    <row r="483" customFormat="false" ht="15" hidden="false" customHeight="false" outlineLevel="0" collapsed="false">
      <c r="B483" s="309"/>
      <c r="C483" s="310"/>
      <c r="E483" s="70"/>
      <c r="F483" s="69"/>
      <c r="K483" s="70"/>
    </row>
    <row r="484" customFormat="false" ht="15" hidden="false" customHeight="false" outlineLevel="0" collapsed="false">
      <c r="B484" s="309"/>
      <c r="C484" s="310"/>
      <c r="E484" s="70"/>
      <c r="F484" s="69"/>
      <c r="K484" s="70"/>
    </row>
    <row r="485" customFormat="false" ht="15" hidden="false" customHeight="false" outlineLevel="0" collapsed="false">
      <c r="B485" s="309"/>
      <c r="C485" s="310"/>
      <c r="E485" s="70"/>
      <c r="F485" s="69"/>
      <c r="K485" s="70"/>
    </row>
    <row r="486" customFormat="false" ht="15" hidden="false" customHeight="false" outlineLevel="0" collapsed="false">
      <c r="B486" s="309"/>
      <c r="C486" s="310"/>
      <c r="E486" s="70"/>
      <c r="F486" s="69"/>
      <c r="K486" s="70"/>
    </row>
    <row r="487" customFormat="false" ht="15" hidden="false" customHeight="false" outlineLevel="0" collapsed="false">
      <c r="B487" s="309"/>
      <c r="C487" s="310"/>
      <c r="E487" s="70"/>
      <c r="F487" s="69"/>
      <c r="K487" s="70"/>
    </row>
    <row r="488" customFormat="false" ht="15" hidden="false" customHeight="false" outlineLevel="0" collapsed="false">
      <c r="B488" s="309"/>
      <c r="C488" s="310"/>
      <c r="E488" s="70"/>
      <c r="F488" s="69"/>
      <c r="K488" s="70"/>
    </row>
    <row r="489" customFormat="false" ht="15" hidden="false" customHeight="false" outlineLevel="0" collapsed="false">
      <c r="B489" s="309"/>
      <c r="C489" s="310"/>
      <c r="E489" s="70"/>
      <c r="F489" s="69"/>
      <c r="K489" s="70"/>
    </row>
    <row r="490" customFormat="false" ht="15" hidden="false" customHeight="false" outlineLevel="0" collapsed="false">
      <c r="B490" s="309"/>
      <c r="C490" s="310"/>
      <c r="E490" s="70"/>
      <c r="F490" s="69"/>
      <c r="K490" s="70"/>
    </row>
    <row r="491" customFormat="false" ht="15" hidden="false" customHeight="false" outlineLevel="0" collapsed="false">
      <c r="B491" s="309"/>
      <c r="C491" s="310"/>
      <c r="E491" s="70"/>
      <c r="F491" s="69"/>
      <c r="K491" s="70"/>
    </row>
    <row r="492" customFormat="false" ht="15" hidden="false" customHeight="false" outlineLevel="0" collapsed="false">
      <c r="B492" s="309"/>
      <c r="C492" s="310"/>
      <c r="E492" s="70"/>
      <c r="F492" s="69"/>
      <c r="K492" s="70"/>
    </row>
    <row r="493" customFormat="false" ht="15" hidden="false" customHeight="false" outlineLevel="0" collapsed="false">
      <c r="B493" s="309"/>
      <c r="C493" s="310"/>
      <c r="E493" s="70"/>
      <c r="F493" s="69"/>
      <c r="K493" s="70"/>
    </row>
    <row r="494" customFormat="false" ht="15" hidden="false" customHeight="false" outlineLevel="0" collapsed="false">
      <c r="B494" s="309"/>
      <c r="C494" s="310"/>
      <c r="E494" s="70"/>
      <c r="F494" s="69"/>
      <c r="K494" s="70"/>
    </row>
    <row r="495" customFormat="false" ht="15" hidden="false" customHeight="false" outlineLevel="0" collapsed="false">
      <c r="B495" s="309"/>
      <c r="C495" s="310"/>
      <c r="E495" s="70"/>
      <c r="F495" s="69"/>
      <c r="K495" s="70"/>
    </row>
    <row r="496" customFormat="false" ht="15" hidden="false" customHeight="false" outlineLevel="0" collapsed="false">
      <c r="B496" s="309"/>
      <c r="C496" s="310"/>
      <c r="E496" s="70"/>
      <c r="F496" s="69"/>
      <c r="K496" s="70"/>
    </row>
    <row r="497" customFormat="false" ht="15" hidden="false" customHeight="false" outlineLevel="0" collapsed="false">
      <c r="B497" s="309"/>
      <c r="C497" s="310"/>
      <c r="E497" s="70"/>
      <c r="F497" s="69"/>
      <c r="K497" s="70"/>
    </row>
    <row r="498" customFormat="false" ht="15" hidden="false" customHeight="false" outlineLevel="0" collapsed="false">
      <c r="B498" s="309"/>
      <c r="C498" s="310"/>
      <c r="E498" s="70"/>
      <c r="F498" s="69"/>
      <c r="K498" s="70"/>
    </row>
    <row r="499" customFormat="false" ht="15" hidden="false" customHeight="false" outlineLevel="0" collapsed="false">
      <c r="B499" s="309"/>
      <c r="C499" s="310"/>
      <c r="E499" s="70"/>
      <c r="F499" s="69"/>
      <c r="K499" s="70"/>
    </row>
    <row r="500" customFormat="false" ht="15" hidden="false" customHeight="false" outlineLevel="0" collapsed="false">
      <c r="B500" s="309"/>
      <c r="C500" s="310"/>
      <c r="E500" s="70"/>
      <c r="F500" s="69"/>
      <c r="K500" s="70"/>
    </row>
    <row r="501" customFormat="false" ht="15" hidden="false" customHeight="false" outlineLevel="0" collapsed="false">
      <c r="B501" s="309"/>
      <c r="C501" s="310"/>
      <c r="E501" s="70"/>
      <c r="F501" s="69"/>
      <c r="K501" s="70"/>
    </row>
    <row r="502" customFormat="false" ht="15" hidden="false" customHeight="false" outlineLevel="0" collapsed="false">
      <c r="B502" s="309"/>
      <c r="C502" s="310"/>
      <c r="E502" s="70"/>
      <c r="F502" s="69"/>
      <c r="K502" s="70"/>
    </row>
    <row r="503" customFormat="false" ht="15" hidden="false" customHeight="false" outlineLevel="0" collapsed="false">
      <c r="B503" s="309"/>
      <c r="C503" s="310"/>
      <c r="E503" s="70"/>
      <c r="F503" s="69"/>
      <c r="K503" s="70"/>
    </row>
    <row r="504" customFormat="false" ht="15" hidden="false" customHeight="false" outlineLevel="0" collapsed="false">
      <c r="B504" s="309"/>
      <c r="C504" s="310"/>
      <c r="E504" s="70"/>
      <c r="F504" s="69"/>
      <c r="K504" s="70"/>
    </row>
    <row r="505" customFormat="false" ht="15" hidden="false" customHeight="false" outlineLevel="0" collapsed="false">
      <c r="B505" s="309"/>
      <c r="C505" s="310"/>
      <c r="E505" s="70"/>
      <c r="F505" s="69"/>
      <c r="K505" s="70"/>
    </row>
    <row r="506" customFormat="false" ht="15" hidden="false" customHeight="false" outlineLevel="0" collapsed="false">
      <c r="B506" s="309"/>
      <c r="C506" s="310"/>
      <c r="E506" s="70"/>
      <c r="F506" s="69"/>
      <c r="K506" s="70"/>
    </row>
    <row r="507" customFormat="false" ht="15" hidden="false" customHeight="false" outlineLevel="0" collapsed="false">
      <c r="B507" s="309"/>
      <c r="C507" s="310"/>
      <c r="E507" s="70"/>
      <c r="F507" s="69"/>
      <c r="K507" s="70"/>
    </row>
    <row r="508" customFormat="false" ht="15" hidden="false" customHeight="false" outlineLevel="0" collapsed="false">
      <c r="B508" s="309"/>
      <c r="C508" s="310"/>
      <c r="E508" s="70"/>
      <c r="F508" s="69"/>
      <c r="K508" s="70"/>
    </row>
    <row r="509" customFormat="false" ht="15" hidden="false" customHeight="false" outlineLevel="0" collapsed="false">
      <c r="B509" s="309"/>
      <c r="C509" s="310"/>
      <c r="E509" s="70"/>
      <c r="F509" s="69"/>
      <c r="K509" s="70"/>
    </row>
    <row r="510" customFormat="false" ht="15" hidden="false" customHeight="false" outlineLevel="0" collapsed="false">
      <c r="B510" s="309"/>
      <c r="C510" s="310"/>
      <c r="E510" s="70"/>
      <c r="F510" s="69"/>
      <c r="K510" s="70"/>
    </row>
    <row r="511" customFormat="false" ht="15" hidden="false" customHeight="false" outlineLevel="0" collapsed="false">
      <c r="B511" s="309"/>
      <c r="C511" s="310"/>
      <c r="E511" s="70"/>
      <c r="F511" s="69"/>
      <c r="K511" s="70"/>
    </row>
    <row r="512" customFormat="false" ht="15" hidden="false" customHeight="false" outlineLevel="0" collapsed="false">
      <c r="B512" s="309"/>
      <c r="C512" s="310"/>
      <c r="E512" s="70"/>
      <c r="F512" s="69"/>
      <c r="K512" s="70"/>
    </row>
    <row r="513" customFormat="false" ht="15" hidden="false" customHeight="false" outlineLevel="0" collapsed="false">
      <c r="B513" s="309"/>
      <c r="C513" s="310"/>
      <c r="E513" s="70"/>
      <c r="F513" s="69"/>
      <c r="K513" s="70"/>
    </row>
    <row r="514" customFormat="false" ht="15" hidden="false" customHeight="false" outlineLevel="0" collapsed="false">
      <c r="B514" s="309"/>
      <c r="C514" s="310"/>
      <c r="E514" s="70"/>
      <c r="F514" s="69"/>
      <c r="K514" s="70"/>
    </row>
    <row r="515" customFormat="false" ht="15" hidden="false" customHeight="false" outlineLevel="0" collapsed="false">
      <c r="B515" s="309"/>
      <c r="C515" s="310"/>
      <c r="E515" s="70"/>
      <c r="F515" s="69"/>
      <c r="K515" s="70"/>
    </row>
    <row r="516" customFormat="false" ht="15" hidden="false" customHeight="false" outlineLevel="0" collapsed="false">
      <c r="B516" s="309"/>
      <c r="C516" s="310"/>
      <c r="E516" s="70"/>
      <c r="F516" s="69"/>
      <c r="K516" s="70"/>
    </row>
    <row r="517" customFormat="false" ht="15" hidden="false" customHeight="false" outlineLevel="0" collapsed="false">
      <c r="B517" s="309"/>
      <c r="C517" s="310"/>
      <c r="E517" s="70"/>
      <c r="F517" s="69"/>
      <c r="K517" s="70"/>
    </row>
    <row r="518" customFormat="false" ht="15" hidden="false" customHeight="false" outlineLevel="0" collapsed="false">
      <c r="B518" s="309"/>
      <c r="C518" s="310"/>
      <c r="E518" s="70"/>
      <c r="F518" s="69"/>
      <c r="K518" s="70"/>
    </row>
    <row r="519" customFormat="false" ht="15" hidden="false" customHeight="false" outlineLevel="0" collapsed="false">
      <c r="B519" s="309"/>
      <c r="C519" s="310"/>
      <c r="E519" s="70"/>
      <c r="F519" s="69"/>
      <c r="K519" s="70"/>
    </row>
    <row r="520" customFormat="false" ht="15" hidden="false" customHeight="false" outlineLevel="0" collapsed="false">
      <c r="B520" s="309"/>
      <c r="C520" s="310"/>
      <c r="E520" s="70"/>
      <c r="F520" s="69"/>
      <c r="K520" s="70"/>
    </row>
    <row r="521" customFormat="false" ht="15" hidden="false" customHeight="false" outlineLevel="0" collapsed="false">
      <c r="B521" s="309"/>
      <c r="C521" s="310"/>
      <c r="E521" s="70"/>
      <c r="F521" s="69"/>
      <c r="K521" s="70"/>
    </row>
    <row r="522" customFormat="false" ht="15" hidden="false" customHeight="false" outlineLevel="0" collapsed="false">
      <c r="B522" s="309"/>
      <c r="C522" s="310"/>
      <c r="E522" s="70"/>
      <c r="F522" s="69"/>
      <c r="K522" s="70"/>
    </row>
    <row r="523" customFormat="false" ht="15" hidden="false" customHeight="false" outlineLevel="0" collapsed="false">
      <c r="B523" s="309"/>
      <c r="C523" s="310"/>
      <c r="E523" s="70"/>
      <c r="F523" s="69"/>
      <c r="K523" s="70"/>
    </row>
    <row r="524" customFormat="false" ht="15" hidden="false" customHeight="false" outlineLevel="0" collapsed="false">
      <c r="B524" s="309"/>
      <c r="C524" s="310"/>
      <c r="E524" s="70"/>
      <c r="F524" s="69"/>
      <c r="K524" s="70"/>
    </row>
    <row r="525" customFormat="false" ht="15" hidden="false" customHeight="false" outlineLevel="0" collapsed="false">
      <c r="B525" s="309"/>
      <c r="C525" s="310"/>
      <c r="E525" s="70"/>
      <c r="F525" s="69"/>
      <c r="K525" s="70"/>
    </row>
    <row r="526" customFormat="false" ht="15" hidden="false" customHeight="false" outlineLevel="0" collapsed="false">
      <c r="B526" s="309"/>
      <c r="C526" s="310"/>
      <c r="E526" s="70"/>
      <c r="F526" s="69"/>
      <c r="K526" s="70"/>
    </row>
    <row r="527" customFormat="false" ht="15" hidden="false" customHeight="false" outlineLevel="0" collapsed="false">
      <c r="B527" s="309"/>
      <c r="C527" s="310"/>
      <c r="E527" s="70"/>
      <c r="F527" s="69"/>
      <c r="K527" s="70"/>
    </row>
    <row r="528" customFormat="false" ht="15" hidden="false" customHeight="false" outlineLevel="0" collapsed="false">
      <c r="B528" s="309"/>
      <c r="C528" s="310"/>
      <c r="E528" s="70"/>
      <c r="F528" s="69"/>
      <c r="K528" s="70"/>
    </row>
    <row r="529" customFormat="false" ht="15" hidden="false" customHeight="false" outlineLevel="0" collapsed="false">
      <c r="B529" s="309"/>
      <c r="C529" s="310"/>
      <c r="E529" s="70"/>
      <c r="F529" s="69"/>
      <c r="K529" s="70"/>
    </row>
    <row r="530" customFormat="false" ht="15" hidden="false" customHeight="false" outlineLevel="0" collapsed="false">
      <c r="B530" s="309"/>
      <c r="C530" s="310"/>
      <c r="E530" s="70"/>
      <c r="F530" s="69"/>
      <c r="K530" s="70"/>
    </row>
    <row r="531" customFormat="false" ht="15" hidden="false" customHeight="false" outlineLevel="0" collapsed="false">
      <c r="B531" s="309"/>
      <c r="C531" s="310"/>
      <c r="E531" s="70"/>
      <c r="F531" s="69"/>
      <c r="K531" s="70"/>
    </row>
    <row r="532" customFormat="false" ht="15" hidden="false" customHeight="false" outlineLevel="0" collapsed="false">
      <c r="B532" s="309"/>
      <c r="C532" s="310"/>
      <c r="E532" s="70"/>
      <c r="F532" s="69"/>
      <c r="K532" s="70"/>
    </row>
    <row r="533" customFormat="false" ht="15" hidden="false" customHeight="false" outlineLevel="0" collapsed="false">
      <c r="B533" s="309"/>
      <c r="C533" s="310"/>
      <c r="E533" s="70"/>
      <c r="F533" s="69"/>
      <c r="K533" s="70"/>
    </row>
    <row r="534" customFormat="false" ht="15" hidden="false" customHeight="false" outlineLevel="0" collapsed="false">
      <c r="B534" s="309"/>
      <c r="C534" s="310"/>
      <c r="E534" s="70"/>
      <c r="F534" s="69"/>
      <c r="K534" s="70"/>
    </row>
    <row r="535" customFormat="false" ht="15" hidden="false" customHeight="false" outlineLevel="0" collapsed="false">
      <c r="B535" s="309"/>
      <c r="C535" s="310"/>
      <c r="E535" s="70"/>
      <c r="F535" s="69"/>
      <c r="K535" s="70"/>
    </row>
    <row r="536" customFormat="false" ht="15" hidden="false" customHeight="false" outlineLevel="0" collapsed="false">
      <c r="B536" s="309"/>
      <c r="C536" s="310"/>
      <c r="E536" s="70"/>
      <c r="F536" s="69"/>
      <c r="K536" s="70"/>
    </row>
    <row r="537" customFormat="false" ht="15" hidden="false" customHeight="false" outlineLevel="0" collapsed="false">
      <c r="B537" s="309"/>
      <c r="C537" s="310"/>
      <c r="E537" s="70"/>
      <c r="F537" s="69"/>
      <c r="K537" s="70"/>
    </row>
    <row r="538" customFormat="false" ht="15" hidden="false" customHeight="false" outlineLevel="0" collapsed="false">
      <c r="B538" s="309"/>
      <c r="C538" s="310"/>
      <c r="E538" s="70"/>
      <c r="F538" s="69"/>
      <c r="K538" s="70"/>
    </row>
    <row r="539" customFormat="false" ht="15" hidden="false" customHeight="false" outlineLevel="0" collapsed="false">
      <c r="B539" s="309"/>
      <c r="C539" s="310"/>
      <c r="E539" s="70"/>
      <c r="F539" s="69"/>
      <c r="K539" s="70"/>
    </row>
    <row r="540" customFormat="false" ht="15" hidden="false" customHeight="false" outlineLevel="0" collapsed="false">
      <c r="B540" s="309"/>
      <c r="C540" s="310"/>
      <c r="E540" s="70"/>
      <c r="F540" s="69"/>
      <c r="K540" s="70"/>
    </row>
    <row r="541" customFormat="false" ht="15" hidden="false" customHeight="false" outlineLevel="0" collapsed="false">
      <c r="B541" s="309"/>
      <c r="C541" s="310"/>
      <c r="E541" s="70"/>
      <c r="F541" s="69"/>
      <c r="K541" s="70"/>
    </row>
    <row r="542" customFormat="false" ht="15" hidden="false" customHeight="false" outlineLevel="0" collapsed="false">
      <c r="B542" s="309"/>
      <c r="C542" s="310"/>
      <c r="E542" s="70"/>
      <c r="F542" s="69"/>
      <c r="K542" s="70"/>
    </row>
    <row r="543" customFormat="false" ht="15" hidden="false" customHeight="false" outlineLevel="0" collapsed="false">
      <c r="B543" s="309"/>
      <c r="C543" s="310"/>
      <c r="E543" s="70"/>
      <c r="F543" s="69"/>
      <c r="K543" s="70"/>
    </row>
    <row r="544" customFormat="false" ht="15" hidden="false" customHeight="false" outlineLevel="0" collapsed="false">
      <c r="B544" s="309"/>
      <c r="C544" s="310"/>
      <c r="E544" s="70"/>
      <c r="F544" s="69"/>
      <c r="K544" s="70"/>
    </row>
    <row r="545" customFormat="false" ht="15" hidden="false" customHeight="false" outlineLevel="0" collapsed="false">
      <c r="B545" s="309"/>
      <c r="C545" s="310"/>
      <c r="E545" s="70"/>
      <c r="F545" s="69"/>
      <c r="K545" s="70"/>
    </row>
    <row r="546" customFormat="false" ht="15" hidden="false" customHeight="false" outlineLevel="0" collapsed="false">
      <c r="B546" s="309"/>
      <c r="C546" s="310"/>
      <c r="E546" s="70"/>
      <c r="F546" s="69"/>
      <c r="K546" s="70"/>
    </row>
    <row r="547" customFormat="false" ht="15" hidden="false" customHeight="false" outlineLevel="0" collapsed="false">
      <c r="B547" s="309"/>
      <c r="C547" s="310"/>
      <c r="E547" s="70"/>
      <c r="F547" s="69"/>
      <c r="K547" s="70"/>
    </row>
    <row r="548" customFormat="false" ht="15" hidden="false" customHeight="false" outlineLevel="0" collapsed="false">
      <c r="B548" s="309"/>
      <c r="C548" s="310"/>
      <c r="E548" s="70"/>
      <c r="F548" s="69"/>
      <c r="K548" s="70"/>
    </row>
    <row r="549" customFormat="false" ht="15" hidden="false" customHeight="false" outlineLevel="0" collapsed="false">
      <c r="B549" s="309"/>
      <c r="C549" s="310"/>
      <c r="E549" s="70"/>
      <c r="F549" s="69"/>
      <c r="K549" s="70"/>
    </row>
    <row r="550" customFormat="false" ht="15" hidden="false" customHeight="false" outlineLevel="0" collapsed="false">
      <c r="B550" s="309"/>
      <c r="C550" s="310"/>
      <c r="E550" s="70"/>
      <c r="F550" s="69"/>
      <c r="K550" s="70"/>
    </row>
    <row r="551" customFormat="false" ht="15" hidden="false" customHeight="false" outlineLevel="0" collapsed="false">
      <c r="B551" s="309"/>
      <c r="C551" s="310"/>
      <c r="E551" s="70"/>
      <c r="F551" s="69"/>
      <c r="K551" s="70"/>
    </row>
    <row r="552" customFormat="false" ht="15" hidden="false" customHeight="false" outlineLevel="0" collapsed="false">
      <c r="B552" s="309"/>
      <c r="C552" s="310"/>
      <c r="E552" s="70"/>
      <c r="F552" s="69"/>
      <c r="K552" s="70"/>
    </row>
    <row r="553" customFormat="false" ht="15" hidden="false" customHeight="false" outlineLevel="0" collapsed="false">
      <c r="B553" s="309"/>
      <c r="C553" s="310"/>
      <c r="E553" s="70"/>
      <c r="F553" s="69"/>
      <c r="K553" s="70"/>
    </row>
    <row r="554" customFormat="false" ht="15" hidden="false" customHeight="false" outlineLevel="0" collapsed="false">
      <c r="B554" s="309"/>
      <c r="C554" s="310"/>
      <c r="E554" s="70"/>
      <c r="F554" s="69"/>
      <c r="K554" s="70"/>
    </row>
    <row r="555" customFormat="false" ht="15" hidden="false" customHeight="false" outlineLevel="0" collapsed="false">
      <c r="B555" s="309"/>
      <c r="C555" s="310"/>
      <c r="E555" s="70"/>
      <c r="F555" s="69"/>
      <c r="K555" s="70"/>
    </row>
    <row r="556" customFormat="false" ht="15" hidden="false" customHeight="false" outlineLevel="0" collapsed="false">
      <c r="B556" s="309"/>
      <c r="C556" s="310"/>
      <c r="E556" s="70"/>
      <c r="F556" s="69"/>
      <c r="K556" s="70"/>
    </row>
    <row r="557" customFormat="false" ht="15" hidden="false" customHeight="false" outlineLevel="0" collapsed="false">
      <c r="B557" s="309"/>
      <c r="C557" s="310"/>
      <c r="E557" s="70"/>
      <c r="F557" s="69"/>
      <c r="K557" s="70"/>
    </row>
    <row r="558" customFormat="false" ht="15" hidden="false" customHeight="false" outlineLevel="0" collapsed="false">
      <c r="B558" s="309"/>
      <c r="C558" s="310"/>
      <c r="E558" s="70"/>
      <c r="F558" s="69"/>
      <c r="K558" s="70"/>
    </row>
    <row r="559" customFormat="false" ht="15" hidden="false" customHeight="false" outlineLevel="0" collapsed="false">
      <c r="B559" s="309"/>
      <c r="C559" s="310"/>
      <c r="E559" s="70"/>
      <c r="F559" s="69"/>
      <c r="K559" s="70"/>
    </row>
    <row r="560" customFormat="false" ht="15" hidden="false" customHeight="false" outlineLevel="0" collapsed="false">
      <c r="B560" s="309"/>
      <c r="C560" s="310"/>
      <c r="E560" s="70"/>
      <c r="F560" s="69"/>
      <c r="K560" s="70"/>
    </row>
    <row r="561" customFormat="false" ht="15" hidden="false" customHeight="false" outlineLevel="0" collapsed="false">
      <c r="B561" s="309"/>
      <c r="C561" s="310"/>
      <c r="E561" s="70"/>
      <c r="F561" s="69"/>
      <c r="K561" s="70"/>
    </row>
    <row r="562" customFormat="false" ht="15" hidden="false" customHeight="false" outlineLevel="0" collapsed="false">
      <c r="B562" s="309"/>
      <c r="C562" s="310"/>
      <c r="E562" s="70"/>
      <c r="F562" s="69"/>
      <c r="K562" s="70"/>
    </row>
    <row r="563" customFormat="false" ht="15" hidden="false" customHeight="false" outlineLevel="0" collapsed="false">
      <c r="B563" s="309"/>
      <c r="C563" s="310"/>
      <c r="E563" s="70"/>
      <c r="F563" s="69"/>
      <c r="K563" s="70"/>
    </row>
    <row r="564" customFormat="false" ht="15" hidden="false" customHeight="false" outlineLevel="0" collapsed="false">
      <c r="B564" s="309"/>
      <c r="C564" s="310"/>
      <c r="E564" s="70"/>
      <c r="F564" s="69"/>
      <c r="K564" s="70"/>
    </row>
    <row r="565" customFormat="false" ht="15" hidden="false" customHeight="false" outlineLevel="0" collapsed="false">
      <c r="B565" s="309"/>
      <c r="C565" s="310"/>
      <c r="E565" s="70"/>
      <c r="F565" s="69"/>
      <c r="K565" s="70"/>
    </row>
    <row r="566" customFormat="false" ht="15" hidden="false" customHeight="false" outlineLevel="0" collapsed="false">
      <c r="B566" s="309"/>
      <c r="C566" s="310"/>
      <c r="E566" s="70"/>
      <c r="F566" s="69"/>
      <c r="K566" s="70"/>
    </row>
    <row r="567" customFormat="false" ht="15" hidden="false" customHeight="false" outlineLevel="0" collapsed="false">
      <c r="B567" s="309"/>
      <c r="C567" s="310"/>
      <c r="E567" s="70"/>
      <c r="F567" s="69"/>
      <c r="K567" s="70"/>
    </row>
    <row r="568" customFormat="false" ht="15" hidden="false" customHeight="false" outlineLevel="0" collapsed="false">
      <c r="B568" s="309"/>
      <c r="C568" s="310"/>
      <c r="E568" s="70"/>
      <c r="F568" s="69"/>
      <c r="K568" s="70"/>
    </row>
    <row r="569" customFormat="false" ht="15" hidden="false" customHeight="false" outlineLevel="0" collapsed="false">
      <c r="B569" s="309"/>
      <c r="C569" s="310"/>
      <c r="E569" s="70"/>
      <c r="F569" s="69"/>
      <c r="K569" s="70"/>
    </row>
    <row r="570" customFormat="false" ht="15" hidden="false" customHeight="false" outlineLevel="0" collapsed="false">
      <c r="B570" s="309"/>
      <c r="C570" s="310"/>
      <c r="E570" s="70"/>
      <c r="F570" s="69"/>
      <c r="K570" s="70"/>
    </row>
    <row r="571" customFormat="false" ht="15" hidden="false" customHeight="false" outlineLevel="0" collapsed="false">
      <c r="B571" s="309"/>
      <c r="C571" s="310"/>
      <c r="E571" s="70"/>
      <c r="F571" s="69"/>
      <c r="K571" s="70"/>
    </row>
    <row r="572" customFormat="false" ht="15" hidden="false" customHeight="false" outlineLevel="0" collapsed="false">
      <c r="B572" s="309"/>
      <c r="C572" s="310"/>
      <c r="E572" s="70"/>
      <c r="F572" s="69"/>
      <c r="K572" s="70"/>
    </row>
    <row r="573" customFormat="false" ht="15" hidden="false" customHeight="false" outlineLevel="0" collapsed="false">
      <c r="B573" s="309"/>
      <c r="C573" s="310"/>
      <c r="E573" s="70"/>
      <c r="F573" s="69"/>
      <c r="K573" s="70"/>
    </row>
    <row r="574" customFormat="false" ht="15" hidden="false" customHeight="false" outlineLevel="0" collapsed="false">
      <c r="B574" s="309"/>
      <c r="C574" s="310"/>
      <c r="E574" s="70"/>
      <c r="F574" s="69"/>
      <c r="K574" s="70"/>
    </row>
    <row r="575" customFormat="false" ht="15" hidden="false" customHeight="false" outlineLevel="0" collapsed="false">
      <c r="B575" s="309"/>
      <c r="C575" s="310"/>
      <c r="E575" s="70"/>
      <c r="F575" s="69"/>
      <c r="K575" s="70"/>
    </row>
    <row r="576" customFormat="false" ht="15" hidden="false" customHeight="false" outlineLevel="0" collapsed="false">
      <c r="B576" s="309"/>
      <c r="C576" s="310"/>
      <c r="E576" s="70"/>
      <c r="F576" s="69"/>
      <c r="K576" s="70"/>
    </row>
    <row r="577" customFormat="false" ht="15" hidden="false" customHeight="false" outlineLevel="0" collapsed="false">
      <c r="B577" s="309"/>
      <c r="C577" s="310"/>
      <c r="E577" s="70"/>
      <c r="F577" s="69"/>
      <c r="K577" s="70"/>
    </row>
    <row r="578" customFormat="false" ht="15" hidden="false" customHeight="false" outlineLevel="0" collapsed="false">
      <c r="B578" s="309"/>
      <c r="C578" s="310"/>
      <c r="E578" s="70"/>
      <c r="F578" s="69"/>
      <c r="K578" s="70"/>
    </row>
    <row r="579" customFormat="false" ht="15" hidden="false" customHeight="false" outlineLevel="0" collapsed="false">
      <c r="B579" s="309"/>
      <c r="C579" s="310"/>
      <c r="E579" s="70"/>
      <c r="F579" s="69"/>
      <c r="K579" s="70"/>
    </row>
    <row r="580" customFormat="false" ht="15" hidden="false" customHeight="false" outlineLevel="0" collapsed="false">
      <c r="B580" s="309"/>
      <c r="C580" s="310"/>
      <c r="E580" s="70"/>
      <c r="F580" s="69"/>
      <c r="K580" s="70"/>
    </row>
    <row r="581" customFormat="false" ht="15" hidden="false" customHeight="false" outlineLevel="0" collapsed="false">
      <c r="B581" s="309"/>
      <c r="C581" s="310"/>
      <c r="E581" s="70"/>
      <c r="F581" s="69"/>
      <c r="K581" s="70"/>
    </row>
    <row r="582" customFormat="false" ht="15" hidden="false" customHeight="false" outlineLevel="0" collapsed="false">
      <c r="B582" s="309"/>
      <c r="C582" s="310"/>
      <c r="E582" s="70"/>
      <c r="F582" s="69"/>
      <c r="K582" s="70"/>
    </row>
    <row r="583" customFormat="false" ht="15" hidden="false" customHeight="false" outlineLevel="0" collapsed="false">
      <c r="B583" s="309"/>
      <c r="C583" s="310"/>
      <c r="E583" s="70"/>
      <c r="F583" s="69"/>
      <c r="K583" s="70"/>
    </row>
    <row r="584" customFormat="false" ht="15" hidden="false" customHeight="false" outlineLevel="0" collapsed="false">
      <c r="B584" s="309"/>
      <c r="C584" s="310"/>
      <c r="E584" s="70"/>
      <c r="F584" s="69"/>
      <c r="K584" s="70"/>
    </row>
    <row r="585" customFormat="false" ht="15" hidden="false" customHeight="false" outlineLevel="0" collapsed="false">
      <c r="B585" s="309"/>
      <c r="C585" s="310"/>
      <c r="E585" s="70"/>
      <c r="F585" s="69"/>
      <c r="K585" s="70"/>
    </row>
    <row r="586" customFormat="false" ht="15" hidden="false" customHeight="false" outlineLevel="0" collapsed="false">
      <c r="B586" s="309"/>
      <c r="C586" s="310"/>
      <c r="E586" s="70"/>
      <c r="F586" s="69"/>
      <c r="K586" s="70"/>
    </row>
    <row r="587" customFormat="false" ht="15" hidden="false" customHeight="false" outlineLevel="0" collapsed="false">
      <c r="B587" s="309"/>
      <c r="C587" s="310"/>
      <c r="E587" s="70"/>
      <c r="F587" s="69"/>
      <c r="K587" s="70"/>
    </row>
    <row r="588" customFormat="false" ht="15" hidden="false" customHeight="false" outlineLevel="0" collapsed="false">
      <c r="B588" s="309"/>
      <c r="C588" s="310"/>
      <c r="E588" s="70"/>
      <c r="F588" s="69"/>
      <c r="K588" s="70"/>
    </row>
    <row r="589" customFormat="false" ht="15" hidden="false" customHeight="false" outlineLevel="0" collapsed="false">
      <c r="B589" s="309"/>
      <c r="C589" s="310"/>
      <c r="E589" s="70"/>
      <c r="F589" s="69"/>
      <c r="K589" s="70"/>
    </row>
    <row r="590" customFormat="false" ht="15" hidden="false" customHeight="false" outlineLevel="0" collapsed="false">
      <c r="B590" s="309"/>
      <c r="C590" s="310"/>
      <c r="E590" s="70"/>
      <c r="F590" s="69"/>
      <c r="K590" s="70"/>
    </row>
    <row r="591" customFormat="false" ht="15" hidden="false" customHeight="false" outlineLevel="0" collapsed="false">
      <c r="B591" s="309"/>
      <c r="C591" s="310"/>
      <c r="E591" s="70"/>
      <c r="F591" s="69"/>
      <c r="K591" s="70"/>
    </row>
    <row r="592" customFormat="false" ht="15" hidden="false" customHeight="false" outlineLevel="0" collapsed="false">
      <c r="B592" s="309"/>
      <c r="C592" s="310"/>
      <c r="E592" s="70"/>
      <c r="F592" s="69"/>
      <c r="K592" s="70"/>
    </row>
    <row r="593" customFormat="false" ht="15" hidden="false" customHeight="false" outlineLevel="0" collapsed="false">
      <c r="B593" s="309"/>
      <c r="C593" s="310"/>
      <c r="E593" s="70"/>
      <c r="F593" s="69"/>
      <c r="K593" s="70"/>
    </row>
    <row r="594" customFormat="false" ht="15" hidden="false" customHeight="false" outlineLevel="0" collapsed="false">
      <c r="B594" s="309"/>
      <c r="C594" s="310"/>
      <c r="E594" s="70"/>
      <c r="F594" s="69"/>
      <c r="K594" s="70"/>
    </row>
    <row r="595" customFormat="false" ht="15" hidden="false" customHeight="false" outlineLevel="0" collapsed="false">
      <c r="B595" s="309"/>
      <c r="C595" s="310"/>
      <c r="E595" s="70"/>
      <c r="F595" s="69"/>
      <c r="K595" s="70"/>
    </row>
    <row r="596" customFormat="false" ht="15" hidden="false" customHeight="false" outlineLevel="0" collapsed="false">
      <c r="B596" s="309"/>
      <c r="C596" s="310"/>
      <c r="E596" s="70"/>
      <c r="F596" s="69"/>
      <c r="K596" s="70"/>
    </row>
    <row r="597" customFormat="false" ht="15" hidden="false" customHeight="false" outlineLevel="0" collapsed="false">
      <c r="B597" s="309"/>
      <c r="C597" s="310"/>
      <c r="E597" s="70"/>
      <c r="F597" s="69"/>
      <c r="K597" s="70"/>
    </row>
    <row r="598" customFormat="false" ht="15" hidden="false" customHeight="false" outlineLevel="0" collapsed="false">
      <c r="B598" s="309"/>
      <c r="C598" s="310"/>
      <c r="E598" s="70"/>
      <c r="F598" s="69"/>
      <c r="K598" s="70"/>
    </row>
    <row r="599" customFormat="false" ht="15" hidden="false" customHeight="false" outlineLevel="0" collapsed="false">
      <c r="B599" s="309"/>
      <c r="C599" s="310"/>
      <c r="E599" s="70"/>
      <c r="F599" s="69"/>
      <c r="K599" s="70"/>
    </row>
    <row r="600" customFormat="false" ht="15" hidden="false" customHeight="false" outlineLevel="0" collapsed="false">
      <c r="B600" s="309"/>
      <c r="C600" s="310"/>
      <c r="E600" s="70"/>
      <c r="F600" s="69"/>
      <c r="K600" s="70"/>
    </row>
    <row r="601" customFormat="false" ht="15" hidden="false" customHeight="false" outlineLevel="0" collapsed="false">
      <c r="B601" s="309"/>
      <c r="C601" s="310"/>
      <c r="E601" s="70"/>
      <c r="F601" s="69"/>
      <c r="K601" s="70"/>
    </row>
    <row r="602" customFormat="false" ht="15" hidden="false" customHeight="false" outlineLevel="0" collapsed="false">
      <c r="B602" s="309"/>
      <c r="C602" s="310"/>
      <c r="E602" s="70"/>
      <c r="F602" s="69"/>
      <c r="K602" s="70"/>
    </row>
    <row r="603" customFormat="false" ht="15" hidden="false" customHeight="false" outlineLevel="0" collapsed="false">
      <c r="B603" s="309"/>
      <c r="C603" s="310"/>
      <c r="E603" s="70"/>
      <c r="F603" s="69"/>
      <c r="K603" s="70"/>
    </row>
    <row r="604" customFormat="false" ht="15" hidden="false" customHeight="false" outlineLevel="0" collapsed="false">
      <c r="B604" s="309"/>
      <c r="C604" s="310"/>
      <c r="E604" s="70"/>
      <c r="F604" s="69"/>
      <c r="K604" s="70"/>
    </row>
    <row r="605" customFormat="false" ht="15" hidden="false" customHeight="false" outlineLevel="0" collapsed="false">
      <c r="B605" s="309"/>
      <c r="C605" s="310"/>
      <c r="E605" s="70"/>
      <c r="F605" s="69"/>
      <c r="K605" s="70"/>
    </row>
    <row r="606" customFormat="false" ht="15" hidden="false" customHeight="false" outlineLevel="0" collapsed="false">
      <c r="B606" s="309"/>
      <c r="C606" s="310"/>
      <c r="E606" s="70"/>
      <c r="F606" s="69"/>
      <c r="K606" s="70"/>
    </row>
    <row r="607" customFormat="false" ht="15" hidden="false" customHeight="false" outlineLevel="0" collapsed="false">
      <c r="B607" s="309"/>
      <c r="C607" s="310"/>
      <c r="E607" s="70"/>
      <c r="F607" s="69"/>
      <c r="K607" s="70"/>
    </row>
    <row r="608" customFormat="false" ht="15" hidden="false" customHeight="false" outlineLevel="0" collapsed="false">
      <c r="B608" s="309"/>
      <c r="C608" s="310"/>
      <c r="E608" s="70"/>
      <c r="F608" s="69"/>
      <c r="K608" s="70"/>
    </row>
    <row r="609" customFormat="false" ht="15" hidden="false" customHeight="false" outlineLevel="0" collapsed="false">
      <c r="B609" s="309"/>
      <c r="C609" s="310"/>
      <c r="E609" s="70"/>
      <c r="F609" s="69"/>
      <c r="K609" s="70"/>
    </row>
    <row r="610" customFormat="false" ht="15" hidden="false" customHeight="false" outlineLevel="0" collapsed="false">
      <c r="B610" s="309"/>
      <c r="C610" s="310"/>
      <c r="E610" s="70"/>
      <c r="F610" s="69"/>
      <c r="K610" s="70"/>
    </row>
    <row r="611" customFormat="false" ht="15" hidden="false" customHeight="false" outlineLevel="0" collapsed="false">
      <c r="B611" s="309"/>
      <c r="C611" s="310"/>
      <c r="E611" s="70"/>
      <c r="F611" s="69"/>
      <c r="K611" s="70"/>
    </row>
    <row r="612" customFormat="false" ht="15" hidden="false" customHeight="false" outlineLevel="0" collapsed="false">
      <c r="B612" s="309"/>
      <c r="C612" s="310"/>
      <c r="E612" s="70"/>
      <c r="F612" s="69"/>
      <c r="K612" s="70"/>
    </row>
    <row r="613" customFormat="false" ht="15" hidden="false" customHeight="false" outlineLevel="0" collapsed="false">
      <c r="B613" s="309"/>
      <c r="C613" s="310"/>
      <c r="E613" s="70"/>
      <c r="F613" s="69"/>
      <c r="K613" s="70"/>
    </row>
    <row r="614" customFormat="false" ht="15" hidden="false" customHeight="false" outlineLevel="0" collapsed="false">
      <c r="B614" s="309"/>
      <c r="C614" s="310"/>
      <c r="E614" s="70"/>
      <c r="F614" s="69"/>
      <c r="K614" s="70"/>
    </row>
    <row r="615" customFormat="false" ht="15" hidden="false" customHeight="false" outlineLevel="0" collapsed="false">
      <c r="B615" s="309"/>
      <c r="C615" s="310"/>
      <c r="E615" s="70"/>
      <c r="F615" s="69"/>
      <c r="K615" s="70"/>
    </row>
    <row r="616" customFormat="false" ht="15" hidden="false" customHeight="false" outlineLevel="0" collapsed="false">
      <c r="B616" s="309"/>
      <c r="C616" s="310"/>
      <c r="E616" s="70"/>
      <c r="F616" s="69"/>
      <c r="K616" s="70"/>
    </row>
    <row r="617" customFormat="false" ht="15" hidden="false" customHeight="false" outlineLevel="0" collapsed="false">
      <c r="B617" s="309"/>
      <c r="C617" s="310"/>
      <c r="E617" s="70"/>
      <c r="F617" s="69"/>
      <c r="K617" s="70"/>
    </row>
    <row r="618" customFormat="false" ht="15" hidden="false" customHeight="false" outlineLevel="0" collapsed="false">
      <c r="B618" s="309"/>
      <c r="C618" s="310"/>
      <c r="E618" s="70"/>
      <c r="F618" s="69"/>
      <c r="K618" s="70"/>
    </row>
    <row r="619" customFormat="false" ht="15" hidden="false" customHeight="false" outlineLevel="0" collapsed="false">
      <c r="B619" s="309"/>
      <c r="C619" s="310"/>
      <c r="E619" s="70"/>
      <c r="F619" s="69"/>
      <c r="K619" s="70"/>
    </row>
    <row r="620" customFormat="false" ht="15" hidden="false" customHeight="false" outlineLevel="0" collapsed="false">
      <c r="B620" s="309"/>
      <c r="C620" s="310"/>
      <c r="E620" s="70"/>
      <c r="F620" s="69"/>
      <c r="K620" s="70"/>
    </row>
    <row r="621" customFormat="false" ht="15" hidden="false" customHeight="false" outlineLevel="0" collapsed="false">
      <c r="B621" s="309"/>
      <c r="C621" s="310"/>
      <c r="E621" s="70"/>
      <c r="F621" s="69"/>
      <c r="K621" s="70"/>
    </row>
    <row r="622" customFormat="false" ht="15" hidden="false" customHeight="false" outlineLevel="0" collapsed="false">
      <c r="B622" s="309"/>
      <c r="C622" s="310"/>
      <c r="E622" s="70"/>
      <c r="F622" s="69"/>
      <c r="K622" s="70"/>
    </row>
    <row r="623" customFormat="false" ht="15" hidden="false" customHeight="false" outlineLevel="0" collapsed="false">
      <c r="B623" s="309"/>
      <c r="C623" s="310"/>
      <c r="E623" s="70"/>
      <c r="F623" s="69"/>
      <c r="K623" s="70"/>
    </row>
    <row r="624" customFormat="false" ht="15" hidden="false" customHeight="false" outlineLevel="0" collapsed="false">
      <c r="B624" s="309"/>
      <c r="C624" s="310"/>
      <c r="E624" s="70"/>
      <c r="F624" s="69"/>
      <c r="K624" s="70"/>
    </row>
    <row r="625" customFormat="false" ht="15" hidden="false" customHeight="false" outlineLevel="0" collapsed="false">
      <c r="B625" s="309"/>
      <c r="C625" s="310"/>
      <c r="E625" s="70"/>
      <c r="F625" s="69"/>
      <c r="K625" s="70"/>
    </row>
    <row r="626" customFormat="false" ht="15" hidden="false" customHeight="false" outlineLevel="0" collapsed="false">
      <c r="B626" s="309"/>
      <c r="C626" s="310"/>
      <c r="E626" s="70"/>
      <c r="F626" s="69"/>
      <c r="K626" s="70"/>
    </row>
    <row r="627" customFormat="false" ht="15" hidden="false" customHeight="false" outlineLevel="0" collapsed="false">
      <c r="B627" s="309"/>
      <c r="C627" s="310"/>
      <c r="E627" s="70"/>
      <c r="F627" s="69"/>
      <c r="K627" s="70"/>
    </row>
    <row r="628" customFormat="false" ht="15" hidden="false" customHeight="false" outlineLevel="0" collapsed="false">
      <c r="B628" s="309"/>
      <c r="C628" s="310"/>
      <c r="E628" s="70"/>
      <c r="F628" s="69"/>
      <c r="K628" s="70"/>
    </row>
    <row r="629" customFormat="false" ht="15" hidden="false" customHeight="false" outlineLevel="0" collapsed="false">
      <c r="B629" s="309"/>
      <c r="C629" s="310"/>
      <c r="E629" s="70"/>
      <c r="F629" s="69"/>
      <c r="K629" s="70"/>
    </row>
    <row r="630" customFormat="false" ht="15" hidden="false" customHeight="false" outlineLevel="0" collapsed="false">
      <c r="B630" s="309"/>
      <c r="C630" s="310"/>
      <c r="E630" s="70"/>
      <c r="F630" s="69"/>
      <c r="K630" s="70"/>
    </row>
    <row r="631" customFormat="false" ht="15" hidden="false" customHeight="false" outlineLevel="0" collapsed="false">
      <c r="B631" s="309"/>
      <c r="C631" s="310"/>
      <c r="E631" s="70"/>
      <c r="F631" s="69"/>
      <c r="K631" s="70"/>
    </row>
    <row r="632" customFormat="false" ht="15" hidden="false" customHeight="false" outlineLevel="0" collapsed="false">
      <c r="B632" s="309"/>
      <c r="C632" s="310"/>
      <c r="E632" s="70"/>
      <c r="F632" s="69"/>
      <c r="K632" s="70"/>
    </row>
    <row r="633" customFormat="false" ht="15" hidden="false" customHeight="false" outlineLevel="0" collapsed="false">
      <c r="B633" s="309"/>
      <c r="C633" s="310"/>
      <c r="E633" s="70"/>
      <c r="F633" s="69"/>
      <c r="K633" s="70"/>
    </row>
    <row r="634" customFormat="false" ht="15" hidden="false" customHeight="false" outlineLevel="0" collapsed="false">
      <c r="B634" s="309"/>
      <c r="C634" s="310"/>
      <c r="E634" s="70"/>
      <c r="F634" s="69"/>
      <c r="K634" s="70"/>
    </row>
    <row r="635" customFormat="false" ht="15" hidden="false" customHeight="false" outlineLevel="0" collapsed="false">
      <c r="B635" s="309"/>
      <c r="C635" s="310"/>
      <c r="E635" s="70"/>
      <c r="F635" s="69"/>
      <c r="K635" s="70"/>
    </row>
    <row r="636" customFormat="false" ht="15" hidden="false" customHeight="false" outlineLevel="0" collapsed="false">
      <c r="B636" s="309"/>
      <c r="C636" s="310"/>
      <c r="E636" s="70"/>
      <c r="F636" s="69"/>
      <c r="K636" s="70"/>
    </row>
    <row r="637" customFormat="false" ht="15" hidden="false" customHeight="false" outlineLevel="0" collapsed="false">
      <c r="B637" s="309"/>
      <c r="C637" s="310"/>
      <c r="E637" s="70"/>
      <c r="F637" s="69"/>
      <c r="K637" s="70"/>
    </row>
    <row r="638" customFormat="false" ht="15" hidden="false" customHeight="false" outlineLevel="0" collapsed="false">
      <c r="B638" s="309"/>
      <c r="C638" s="310"/>
      <c r="E638" s="70"/>
      <c r="F638" s="69"/>
      <c r="K638" s="70"/>
    </row>
    <row r="639" customFormat="false" ht="15" hidden="false" customHeight="false" outlineLevel="0" collapsed="false">
      <c r="B639" s="309"/>
      <c r="C639" s="310"/>
      <c r="E639" s="70"/>
      <c r="F639" s="69"/>
      <c r="K639" s="70"/>
    </row>
    <row r="640" customFormat="false" ht="15" hidden="false" customHeight="false" outlineLevel="0" collapsed="false">
      <c r="B640" s="309"/>
      <c r="C640" s="310"/>
      <c r="E640" s="70"/>
      <c r="F640" s="69"/>
      <c r="K640" s="70"/>
    </row>
    <row r="641" customFormat="false" ht="15" hidden="false" customHeight="false" outlineLevel="0" collapsed="false">
      <c r="B641" s="309"/>
      <c r="C641" s="310"/>
      <c r="E641" s="70"/>
      <c r="F641" s="69"/>
      <c r="K641" s="70"/>
    </row>
    <row r="642" customFormat="false" ht="15" hidden="false" customHeight="false" outlineLevel="0" collapsed="false">
      <c r="B642" s="309"/>
      <c r="C642" s="310"/>
      <c r="E642" s="70"/>
      <c r="F642" s="69"/>
      <c r="K642" s="70"/>
    </row>
    <row r="643" customFormat="false" ht="15" hidden="false" customHeight="false" outlineLevel="0" collapsed="false">
      <c r="B643" s="309"/>
      <c r="C643" s="310"/>
      <c r="E643" s="70"/>
      <c r="F643" s="69"/>
      <c r="K643" s="70"/>
    </row>
    <row r="644" customFormat="false" ht="15" hidden="false" customHeight="false" outlineLevel="0" collapsed="false">
      <c r="B644" s="309"/>
      <c r="C644" s="310"/>
      <c r="E644" s="70"/>
      <c r="F644" s="69"/>
      <c r="K644" s="70"/>
    </row>
    <row r="645" customFormat="false" ht="15" hidden="false" customHeight="false" outlineLevel="0" collapsed="false">
      <c r="B645" s="309"/>
      <c r="C645" s="310"/>
      <c r="E645" s="70"/>
      <c r="F645" s="69"/>
      <c r="K645" s="70"/>
    </row>
    <row r="646" customFormat="false" ht="15" hidden="false" customHeight="false" outlineLevel="0" collapsed="false">
      <c r="B646" s="309"/>
      <c r="C646" s="310"/>
      <c r="E646" s="70"/>
      <c r="F646" s="69"/>
      <c r="K646" s="70"/>
    </row>
    <row r="647" customFormat="false" ht="15" hidden="false" customHeight="false" outlineLevel="0" collapsed="false">
      <c r="B647" s="309"/>
      <c r="C647" s="310"/>
      <c r="E647" s="70"/>
      <c r="F647" s="69"/>
      <c r="K647" s="70"/>
    </row>
    <row r="648" customFormat="false" ht="15" hidden="false" customHeight="false" outlineLevel="0" collapsed="false">
      <c r="B648" s="309"/>
      <c r="C648" s="310"/>
      <c r="E648" s="70"/>
      <c r="F648" s="69"/>
      <c r="K648" s="70"/>
    </row>
    <row r="649" customFormat="false" ht="15" hidden="false" customHeight="false" outlineLevel="0" collapsed="false">
      <c r="B649" s="309"/>
      <c r="C649" s="310"/>
      <c r="E649" s="70"/>
      <c r="F649" s="69"/>
      <c r="K649" s="70"/>
    </row>
    <row r="650" customFormat="false" ht="15" hidden="false" customHeight="false" outlineLevel="0" collapsed="false">
      <c r="B650" s="309"/>
      <c r="C650" s="310"/>
      <c r="E650" s="70"/>
      <c r="F650" s="69"/>
      <c r="K650" s="70"/>
    </row>
    <row r="651" customFormat="false" ht="15" hidden="false" customHeight="false" outlineLevel="0" collapsed="false">
      <c r="B651" s="309"/>
      <c r="C651" s="310"/>
      <c r="E651" s="70"/>
      <c r="F651" s="69"/>
      <c r="K651" s="70"/>
    </row>
    <row r="652" customFormat="false" ht="15" hidden="false" customHeight="false" outlineLevel="0" collapsed="false">
      <c r="B652" s="309"/>
      <c r="C652" s="310"/>
      <c r="E652" s="70"/>
      <c r="F652" s="69"/>
      <c r="K652" s="70"/>
    </row>
    <row r="653" customFormat="false" ht="15" hidden="false" customHeight="false" outlineLevel="0" collapsed="false">
      <c r="B653" s="309"/>
      <c r="C653" s="310"/>
      <c r="E653" s="70"/>
      <c r="F653" s="69"/>
      <c r="K653" s="70"/>
    </row>
    <row r="654" customFormat="false" ht="15" hidden="false" customHeight="false" outlineLevel="0" collapsed="false">
      <c r="B654" s="309"/>
      <c r="C654" s="310"/>
      <c r="E654" s="70"/>
      <c r="F654" s="69"/>
      <c r="K654" s="70"/>
    </row>
    <row r="655" customFormat="false" ht="15" hidden="false" customHeight="false" outlineLevel="0" collapsed="false">
      <c r="B655" s="309"/>
      <c r="C655" s="310"/>
      <c r="E655" s="70"/>
      <c r="F655" s="69"/>
      <c r="K655" s="70"/>
    </row>
    <row r="656" customFormat="false" ht="15" hidden="false" customHeight="false" outlineLevel="0" collapsed="false">
      <c r="B656" s="309"/>
      <c r="C656" s="310"/>
      <c r="E656" s="70"/>
      <c r="F656" s="69"/>
      <c r="K656" s="70"/>
    </row>
    <row r="657" customFormat="false" ht="15" hidden="false" customHeight="false" outlineLevel="0" collapsed="false">
      <c r="B657" s="309"/>
      <c r="C657" s="310"/>
      <c r="E657" s="70"/>
      <c r="F657" s="69"/>
      <c r="K657" s="70"/>
    </row>
    <row r="658" customFormat="false" ht="15" hidden="false" customHeight="false" outlineLevel="0" collapsed="false">
      <c r="B658" s="309"/>
      <c r="C658" s="310"/>
      <c r="E658" s="70"/>
      <c r="F658" s="69"/>
      <c r="K658" s="70"/>
    </row>
    <row r="659" customFormat="false" ht="15" hidden="false" customHeight="false" outlineLevel="0" collapsed="false">
      <c r="B659" s="309"/>
      <c r="C659" s="310"/>
      <c r="E659" s="70"/>
      <c r="F659" s="69"/>
      <c r="K659" s="70"/>
    </row>
    <row r="660" customFormat="false" ht="15" hidden="false" customHeight="false" outlineLevel="0" collapsed="false">
      <c r="B660" s="309"/>
      <c r="C660" s="310"/>
      <c r="E660" s="70"/>
      <c r="F660" s="69"/>
      <c r="K660" s="70"/>
    </row>
    <row r="661" customFormat="false" ht="15" hidden="false" customHeight="false" outlineLevel="0" collapsed="false">
      <c r="B661" s="309"/>
      <c r="C661" s="310"/>
      <c r="E661" s="70"/>
      <c r="F661" s="69"/>
      <c r="K661" s="70"/>
    </row>
    <row r="662" customFormat="false" ht="15" hidden="false" customHeight="false" outlineLevel="0" collapsed="false">
      <c r="B662" s="309"/>
      <c r="C662" s="310"/>
      <c r="E662" s="70"/>
      <c r="F662" s="69"/>
      <c r="K662" s="70"/>
    </row>
    <row r="663" customFormat="false" ht="15" hidden="false" customHeight="false" outlineLevel="0" collapsed="false">
      <c r="B663" s="309"/>
      <c r="C663" s="310"/>
      <c r="E663" s="70"/>
      <c r="F663" s="69"/>
      <c r="K663" s="70"/>
    </row>
    <row r="664" customFormat="false" ht="15" hidden="false" customHeight="false" outlineLevel="0" collapsed="false">
      <c r="B664" s="309"/>
      <c r="C664" s="310"/>
      <c r="E664" s="70"/>
      <c r="F664" s="69"/>
      <c r="K664" s="70"/>
    </row>
    <row r="665" customFormat="false" ht="15" hidden="false" customHeight="false" outlineLevel="0" collapsed="false">
      <c r="B665" s="309"/>
      <c r="C665" s="310"/>
      <c r="E665" s="70"/>
      <c r="F665" s="69"/>
      <c r="K665" s="70"/>
    </row>
    <row r="666" customFormat="false" ht="15" hidden="false" customHeight="false" outlineLevel="0" collapsed="false">
      <c r="B666" s="309"/>
      <c r="C666" s="310"/>
      <c r="E666" s="70"/>
      <c r="F666" s="69"/>
      <c r="K666" s="70"/>
    </row>
    <row r="667" customFormat="false" ht="15" hidden="false" customHeight="false" outlineLevel="0" collapsed="false">
      <c r="B667" s="309"/>
      <c r="C667" s="310"/>
      <c r="E667" s="70"/>
      <c r="F667" s="69"/>
      <c r="K667" s="70"/>
    </row>
    <row r="668" customFormat="false" ht="15" hidden="false" customHeight="false" outlineLevel="0" collapsed="false">
      <c r="B668" s="309"/>
      <c r="C668" s="310"/>
      <c r="E668" s="70"/>
      <c r="F668" s="69"/>
      <c r="K668" s="70"/>
    </row>
    <row r="669" customFormat="false" ht="15" hidden="false" customHeight="false" outlineLevel="0" collapsed="false">
      <c r="B669" s="309"/>
      <c r="C669" s="310"/>
      <c r="E669" s="70"/>
      <c r="F669" s="69"/>
      <c r="K669" s="70"/>
    </row>
    <row r="670" customFormat="false" ht="15" hidden="false" customHeight="false" outlineLevel="0" collapsed="false">
      <c r="B670" s="309"/>
      <c r="C670" s="310"/>
      <c r="E670" s="70"/>
      <c r="F670" s="69"/>
      <c r="K670" s="70"/>
    </row>
    <row r="671" customFormat="false" ht="15" hidden="false" customHeight="false" outlineLevel="0" collapsed="false">
      <c r="B671" s="309"/>
      <c r="C671" s="310"/>
      <c r="E671" s="70"/>
      <c r="F671" s="69"/>
      <c r="K671" s="70"/>
    </row>
    <row r="672" customFormat="false" ht="15" hidden="false" customHeight="false" outlineLevel="0" collapsed="false">
      <c r="B672" s="309"/>
      <c r="C672" s="310"/>
      <c r="E672" s="70"/>
      <c r="F672" s="69"/>
      <c r="K672" s="70"/>
    </row>
    <row r="673" customFormat="false" ht="15" hidden="false" customHeight="false" outlineLevel="0" collapsed="false">
      <c r="B673" s="309"/>
      <c r="C673" s="310"/>
      <c r="E673" s="70"/>
      <c r="F673" s="69"/>
      <c r="K673" s="70"/>
    </row>
    <row r="674" customFormat="false" ht="15" hidden="false" customHeight="false" outlineLevel="0" collapsed="false">
      <c r="B674" s="309"/>
      <c r="C674" s="310"/>
      <c r="E674" s="70"/>
      <c r="F674" s="69"/>
      <c r="K674" s="70"/>
    </row>
    <row r="675" customFormat="false" ht="15" hidden="false" customHeight="false" outlineLevel="0" collapsed="false">
      <c r="B675" s="309"/>
      <c r="C675" s="310"/>
      <c r="E675" s="70"/>
      <c r="F675" s="69"/>
      <c r="K675" s="70"/>
    </row>
    <row r="676" customFormat="false" ht="15" hidden="false" customHeight="false" outlineLevel="0" collapsed="false">
      <c r="B676" s="309"/>
      <c r="C676" s="310"/>
      <c r="E676" s="70"/>
      <c r="F676" s="69"/>
      <c r="K676" s="70"/>
    </row>
    <row r="677" customFormat="false" ht="15" hidden="false" customHeight="false" outlineLevel="0" collapsed="false">
      <c r="B677" s="309"/>
      <c r="C677" s="310"/>
      <c r="E677" s="70"/>
      <c r="F677" s="69"/>
      <c r="K677" s="70"/>
    </row>
    <row r="678" customFormat="false" ht="15" hidden="false" customHeight="false" outlineLevel="0" collapsed="false">
      <c r="B678" s="309"/>
      <c r="C678" s="310"/>
      <c r="E678" s="70"/>
      <c r="F678" s="69"/>
      <c r="K678" s="70"/>
    </row>
    <row r="679" customFormat="false" ht="15" hidden="false" customHeight="false" outlineLevel="0" collapsed="false">
      <c r="B679" s="309"/>
      <c r="C679" s="310"/>
      <c r="E679" s="70"/>
      <c r="F679" s="69"/>
      <c r="K679" s="70"/>
    </row>
    <row r="680" customFormat="false" ht="15" hidden="false" customHeight="false" outlineLevel="0" collapsed="false">
      <c r="B680" s="309"/>
      <c r="C680" s="310"/>
      <c r="E680" s="70"/>
      <c r="F680" s="69"/>
      <c r="K680" s="70"/>
    </row>
    <row r="681" customFormat="false" ht="15" hidden="false" customHeight="false" outlineLevel="0" collapsed="false">
      <c r="B681" s="309"/>
      <c r="C681" s="310"/>
      <c r="E681" s="70"/>
      <c r="F681" s="69"/>
      <c r="K681" s="70"/>
    </row>
    <row r="682" customFormat="false" ht="15" hidden="false" customHeight="false" outlineLevel="0" collapsed="false">
      <c r="B682" s="309"/>
      <c r="C682" s="310"/>
      <c r="E682" s="70"/>
      <c r="F682" s="69"/>
      <c r="K682" s="70"/>
    </row>
    <row r="683" customFormat="false" ht="15" hidden="false" customHeight="false" outlineLevel="0" collapsed="false">
      <c r="B683" s="309"/>
      <c r="C683" s="310"/>
      <c r="E683" s="70"/>
      <c r="F683" s="69"/>
      <c r="K683" s="70"/>
    </row>
    <row r="684" customFormat="false" ht="15" hidden="false" customHeight="false" outlineLevel="0" collapsed="false">
      <c r="B684" s="309"/>
      <c r="C684" s="310"/>
      <c r="E684" s="70"/>
      <c r="F684" s="69"/>
      <c r="K684" s="70"/>
    </row>
    <row r="685" customFormat="false" ht="15" hidden="false" customHeight="false" outlineLevel="0" collapsed="false">
      <c r="B685" s="309"/>
      <c r="C685" s="310"/>
      <c r="E685" s="70"/>
      <c r="F685" s="69"/>
      <c r="K685" s="70"/>
    </row>
    <row r="686" customFormat="false" ht="15" hidden="false" customHeight="false" outlineLevel="0" collapsed="false">
      <c r="B686" s="309"/>
      <c r="C686" s="310"/>
      <c r="E686" s="70"/>
      <c r="F686" s="69"/>
      <c r="K686" s="70"/>
    </row>
    <row r="687" customFormat="false" ht="15" hidden="false" customHeight="false" outlineLevel="0" collapsed="false">
      <c r="B687" s="309"/>
      <c r="C687" s="310"/>
      <c r="E687" s="70"/>
      <c r="F687" s="69"/>
      <c r="K687" s="70"/>
    </row>
    <row r="688" customFormat="false" ht="15" hidden="false" customHeight="false" outlineLevel="0" collapsed="false">
      <c r="B688" s="309"/>
      <c r="C688" s="310"/>
      <c r="E688" s="70"/>
      <c r="F688" s="69"/>
      <c r="K688" s="70"/>
    </row>
    <row r="689" customFormat="false" ht="15" hidden="false" customHeight="false" outlineLevel="0" collapsed="false">
      <c r="B689" s="309"/>
      <c r="C689" s="310"/>
      <c r="E689" s="70"/>
      <c r="F689" s="69"/>
      <c r="K689" s="70"/>
    </row>
    <row r="690" customFormat="false" ht="15" hidden="false" customHeight="false" outlineLevel="0" collapsed="false">
      <c r="B690" s="309"/>
      <c r="C690" s="310"/>
      <c r="E690" s="70"/>
      <c r="F690" s="69"/>
      <c r="K690" s="70"/>
    </row>
    <row r="691" customFormat="false" ht="15" hidden="false" customHeight="false" outlineLevel="0" collapsed="false">
      <c r="B691" s="309"/>
      <c r="C691" s="310"/>
      <c r="E691" s="70"/>
      <c r="F691" s="69"/>
      <c r="K691" s="70"/>
    </row>
    <row r="692" customFormat="false" ht="15" hidden="false" customHeight="false" outlineLevel="0" collapsed="false">
      <c r="B692" s="309"/>
      <c r="C692" s="310"/>
      <c r="E692" s="70"/>
      <c r="F692" s="69"/>
      <c r="K692" s="70"/>
    </row>
    <row r="693" customFormat="false" ht="15" hidden="false" customHeight="false" outlineLevel="0" collapsed="false">
      <c r="B693" s="309"/>
      <c r="C693" s="310"/>
      <c r="E693" s="70"/>
      <c r="F693" s="69"/>
      <c r="K693" s="70"/>
    </row>
    <row r="694" customFormat="false" ht="15" hidden="false" customHeight="false" outlineLevel="0" collapsed="false">
      <c r="B694" s="309"/>
      <c r="C694" s="310"/>
      <c r="E694" s="70"/>
      <c r="F694" s="69"/>
      <c r="K694" s="70"/>
    </row>
    <row r="695" customFormat="false" ht="15" hidden="false" customHeight="false" outlineLevel="0" collapsed="false">
      <c r="B695" s="309"/>
      <c r="C695" s="310"/>
      <c r="E695" s="70"/>
      <c r="F695" s="69"/>
      <c r="K695" s="70"/>
    </row>
    <row r="696" customFormat="false" ht="15" hidden="false" customHeight="false" outlineLevel="0" collapsed="false">
      <c r="B696" s="309"/>
      <c r="C696" s="310"/>
      <c r="E696" s="70"/>
      <c r="F696" s="69"/>
      <c r="K696" s="70"/>
    </row>
    <row r="697" customFormat="false" ht="15" hidden="false" customHeight="false" outlineLevel="0" collapsed="false">
      <c r="B697" s="309"/>
      <c r="C697" s="310"/>
      <c r="E697" s="70"/>
      <c r="F697" s="69"/>
      <c r="K697" s="70"/>
    </row>
    <row r="698" customFormat="false" ht="15" hidden="false" customHeight="false" outlineLevel="0" collapsed="false">
      <c r="B698" s="309"/>
      <c r="C698" s="310"/>
      <c r="E698" s="70"/>
      <c r="F698" s="69"/>
      <c r="K698" s="70"/>
    </row>
    <row r="699" customFormat="false" ht="15" hidden="false" customHeight="false" outlineLevel="0" collapsed="false">
      <c r="B699" s="309"/>
      <c r="C699" s="310"/>
      <c r="E699" s="70"/>
      <c r="F699" s="69"/>
      <c r="K699" s="70"/>
    </row>
    <row r="700" customFormat="false" ht="15" hidden="false" customHeight="false" outlineLevel="0" collapsed="false">
      <c r="B700" s="309"/>
      <c r="C700" s="310"/>
      <c r="E700" s="70"/>
      <c r="F700" s="69"/>
      <c r="K700" s="70"/>
    </row>
    <row r="701" customFormat="false" ht="15" hidden="false" customHeight="false" outlineLevel="0" collapsed="false">
      <c r="B701" s="309"/>
      <c r="C701" s="310"/>
      <c r="E701" s="70"/>
      <c r="F701" s="69"/>
      <c r="K701" s="70"/>
    </row>
    <row r="702" customFormat="false" ht="15" hidden="false" customHeight="false" outlineLevel="0" collapsed="false">
      <c r="B702" s="309"/>
      <c r="C702" s="310"/>
      <c r="E702" s="70"/>
      <c r="F702" s="69"/>
      <c r="K702" s="70"/>
    </row>
    <row r="703" customFormat="false" ht="15" hidden="false" customHeight="false" outlineLevel="0" collapsed="false">
      <c r="B703" s="309"/>
      <c r="C703" s="310"/>
      <c r="E703" s="70"/>
      <c r="F703" s="69"/>
      <c r="K703" s="70"/>
    </row>
    <row r="704" customFormat="false" ht="15" hidden="false" customHeight="false" outlineLevel="0" collapsed="false">
      <c r="B704" s="309"/>
      <c r="C704" s="310"/>
      <c r="E704" s="70"/>
      <c r="F704" s="69"/>
      <c r="K704" s="70"/>
    </row>
    <row r="705" customFormat="false" ht="15" hidden="false" customHeight="false" outlineLevel="0" collapsed="false">
      <c r="B705" s="309"/>
      <c r="C705" s="310"/>
      <c r="E705" s="70"/>
      <c r="F705" s="69"/>
      <c r="K705" s="70"/>
    </row>
    <row r="706" customFormat="false" ht="15" hidden="false" customHeight="false" outlineLevel="0" collapsed="false">
      <c r="B706" s="309"/>
      <c r="C706" s="310"/>
      <c r="E706" s="70"/>
      <c r="F706" s="69"/>
      <c r="K706" s="70"/>
    </row>
    <row r="707" customFormat="false" ht="15" hidden="false" customHeight="false" outlineLevel="0" collapsed="false">
      <c r="B707" s="309"/>
      <c r="C707" s="310"/>
      <c r="E707" s="70"/>
      <c r="F707" s="69"/>
      <c r="K707" s="70"/>
    </row>
    <row r="708" customFormat="false" ht="15" hidden="false" customHeight="false" outlineLevel="0" collapsed="false">
      <c r="B708" s="309"/>
      <c r="C708" s="310"/>
      <c r="E708" s="70"/>
      <c r="F708" s="69"/>
      <c r="K708" s="70"/>
    </row>
    <row r="709" customFormat="false" ht="15" hidden="false" customHeight="false" outlineLevel="0" collapsed="false">
      <c r="B709" s="309"/>
      <c r="C709" s="310"/>
      <c r="E709" s="70"/>
      <c r="F709" s="69"/>
      <c r="K709" s="70"/>
    </row>
    <row r="710" customFormat="false" ht="15" hidden="false" customHeight="false" outlineLevel="0" collapsed="false">
      <c r="B710" s="309"/>
      <c r="C710" s="310"/>
      <c r="E710" s="70"/>
      <c r="F710" s="69"/>
      <c r="K710" s="70"/>
    </row>
    <row r="711" customFormat="false" ht="15" hidden="false" customHeight="false" outlineLevel="0" collapsed="false">
      <c r="B711" s="309"/>
      <c r="C711" s="310"/>
      <c r="E711" s="70"/>
      <c r="F711" s="69"/>
      <c r="K711" s="70"/>
    </row>
    <row r="712" customFormat="false" ht="15" hidden="false" customHeight="false" outlineLevel="0" collapsed="false">
      <c r="B712" s="309"/>
      <c r="C712" s="310"/>
      <c r="E712" s="70"/>
      <c r="F712" s="69"/>
      <c r="K712" s="70"/>
    </row>
    <row r="713" customFormat="false" ht="15" hidden="false" customHeight="false" outlineLevel="0" collapsed="false">
      <c r="B713" s="309"/>
      <c r="C713" s="310"/>
      <c r="E713" s="70"/>
      <c r="F713" s="69"/>
      <c r="K713" s="70"/>
    </row>
    <row r="714" customFormat="false" ht="15" hidden="false" customHeight="false" outlineLevel="0" collapsed="false">
      <c r="B714" s="309"/>
      <c r="C714" s="310"/>
      <c r="E714" s="70"/>
      <c r="F714" s="69"/>
      <c r="K714" s="70"/>
    </row>
    <row r="715" customFormat="false" ht="15" hidden="false" customHeight="false" outlineLevel="0" collapsed="false">
      <c r="B715" s="309"/>
      <c r="C715" s="310"/>
      <c r="E715" s="70"/>
      <c r="F715" s="69"/>
      <c r="K715" s="70"/>
    </row>
    <row r="716" customFormat="false" ht="15" hidden="false" customHeight="false" outlineLevel="0" collapsed="false">
      <c r="B716" s="309"/>
      <c r="C716" s="310"/>
      <c r="E716" s="70"/>
      <c r="F716" s="69"/>
      <c r="K716" s="70"/>
    </row>
    <row r="717" customFormat="false" ht="15" hidden="false" customHeight="false" outlineLevel="0" collapsed="false">
      <c r="B717" s="309"/>
      <c r="C717" s="310"/>
      <c r="E717" s="70"/>
      <c r="F717" s="69"/>
      <c r="K717" s="70"/>
    </row>
    <row r="718" customFormat="false" ht="15" hidden="false" customHeight="false" outlineLevel="0" collapsed="false">
      <c r="B718" s="309"/>
      <c r="C718" s="310"/>
      <c r="E718" s="70"/>
      <c r="F718" s="69"/>
      <c r="K718" s="70"/>
    </row>
    <row r="719" customFormat="false" ht="15" hidden="false" customHeight="false" outlineLevel="0" collapsed="false">
      <c r="B719" s="309"/>
      <c r="C719" s="310"/>
      <c r="E719" s="70"/>
      <c r="F719" s="69"/>
      <c r="K719" s="70"/>
    </row>
    <row r="720" customFormat="false" ht="15" hidden="false" customHeight="false" outlineLevel="0" collapsed="false">
      <c r="B720" s="309"/>
      <c r="C720" s="310"/>
      <c r="E720" s="70"/>
      <c r="F720" s="69"/>
      <c r="K720" s="70"/>
    </row>
    <row r="721" customFormat="false" ht="15" hidden="false" customHeight="false" outlineLevel="0" collapsed="false">
      <c r="B721" s="309"/>
      <c r="C721" s="310"/>
      <c r="E721" s="70"/>
      <c r="F721" s="69"/>
      <c r="K721" s="70"/>
    </row>
    <row r="722" customFormat="false" ht="15" hidden="false" customHeight="false" outlineLevel="0" collapsed="false">
      <c r="B722" s="309"/>
      <c r="C722" s="310"/>
      <c r="E722" s="70"/>
      <c r="F722" s="69"/>
      <c r="K722" s="70"/>
    </row>
    <row r="723" customFormat="false" ht="15" hidden="false" customHeight="false" outlineLevel="0" collapsed="false">
      <c r="B723" s="309"/>
      <c r="C723" s="310"/>
      <c r="E723" s="70"/>
      <c r="F723" s="69"/>
      <c r="K723" s="70"/>
    </row>
    <row r="724" customFormat="false" ht="15" hidden="false" customHeight="false" outlineLevel="0" collapsed="false">
      <c r="B724" s="309"/>
      <c r="C724" s="310"/>
      <c r="E724" s="70"/>
      <c r="F724" s="69"/>
      <c r="K724" s="70"/>
    </row>
    <row r="725" customFormat="false" ht="15" hidden="false" customHeight="false" outlineLevel="0" collapsed="false">
      <c r="B725" s="309"/>
      <c r="C725" s="310"/>
      <c r="E725" s="70"/>
      <c r="F725" s="69"/>
      <c r="K725" s="70"/>
    </row>
    <row r="726" customFormat="false" ht="15" hidden="false" customHeight="false" outlineLevel="0" collapsed="false">
      <c r="B726" s="309"/>
      <c r="C726" s="310"/>
      <c r="E726" s="70"/>
      <c r="F726" s="69"/>
      <c r="K726" s="70"/>
    </row>
    <row r="727" customFormat="false" ht="15" hidden="false" customHeight="false" outlineLevel="0" collapsed="false">
      <c r="B727" s="309"/>
      <c r="C727" s="310"/>
      <c r="E727" s="70"/>
      <c r="F727" s="69"/>
      <c r="K727" s="70"/>
    </row>
    <row r="728" customFormat="false" ht="15" hidden="false" customHeight="false" outlineLevel="0" collapsed="false">
      <c r="B728" s="309"/>
      <c r="C728" s="310"/>
      <c r="E728" s="70"/>
      <c r="F728" s="69"/>
      <c r="K728" s="70"/>
    </row>
    <row r="729" customFormat="false" ht="15" hidden="false" customHeight="false" outlineLevel="0" collapsed="false">
      <c r="B729" s="309"/>
      <c r="C729" s="310"/>
      <c r="E729" s="70"/>
      <c r="F729" s="69"/>
      <c r="K729" s="70"/>
    </row>
    <row r="730" customFormat="false" ht="15" hidden="false" customHeight="false" outlineLevel="0" collapsed="false">
      <c r="B730" s="309"/>
      <c r="C730" s="310"/>
      <c r="E730" s="70"/>
      <c r="F730" s="69"/>
      <c r="K730" s="70"/>
    </row>
    <row r="731" customFormat="false" ht="15" hidden="false" customHeight="false" outlineLevel="0" collapsed="false">
      <c r="B731" s="309"/>
      <c r="C731" s="310"/>
      <c r="E731" s="70"/>
      <c r="F731" s="69"/>
      <c r="K731" s="70"/>
    </row>
    <row r="732" customFormat="false" ht="15" hidden="false" customHeight="false" outlineLevel="0" collapsed="false">
      <c r="B732" s="309"/>
      <c r="C732" s="310"/>
      <c r="E732" s="70"/>
      <c r="F732" s="69"/>
      <c r="K732" s="70"/>
    </row>
    <row r="733" customFormat="false" ht="15" hidden="false" customHeight="false" outlineLevel="0" collapsed="false">
      <c r="B733" s="309"/>
      <c r="C733" s="310"/>
      <c r="E733" s="70"/>
      <c r="F733" s="69"/>
      <c r="K733" s="70"/>
    </row>
    <row r="734" customFormat="false" ht="15" hidden="false" customHeight="false" outlineLevel="0" collapsed="false">
      <c r="B734" s="309"/>
      <c r="C734" s="310"/>
      <c r="E734" s="70"/>
      <c r="F734" s="69"/>
      <c r="K734" s="70"/>
    </row>
    <row r="735" customFormat="false" ht="15" hidden="false" customHeight="false" outlineLevel="0" collapsed="false">
      <c r="B735" s="309"/>
      <c r="C735" s="310"/>
      <c r="E735" s="70"/>
      <c r="F735" s="69"/>
      <c r="K735" s="70"/>
    </row>
    <row r="736" customFormat="false" ht="15" hidden="false" customHeight="false" outlineLevel="0" collapsed="false">
      <c r="B736" s="309"/>
      <c r="C736" s="310"/>
      <c r="E736" s="70"/>
      <c r="F736" s="69"/>
      <c r="K736" s="70"/>
    </row>
    <row r="737" customFormat="false" ht="15" hidden="false" customHeight="false" outlineLevel="0" collapsed="false">
      <c r="B737" s="309"/>
      <c r="C737" s="310"/>
      <c r="E737" s="70"/>
      <c r="F737" s="69"/>
      <c r="K737" s="70"/>
    </row>
    <row r="738" customFormat="false" ht="15" hidden="false" customHeight="false" outlineLevel="0" collapsed="false">
      <c r="B738" s="309"/>
      <c r="C738" s="310"/>
      <c r="E738" s="70"/>
      <c r="F738" s="69"/>
      <c r="K738" s="70"/>
    </row>
    <row r="739" customFormat="false" ht="15" hidden="false" customHeight="false" outlineLevel="0" collapsed="false">
      <c r="B739" s="309"/>
      <c r="C739" s="310"/>
      <c r="E739" s="70"/>
      <c r="F739" s="69"/>
      <c r="K739" s="70"/>
    </row>
    <row r="740" customFormat="false" ht="15" hidden="false" customHeight="false" outlineLevel="0" collapsed="false">
      <c r="B740" s="309"/>
      <c r="C740" s="310"/>
      <c r="E740" s="70"/>
      <c r="F740" s="69"/>
      <c r="K740" s="70"/>
    </row>
    <row r="741" customFormat="false" ht="15" hidden="false" customHeight="false" outlineLevel="0" collapsed="false">
      <c r="B741" s="309"/>
      <c r="C741" s="310"/>
      <c r="E741" s="70"/>
      <c r="F741" s="69"/>
      <c r="K741" s="70"/>
    </row>
    <row r="742" customFormat="false" ht="15" hidden="false" customHeight="false" outlineLevel="0" collapsed="false">
      <c r="B742" s="309"/>
      <c r="C742" s="310"/>
      <c r="E742" s="70"/>
      <c r="F742" s="69"/>
      <c r="K742" s="70"/>
    </row>
    <row r="743" customFormat="false" ht="15" hidden="false" customHeight="false" outlineLevel="0" collapsed="false">
      <c r="B743" s="309"/>
      <c r="C743" s="310"/>
      <c r="E743" s="70"/>
      <c r="F743" s="69"/>
      <c r="K743" s="70"/>
    </row>
    <row r="744" customFormat="false" ht="15" hidden="false" customHeight="false" outlineLevel="0" collapsed="false">
      <c r="B744" s="309"/>
      <c r="C744" s="310"/>
      <c r="E744" s="70"/>
      <c r="F744" s="69"/>
      <c r="K744" s="70"/>
    </row>
    <row r="745" customFormat="false" ht="15" hidden="false" customHeight="false" outlineLevel="0" collapsed="false">
      <c r="B745" s="309"/>
      <c r="C745" s="310"/>
      <c r="E745" s="70"/>
      <c r="F745" s="69"/>
      <c r="K745" s="70"/>
    </row>
    <row r="746" customFormat="false" ht="15" hidden="false" customHeight="false" outlineLevel="0" collapsed="false">
      <c r="B746" s="309"/>
      <c r="C746" s="310"/>
      <c r="E746" s="70"/>
      <c r="F746" s="69"/>
      <c r="K746" s="70"/>
    </row>
    <row r="747" customFormat="false" ht="15" hidden="false" customHeight="false" outlineLevel="0" collapsed="false">
      <c r="B747" s="309"/>
      <c r="C747" s="310"/>
      <c r="E747" s="70"/>
      <c r="F747" s="69"/>
      <c r="K747" s="70"/>
    </row>
    <row r="748" customFormat="false" ht="15" hidden="false" customHeight="false" outlineLevel="0" collapsed="false">
      <c r="B748" s="309"/>
      <c r="C748" s="310"/>
      <c r="E748" s="70"/>
      <c r="F748" s="69"/>
      <c r="K748" s="70"/>
    </row>
    <row r="749" customFormat="false" ht="15" hidden="false" customHeight="false" outlineLevel="0" collapsed="false">
      <c r="B749" s="309"/>
      <c r="C749" s="310"/>
      <c r="E749" s="70"/>
      <c r="F749" s="69"/>
      <c r="K749" s="70"/>
    </row>
    <row r="750" customFormat="false" ht="15" hidden="false" customHeight="false" outlineLevel="0" collapsed="false">
      <c r="B750" s="309"/>
      <c r="C750" s="310"/>
      <c r="E750" s="70"/>
      <c r="F750" s="69"/>
      <c r="K750" s="70"/>
    </row>
    <row r="751" customFormat="false" ht="15" hidden="false" customHeight="false" outlineLevel="0" collapsed="false">
      <c r="B751" s="309"/>
      <c r="C751" s="310"/>
      <c r="E751" s="70"/>
      <c r="F751" s="69"/>
      <c r="K751" s="70"/>
    </row>
    <row r="752" customFormat="false" ht="15" hidden="false" customHeight="false" outlineLevel="0" collapsed="false">
      <c r="B752" s="309"/>
      <c r="C752" s="310"/>
      <c r="E752" s="70"/>
      <c r="F752" s="69"/>
      <c r="K752" s="70"/>
    </row>
    <row r="753" customFormat="false" ht="15" hidden="false" customHeight="false" outlineLevel="0" collapsed="false">
      <c r="B753" s="309"/>
      <c r="C753" s="310"/>
      <c r="E753" s="70"/>
      <c r="F753" s="69"/>
      <c r="K753" s="70"/>
    </row>
    <row r="754" customFormat="false" ht="15" hidden="false" customHeight="false" outlineLevel="0" collapsed="false">
      <c r="B754" s="309"/>
      <c r="C754" s="310"/>
      <c r="E754" s="70"/>
      <c r="F754" s="69"/>
      <c r="K754" s="70"/>
    </row>
    <row r="755" customFormat="false" ht="15" hidden="false" customHeight="false" outlineLevel="0" collapsed="false">
      <c r="B755" s="309"/>
      <c r="C755" s="310"/>
      <c r="E755" s="70"/>
      <c r="F755" s="69"/>
      <c r="K755" s="70"/>
    </row>
    <row r="756" customFormat="false" ht="15" hidden="false" customHeight="false" outlineLevel="0" collapsed="false">
      <c r="B756" s="309"/>
      <c r="C756" s="310"/>
      <c r="E756" s="70"/>
      <c r="F756" s="69"/>
      <c r="K756" s="70"/>
    </row>
    <row r="757" customFormat="false" ht="15" hidden="false" customHeight="false" outlineLevel="0" collapsed="false">
      <c r="B757" s="309"/>
      <c r="C757" s="310"/>
      <c r="E757" s="70"/>
      <c r="F757" s="69"/>
      <c r="K757" s="70"/>
    </row>
    <row r="758" customFormat="false" ht="15" hidden="false" customHeight="false" outlineLevel="0" collapsed="false">
      <c r="B758" s="309"/>
      <c r="C758" s="310"/>
      <c r="E758" s="70"/>
      <c r="F758" s="69"/>
      <c r="K758" s="70"/>
    </row>
    <row r="759" customFormat="false" ht="15" hidden="false" customHeight="false" outlineLevel="0" collapsed="false">
      <c r="B759" s="309"/>
      <c r="C759" s="310"/>
      <c r="E759" s="70"/>
      <c r="F759" s="69"/>
      <c r="K759" s="70"/>
    </row>
    <row r="760" customFormat="false" ht="15" hidden="false" customHeight="false" outlineLevel="0" collapsed="false">
      <c r="B760" s="309"/>
      <c r="C760" s="310"/>
      <c r="E760" s="70"/>
      <c r="F760" s="69"/>
      <c r="K760" s="70"/>
    </row>
    <row r="761" customFormat="false" ht="15" hidden="false" customHeight="false" outlineLevel="0" collapsed="false">
      <c r="B761" s="309"/>
      <c r="C761" s="310"/>
      <c r="E761" s="70"/>
      <c r="F761" s="69"/>
      <c r="K761" s="70"/>
    </row>
    <row r="762" customFormat="false" ht="15" hidden="false" customHeight="false" outlineLevel="0" collapsed="false">
      <c r="B762" s="309"/>
      <c r="C762" s="310"/>
      <c r="E762" s="70"/>
      <c r="F762" s="69"/>
      <c r="K762" s="70"/>
    </row>
    <row r="763" customFormat="false" ht="15" hidden="false" customHeight="false" outlineLevel="0" collapsed="false">
      <c r="B763" s="309"/>
      <c r="C763" s="310"/>
      <c r="E763" s="70"/>
      <c r="F763" s="69"/>
      <c r="K763" s="70"/>
    </row>
    <row r="764" customFormat="false" ht="15" hidden="false" customHeight="false" outlineLevel="0" collapsed="false">
      <c r="B764" s="309"/>
      <c r="C764" s="310"/>
      <c r="E764" s="70"/>
      <c r="F764" s="69"/>
      <c r="K764" s="70"/>
    </row>
    <row r="765" customFormat="false" ht="15" hidden="false" customHeight="false" outlineLevel="0" collapsed="false">
      <c r="B765" s="309"/>
      <c r="C765" s="310"/>
      <c r="E765" s="70"/>
      <c r="F765" s="69"/>
      <c r="K765" s="70"/>
    </row>
    <row r="766" customFormat="false" ht="15" hidden="false" customHeight="false" outlineLevel="0" collapsed="false">
      <c r="B766" s="309"/>
      <c r="C766" s="310"/>
      <c r="E766" s="70"/>
      <c r="F766" s="69"/>
      <c r="K766" s="70"/>
    </row>
    <row r="767" customFormat="false" ht="15" hidden="false" customHeight="false" outlineLevel="0" collapsed="false">
      <c r="B767" s="309"/>
      <c r="C767" s="310"/>
      <c r="E767" s="70"/>
      <c r="F767" s="69"/>
      <c r="K767" s="70"/>
    </row>
    <row r="768" customFormat="false" ht="15" hidden="false" customHeight="false" outlineLevel="0" collapsed="false">
      <c r="B768" s="309"/>
      <c r="C768" s="310"/>
      <c r="E768" s="70"/>
      <c r="F768" s="69"/>
      <c r="K768" s="70"/>
    </row>
    <row r="769" customFormat="false" ht="15" hidden="false" customHeight="false" outlineLevel="0" collapsed="false">
      <c r="B769" s="309"/>
      <c r="C769" s="310"/>
      <c r="E769" s="70"/>
      <c r="F769" s="69"/>
      <c r="K769" s="70"/>
    </row>
    <row r="770" customFormat="false" ht="15" hidden="false" customHeight="false" outlineLevel="0" collapsed="false">
      <c r="B770" s="309"/>
      <c r="C770" s="310"/>
      <c r="E770" s="70"/>
      <c r="F770" s="69"/>
      <c r="K770" s="70"/>
    </row>
    <row r="771" customFormat="false" ht="15" hidden="false" customHeight="false" outlineLevel="0" collapsed="false">
      <c r="B771" s="309"/>
      <c r="C771" s="310"/>
      <c r="E771" s="70"/>
      <c r="F771" s="69"/>
      <c r="K771" s="70"/>
    </row>
    <row r="772" customFormat="false" ht="15" hidden="false" customHeight="false" outlineLevel="0" collapsed="false">
      <c r="B772" s="309"/>
      <c r="C772" s="310"/>
      <c r="E772" s="70"/>
      <c r="F772" s="69"/>
      <c r="K772" s="70"/>
    </row>
    <row r="773" customFormat="false" ht="15" hidden="false" customHeight="false" outlineLevel="0" collapsed="false">
      <c r="B773" s="309"/>
      <c r="C773" s="310"/>
      <c r="E773" s="70"/>
      <c r="F773" s="69"/>
      <c r="K773" s="70"/>
    </row>
    <row r="774" customFormat="false" ht="15" hidden="false" customHeight="false" outlineLevel="0" collapsed="false">
      <c r="B774" s="309"/>
      <c r="C774" s="310"/>
      <c r="E774" s="70"/>
      <c r="F774" s="69"/>
      <c r="K774" s="70"/>
    </row>
    <row r="775" customFormat="false" ht="15" hidden="false" customHeight="false" outlineLevel="0" collapsed="false">
      <c r="B775" s="309"/>
      <c r="C775" s="310"/>
      <c r="E775" s="70"/>
      <c r="F775" s="69"/>
      <c r="K775" s="70"/>
    </row>
    <row r="776" customFormat="false" ht="15" hidden="false" customHeight="false" outlineLevel="0" collapsed="false">
      <c r="B776" s="309"/>
      <c r="C776" s="310"/>
      <c r="E776" s="70"/>
      <c r="F776" s="69"/>
      <c r="K776" s="70"/>
    </row>
    <row r="777" customFormat="false" ht="15" hidden="false" customHeight="false" outlineLevel="0" collapsed="false">
      <c r="B777" s="309"/>
      <c r="C777" s="310"/>
      <c r="E777" s="70"/>
      <c r="F777" s="69"/>
      <c r="K777" s="70"/>
    </row>
    <row r="778" customFormat="false" ht="15" hidden="false" customHeight="false" outlineLevel="0" collapsed="false">
      <c r="B778" s="309"/>
      <c r="C778" s="310"/>
      <c r="E778" s="70"/>
      <c r="F778" s="69"/>
      <c r="K778" s="70"/>
    </row>
    <row r="779" customFormat="false" ht="15" hidden="false" customHeight="false" outlineLevel="0" collapsed="false">
      <c r="B779" s="309"/>
      <c r="C779" s="310"/>
      <c r="E779" s="70"/>
      <c r="F779" s="69"/>
      <c r="K779" s="70"/>
    </row>
    <row r="780" customFormat="false" ht="15" hidden="false" customHeight="false" outlineLevel="0" collapsed="false">
      <c r="B780" s="309"/>
      <c r="C780" s="310"/>
      <c r="E780" s="70"/>
      <c r="F780" s="69"/>
      <c r="K780" s="70"/>
    </row>
    <row r="781" customFormat="false" ht="15" hidden="false" customHeight="false" outlineLevel="0" collapsed="false">
      <c r="B781" s="309"/>
      <c r="C781" s="310"/>
      <c r="E781" s="70"/>
      <c r="F781" s="69"/>
      <c r="K781" s="70"/>
    </row>
    <row r="782" customFormat="false" ht="15" hidden="false" customHeight="false" outlineLevel="0" collapsed="false">
      <c r="B782" s="309"/>
      <c r="C782" s="310"/>
      <c r="E782" s="70"/>
      <c r="F782" s="69"/>
      <c r="K782" s="70"/>
    </row>
    <row r="783" customFormat="false" ht="15" hidden="false" customHeight="false" outlineLevel="0" collapsed="false">
      <c r="B783" s="309"/>
      <c r="C783" s="310"/>
      <c r="E783" s="70"/>
      <c r="F783" s="69"/>
      <c r="K783" s="70"/>
    </row>
    <row r="784" customFormat="false" ht="15" hidden="false" customHeight="false" outlineLevel="0" collapsed="false">
      <c r="B784" s="309"/>
      <c r="C784" s="310"/>
      <c r="E784" s="70"/>
      <c r="F784" s="69"/>
      <c r="K784" s="70"/>
    </row>
    <row r="785" customFormat="false" ht="15" hidden="false" customHeight="false" outlineLevel="0" collapsed="false">
      <c r="B785" s="309"/>
      <c r="C785" s="310"/>
      <c r="E785" s="70"/>
      <c r="F785" s="69"/>
      <c r="K785" s="70"/>
    </row>
    <row r="786" customFormat="false" ht="15" hidden="false" customHeight="false" outlineLevel="0" collapsed="false">
      <c r="B786" s="309"/>
      <c r="C786" s="310"/>
      <c r="E786" s="70"/>
      <c r="F786" s="69"/>
      <c r="K786" s="70"/>
    </row>
    <row r="787" customFormat="false" ht="15" hidden="false" customHeight="false" outlineLevel="0" collapsed="false">
      <c r="B787" s="309"/>
      <c r="C787" s="310"/>
      <c r="E787" s="70"/>
      <c r="F787" s="69"/>
      <c r="K787" s="70"/>
    </row>
    <row r="788" customFormat="false" ht="15" hidden="false" customHeight="false" outlineLevel="0" collapsed="false">
      <c r="B788" s="309"/>
      <c r="C788" s="310"/>
      <c r="E788" s="70"/>
      <c r="F788" s="69"/>
      <c r="K788" s="70"/>
    </row>
    <row r="789" customFormat="false" ht="15" hidden="false" customHeight="false" outlineLevel="0" collapsed="false">
      <c r="B789" s="309"/>
      <c r="C789" s="310"/>
      <c r="E789" s="70"/>
      <c r="F789" s="69"/>
      <c r="K789" s="70"/>
    </row>
    <row r="790" customFormat="false" ht="15" hidden="false" customHeight="false" outlineLevel="0" collapsed="false">
      <c r="B790" s="309"/>
      <c r="C790" s="310"/>
      <c r="E790" s="70"/>
      <c r="F790" s="69"/>
      <c r="K790" s="70"/>
    </row>
    <row r="791" customFormat="false" ht="15" hidden="false" customHeight="false" outlineLevel="0" collapsed="false">
      <c r="B791" s="309"/>
      <c r="C791" s="310"/>
      <c r="E791" s="70"/>
      <c r="F791" s="69"/>
      <c r="K791" s="70"/>
    </row>
    <row r="792" customFormat="false" ht="15" hidden="false" customHeight="false" outlineLevel="0" collapsed="false">
      <c r="B792" s="309"/>
      <c r="C792" s="310"/>
      <c r="E792" s="70"/>
      <c r="F792" s="69"/>
      <c r="K792" s="70"/>
    </row>
    <row r="793" customFormat="false" ht="15" hidden="false" customHeight="false" outlineLevel="0" collapsed="false">
      <c r="B793" s="309"/>
      <c r="C793" s="310"/>
      <c r="E793" s="70"/>
      <c r="F793" s="69"/>
      <c r="K793" s="70"/>
    </row>
    <row r="794" customFormat="false" ht="15" hidden="false" customHeight="false" outlineLevel="0" collapsed="false">
      <c r="B794" s="309"/>
      <c r="C794" s="310"/>
      <c r="E794" s="70"/>
      <c r="F794" s="69"/>
      <c r="K794" s="70"/>
    </row>
    <row r="795" customFormat="false" ht="15" hidden="false" customHeight="false" outlineLevel="0" collapsed="false">
      <c r="B795" s="309"/>
      <c r="C795" s="310"/>
      <c r="E795" s="70"/>
      <c r="F795" s="69"/>
      <c r="K795" s="70"/>
    </row>
    <row r="796" customFormat="false" ht="15" hidden="false" customHeight="false" outlineLevel="0" collapsed="false">
      <c r="B796" s="309"/>
      <c r="C796" s="310"/>
      <c r="E796" s="70"/>
      <c r="F796" s="69"/>
      <c r="K796" s="70"/>
    </row>
    <row r="797" customFormat="false" ht="15" hidden="false" customHeight="false" outlineLevel="0" collapsed="false">
      <c r="B797" s="309"/>
      <c r="C797" s="310"/>
      <c r="E797" s="70"/>
      <c r="F797" s="69"/>
      <c r="K797" s="70"/>
    </row>
    <row r="798" customFormat="false" ht="15" hidden="false" customHeight="false" outlineLevel="0" collapsed="false">
      <c r="B798" s="309"/>
      <c r="C798" s="310"/>
      <c r="E798" s="70"/>
      <c r="F798" s="69"/>
      <c r="K798" s="70"/>
    </row>
    <row r="799" customFormat="false" ht="15" hidden="false" customHeight="false" outlineLevel="0" collapsed="false">
      <c r="B799" s="309"/>
      <c r="C799" s="310"/>
      <c r="E799" s="70"/>
      <c r="F799" s="69"/>
      <c r="K799" s="70"/>
    </row>
    <row r="800" customFormat="false" ht="15" hidden="false" customHeight="false" outlineLevel="0" collapsed="false">
      <c r="B800" s="309"/>
      <c r="C800" s="310"/>
      <c r="E800" s="70"/>
      <c r="F800" s="69"/>
      <c r="K800" s="70"/>
    </row>
    <row r="801" customFormat="false" ht="15" hidden="false" customHeight="false" outlineLevel="0" collapsed="false">
      <c r="B801" s="309"/>
      <c r="C801" s="310"/>
      <c r="E801" s="70"/>
      <c r="F801" s="69"/>
      <c r="K801" s="70"/>
    </row>
    <row r="802" customFormat="false" ht="15" hidden="false" customHeight="false" outlineLevel="0" collapsed="false">
      <c r="B802" s="309"/>
      <c r="C802" s="310"/>
      <c r="E802" s="70"/>
      <c r="F802" s="69"/>
      <c r="K802" s="70"/>
    </row>
    <row r="803" customFormat="false" ht="15" hidden="false" customHeight="false" outlineLevel="0" collapsed="false">
      <c r="B803" s="309"/>
      <c r="C803" s="310"/>
      <c r="E803" s="70"/>
      <c r="F803" s="69"/>
      <c r="K803" s="70"/>
    </row>
    <row r="804" customFormat="false" ht="15" hidden="false" customHeight="false" outlineLevel="0" collapsed="false">
      <c r="B804" s="309"/>
      <c r="C804" s="310"/>
      <c r="E804" s="70"/>
      <c r="F804" s="69"/>
      <c r="K804" s="70"/>
    </row>
    <row r="805" customFormat="false" ht="15" hidden="false" customHeight="false" outlineLevel="0" collapsed="false">
      <c r="B805" s="309"/>
      <c r="C805" s="310"/>
      <c r="E805" s="70"/>
      <c r="F805" s="69"/>
      <c r="K805" s="70"/>
    </row>
    <row r="806" customFormat="false" ht="15" hidden="false" customHeight="false" outlineLevel="0" collapsed="false">
      <c r="B806" s="309"/>
      <c r="C806" s="310"/>
      <c r="E806" s="70"/>
      <c r="F806" s="69"/>
      <c r="K806" s="70"/>
    </row>
    <row r="807" customFormat="false" ht="15" hidden="false" customHeight="false" outlineLevel="0" collapsed="false">
      <c r="B807" s="309"/>
      <c r="C807" s="310"/>
      <c r="E807" s="70"/>
      <c r="F807" s="69"/>
      <c r="K807" s="70"/>
    </row>
    <row r="808" customFormat="false" ht="15" hidden="false" customHeight="false" outlineLevel="0" collapsed="false">
      <c r="B808" s="309"/>
      <c r="C808" s="310"/>
      <c r="E808" s="70"/>
      <c r="F808" s="69"/>
      <c r="K808" s="70"/>
    </row>
    <row r="809" customFormat="false" ht="15" hidden="false" customHeight="false" outlineLevel="0" collapsed="false">
      <c r="B809" s="309"/>
      <c r="C809" s="310"/>
      <c r="E809" s="70"/>
      <c r="F809" s="69"/>
      <c r="K809" s="70"/>
    </row>
    <row r="810" customFormat="false" ht="15" hidden="false" customHeight="false" outlineLevel="0" collapsed="false">
      <c r="B810" s="309"/>
      <c r="C810" s="310"/>
      <c r="E810" s="70"/>
      <c r="F810" s="69"/>
      <c r="K810" s="70"/>
    </row>
    <row r="811" customFormat="false" ht="15" hidden="false" customHeight="false" outlineLevel="0" collapsed="false">
      <c r="B811" s="309"/>
      <c r="C811" s="310"/>
      <c r="E811" s="70"/>
      <c r="F811" s="69"/>
      <c r="K811" s="70"/>
    </row>
    <row r="812" customFormat="false" ht="15" hidden="false" customHeight="false" outlineLevel="0" collapsed="false">
      <c r="B812" s="309"/>
      <c r="C812" s="310"/>
      <c r="E812" s="70"/>
      <c r="F812" s="69"/>
      <c r="K812" s="70"/>
    </row>
    <row r="813" customFormat="false" ht="15" hidden="false" customHeight="false" outlineLevel="0" collapsed="false">
      <c r="B813" s="309"/>
      <c r="C813" s="310"/>
      <c r="E813" s="70"/>
      <c r="F813" s="69"/>
      <c r="K813" s="70"/>
    </row>
    <row r="814" customFormat="false" ht="15" hidden="false" customHeight="false" outlineLevel="0" collapsed="false">
      <c r="B814" s="309"/>
      <c r="C814" s="310"/>
      <c r="E814" s="70"/>
      <c r="F814" s="69"/>
      <c r="K814" s="70"/>
    </row>
    <row r="815" customFormat="false" ht="15" hidden="false" customHeight="false" outlineLevel="0" collapsed="false">
      <c r="B815" s="309"/>
      <c r="C815" s="310"/>
      <c r="E815" s="70"/>
      <c r="F815" s="69"/>
      <c r="K815" s="70"/>
    </row>
    <row r="816" customFormat="false" ht="15" hidden="false" customHeight="false" outlineLevel="0" collapsed="false">
      <c r="B816" s="309"/>
      <c r="C816" s="310"/>
      <c r="E816" s="70"/>
      <c r="F816" s="69"/>
      <c r="K816" s="70"/>
    </row>
    <row r="817" customFormat="false" ht="15" hidden="false" customHeight="false" outlineLevel="0" collapsed="false">
      <c r="B817" s="309"/>
      <c r="C817" s="310"/>
      <c r="E817" s="70"/>
      <c r="F817" s="69"/>
      <c r="K817" s="70"/>
    </row>
    <row r="818" customFormat="false" ht="15" hidden="false" customHeight="false" outlineLevel="0" collapsed="false">
      <c r="B818" s="309"/>
      <c r="C818" s="310"/>
      <c r="E818" s="70"/>
      <c r="F818" s="69"/>
      <c r="K818" s="70"/>
    </row>
    <row r="819" customFormat="false" ht="15" hidden="false" customHeight="false" outlineLevel="0" collapsed="false">
      <c r="B819" s="309"/>
      <c r="C819" s="310"/>
      <c r="E819" s="70"/>
      <c r="F819" s="69"/>
      <c r="K819" s="70"/>
    </row>
    <row r="820" customFormat="false" ht="15" hidden="false" customHeight="false" outlineLevel="0" collapsed="false">
      <c r="B820" s="309"/>
      <c r="C820" s="310"/>
      <c r="E820" s="70"/>
      <c r="F820" s="69"/>
      <c r="K820" s="70"/>
    </row>
    <row r="821" customFormat="false" ht="15" hidden="false" customHeight="false" outlineLevel="0" collapsed="false">
      <c r="B821" s="309"/>
      <c r="C821" s="310"/>
      <c r="E821" s="70"/>
      <c r="F821" s="69"/>
      <c r="K821" s="70"/>
    </row>
    <row r="822" customFormat="false" ht="15" hidden="false" customHeight="false" outlineLevel="0" collapsed="false">
      <c r="B822" s="309"/>
      <c r="C822" s="310"/>
      <c r="E822" s="70"/>
      <c r="F822" s="69"/>
      <c r="K822" s="70"/>
    </row>
    <row r="823" customFormat="false" ht="15" hidden="false" customHeight="false" outlineLevel="0" collapsed="false">
      <c r="B823" s="309"/>
      <c r="C823" s="310"/>
      <c r="E823" s="70"/>
      <c r="F823" s="69"/>
      <c r="K823" s="70"/>
    </row>
    <row r="824" customFormat="false" ht="15" hidden="false" customHeight="false" outlineLevel="0" collapsed="false">
      <c r="B824" s="309"/>
      <c r="C824" s="310"/>
      <c r="E824" s="70"/>
      <c r="F824" s="69"/>
      <c r="K824" s="70"/>
    </row>
    <row r="825" customFormat="false" ht="15" hidden="false" customHeight="false" outlineLevel="0" collapsed="false">
      <c r="B825" s="309"/>
      <c r="C825" s="310"/>
      <c r="E825" s="70"/>
      <c r="F825" s="69"/>
      <c r="K825" s="70"/>
    </row>
    <row r="826" customFormat="false" ht="15" hidden="false" customHeight="false" outlineLevel="0" collapsed="false">
      <c r="B826" s="309"/>
      <c r="C826" s="310"/>
      <c r="E826" s="70"/>
      <c r="F826" s="69"/>
      <c r="K826" s="70"/>
    </row>
    <row r="827" customFormat="false" ht="15" hidden="false" customHeight="false" outlineLevel="0" collapsed="false">
      <c r="B827" s="309"/>
      <c r="C827" s="310"/>
      <c r="E827" s="70"/>
      <c r="F827" s="69"/>
      <c r="K827" s="70"/>
    </row>
    <row r="828" customFormat="false" ht="15" hidden="false" customHeight="false" outlineLevel="0" collapsed="false">
      <c r="B828" s="309"/>
      <c r="C828" s="310"/>
      <c r="E828" s="70"/>
      <c r="F828" s="69"/>
      <c r="K828" s="70"/>
    </row>
    <row r="829" customFormat="false" ht="15" hidden="false" customHeight="false" outlineLevel="0" collapsed="false">
      <c r="B829" s="309"/>
      <c r="C829" s="310"/>
      <c r="E829" s="70"/>
      <c r="F829" s="69"/>
      <c r="K829" s="70"/>
    </row>
    <row r="830" customFormat="false" ht="15" hidden="false" customHeight="false" outlineLevel="0" collapsed="false">
      <c r="B830" s="309"/>
      <c r="C830" s="310"/>
      <c r="E830" s="70"/>
      <c r="F830" s="69"/>
      <c r="K830" s="70"/>
    </row>
    <row r="831" customFormat="false" ht="15" hidden="false" customHeight="false" outlineLevel="0" collapsed="false">
      <c r="B831" s="309"/>
      <c r="C831" s="310"/>
      <c r="E831" s="70"/>
      <c r="F831" s="69"/>
      <c r="K831" s="70"/>
    </row>
    <row r="832" customFormat="false" ht="15" hidden="false" customHeight="false" outlineLevel="0" collapsed="false">
      <c r="B832" s="309"/>
      <c r="C832" s="310"/>
      <c r="E832" s="70"/>
      <c r="F832" s="69"/>
      <c r="K832" s="70"/>
    </row>
    <row r="833" customFormat="false" ht="15" hidden="false" customHeight="false" outlineLevel="0" collapsed="false">
      <c r="B833" s="309"/>
      <c r="C833" s="310"/>
      <c r="E833" s="70"/>
      <c r="F833" s="69"/>
      <c r="K833" s="70"/>
    </row>
    <row r="834" customFormat="false" ht="15" hidden="false" customHeight="false" outlineLevel="0" collapsed="false">
      <c r="B834" s="309"/>
      <c r="C834" s="310"/>
      <c r="E834" s="70"/>
      <c r="F834" s="69"/>
      <c r="K834" s="70"/>
    </row>
    <row r="835" customFormat="false" ht="15" hidden="false" customHeight="false" outlineLevel="0" collapsed="false">
      <c r="B835" s="309"/>
      <c r="C835" s="310"/>
      <c r="E835" s="70"/>
      <c r="F835" s="69"/>
      <c r="K835" s="70"/>
    </row>
    <row r="836" customFormat="false" ht="15" hidden="false" customHeight="false" outlineLevel="0" collapsed="false">
      <c r="B836" s="309"/>
      <c r="C836" s="310"/>
      <c r="E836" s="70"/>
      <c r="F836" s="69"/>
      <c r="K836" s="70"/>
    </row>
    <row r="837" customFormat="false" ht="15" hidden="false" customHeight="false" outlineLevel="0" collapsed="false">
      <c r="B837" s="309"/>
      <c r="C837" s="310"/>
      <c r="E837" s="70"/>
      <c r="F837" s="69"/>
      <c r="K837" s="70"/>
    </row>
    <row r="838" customFormat="false" ht="15" hidden="false" customHeight="false" outlineLevel="0" collapsed="false">
      <c r="B838" s="309"/>
      <c r="C838" s="310"/>
      <c r="E838" s="70"/>
      <c r="F838" s="69"/>
      <c r="K838" s="70"/>
    </row>
    <row r="839" customFormat="false" ht="15" hidden="false" customHeight="false" outlineLevel="0" collapsed="false">
      <c r="B839" s="309"/>
      <c r="C839" s="310"/>
      <c r="E839" s="70"/>
      <c r="F839" s="69"/>
      <c r="K839" s="70"/>
    </row>
    <row r="840" customFormat="false" ht="15" hidden="false" customHeight="false" outlineLevel="0" collapsed="false">
      <c r="B840" s="309"/>
      <c r="C840" s="310"/>
      <c r="E840" s="70"/>
      <c r="F840" s="69"/>
      <c r="K840" s="70"/>
    </row>
    <row r="841" customFormat="false" ht="15" hidden="false" customHeight="false" outlineLevel="0" collapsed="false">
      <c r="B841" s="309"/>
      <c r="C841" s="310"/>
      <c r="E841" s="70"/>
      <c r="F841" s="69"/>
      <c r="K841" s="70"/>
    </row>
    <row r="842" customFormat="false" ht="15" hidden="false" customHeight="false" outlineLevel="0" collapsed="false">
      <c r="B842" s="309"/>
      <c r="C842" s="310"/>
      <c r="E842" s="70"/>
      <c r="F842" s="69"/>
      <c r="K842" s="70"/>
    </row>
    <row r="843" customFormat="false" ht="15" hidden="false" customHeight="false" outlineLevel="0" collapsed="false">
      <c r="B843" s="309"/>
      <c r="C843" s="310"/>
      <c r="E843" s="70"/>
      <c r="F843" s="69"/>
      <c r="K843" s="70"/>
    </row>
    <row r="844" customFormat="false" ht="15" hidden="false" customHeight="false" outlineLevel="0" collapsed="false">
      <c r="B844" s="309"/>
      <c r="C844" s="310"/>
      <c r="E844" s="70"/>
      <c r="F844" s="69"/>
      <c r="K844" s="70"/>
    </row>
    <row r="845" customFormat="false" ht="15" hidden="false" customHeight="false" outlineLevel="0" collapsed="false">
      <c r="B845" s="309"/>
      <c r="C845" s="310"/>
      <c r="E845" s="70"/>
      <c r="F845" s="69"/>
      <c r="K845" s="70"/>
    </row>
    <row r="846" customFormat="false" ht="15" hidden="false" customHeight="false" outlineLevel="0" collapsed="false">
      <c r="B846" s="309"/>
      <c r="C846" s="310"/>
      <c r="E846" s="70"/>
      <c r="F846" s="69"/>
      <c r="K846" s="70"/>
    </row>
    <row r="847" customFormat="false" ht="15" hidden="false" customHeight="false" outlineLevel="0" collapsed="false">
      <c r="B847" s="309"/>
      <c r="C847" s="310"/>
      <c r="E847" s="70"/>
      <c r="F847" s="69"/>
      <c r="K847" s="70"/>
    </row>
    <row r="848" customFormat="false" ht="15" hidden="false" customHeight="false" outlineLevel="0" collapsed="false">
      <c r="B848" s="309"/>
      <c r="C848" s="310"/>
      <c r="E848" s="70"/>
      <c r="F848" s="69"/>
      <c r="K848" s="70"/>
    </row>
    <row r="849" customFormat="false" ht="15" hidden="false" customHeight="false" outlineLevel="0" collapsed="false">
      <c r="B849" s="309"/>
      <c r="C849" s="310"/>
      <c r="E849" s="70"/>
      <c r="F849" s="69"/>
      <c r="K849" s="70"/>
    </row>
    <row r="850" customFormat="false" ht="15" hidden="false" customHeight="false" outlineLevel="0" collapsed="false">
      <c r="B850" s="309"/>
      <c r="C850" s="310"/>
      <c r="E850" s="70"/>
      <c r="F850" s="69"/>
      <c r="K850" s="70"/>
    </row>
    <row r="851" customFormat="false" ht="15" hidden="false" customHeight="false" outlineLevel="0" collapsed="false">
      <c r="B851" s="309"/>
      <c r="C851" s="310"/>
      <c r="E851" s="70"/>
      <c r="F851" s="69"/>
      <c r="K851" s="70"/>
    </row>
    <row r="852" customFormat="false" ht="15" hidden="false" customHeight="false" outlineLevel="0" collapsed="false">
      <c r="B852" s="309"/>
      <c r="C852" s="310"/>
      <c r="E852" s="70"/>
      <c r="F852" s="69"/>
      <c r="K852" s="70"/>
    </row>
    <row r="853" customFormat="false" ht="15" hidden="false" customHeight="false" outlineLevel="0" collapsed="false">
      <c r="B853" s="309"/>
      <c r="C853" s="310"/>
      <c r="E853" s="70"/>
      <c r="F853" s="69"/>
      <c r="K853" s="70"/>
    </row>
    <row r="854" customFormat="false" ht="15" hidden="false" customHeight="false" outlineLevel="0" collapsed="false">
      <c r="B854" s="309"/>
      <c r="C854" s="310"/>
      <c r="E854" s="70"/>
      <c r="F854" s="69"/>
      <c r="K854" s="70"/>
    </row>
    <row r="855" customFormat="false" ht="15" hidden="false" customHeight="false" outlineLevel="0" collapsed="false">
      <c r="B855" s="309"/>
      <c r="C855" s="310"/>
      <c r="E855" s="70"/>
      <c r="F855" s="69"/>
      <c r="K855" s="70"/>
    </row>
    <row r="856" customFormat="false" ht="15" hidden="false" customHeight="false" outlineLevel="0" collapsed="false">
      <c r="B856" s="309"/>
      <c r="C856" s="310"/>
      <c r="E856" s="70"/>
      <c r="F856" s="69"/>
      <c r="K856" s="70"/>
    </row>
    <row r="857" customFormat="false" ht="15" hidden="false" customHeight="false" outlineLevel="0" collapsed="false">
      <c r="B857" s="309"/>
      <c r="C857" s="310"/>
      <c r="E857" s="70"/>
      <c r="F857" s="69"/>
      <c r="K857" s="70"/>
    </row>
    <row r="858" customFormat="false" ht="15" hidden="false" customHeight="false" outlineLevel="0" collapsed="false">
      <c r="B858" s="309"/>
      <c r="C858" s="310"/>
      <c r="E858" s="70"/>
      <c r="F858" s="69"/>
      <c r="K858" s="70"/>
    </row>
    <row r="859" customFormat="false" ht="15" hidden="false" customHeight="false" outlineLevel="0" collapsed="false">
      <c r="B859" s="309"/>
      <c r="C859" s="310"/>
      <c r="E859" s="70"/>
      <c r="F859" s="69"/>
      <c r="K859" s="70"/>
    </row>
    <row r="860" customFormat="false" ht="15" hidden="false" customHeight="false" outlineLevel="0" collapsed="false">
      <c r="B860" s="309"/>
      <c r="C860" s="310"/>
      <c r="E860" s="70"/>
      <c r="F860" s="69"/>
      <c r="K860" s="70"/>
    </row>
    <row r="861" customFormat="false" ht="15" hidden="false" customHeight="false" outlineLevel="0" collapsed="false">
      <c r="B861" s="309"/>
      <c r="C861" s="310"/>
      <c r="E861" s="70"/>
      <c r="F861" s="69"/>
      <c r="K861" s="70"/>
    </row>
    <row r="862" customFormat="false" ht="15" hidden="false" customHeight="false" outlineLevel="0" collapsed="false">
      <c r="B862" s="309"/>
      <c r="C862" s="310"/>
      <c r="E862" s="70"/>
      <c r="F862" s="69"/>
      <c r="K862" s="70"/>
    </row>
    <row r="863" customFormat="false" ht="15" hidden="false" customHeight="false" outlineLevel="0" collapsed="false">
      <c r="B863" s="309"/>
      <c r="C863" s="310"/>
      <c r="E863" s="70"/>
      <c r="F863" s="69"/>
      <c r="K863" s="70"/>
    </row>
    <row r="864" customFormat="false" ht="15" hidden="false" customHeight="false" outlineLevel="0" collapsed="false">
      <c r="B864" s="309"/>
      <c r="C864" s="310"/>
      <c r="E864" s="70"/>
      <c r="F864" s="69"/>
      <c r="K864" s="70"/>
    </row>
    <row r="865" customFormat="false" ht="15" hidden="false" customHeight="false" outlineLevel="0" collapsed="false">
      <c r="B865" s="309"/>
      <c r="C865" s="310"/>
      <c r="E865" s="70"/>
      <c r="F865" s="69"/>
      <c r="K865" s="70"/>
    </row>
    <row r="866" customFormat="false" ht="15" hidden="false" customHeight="false" outlineLevel="0" collapsed="false">
      <c r="B866" s="309"/>
      <c r="C866" s="310"/>
      <c r="E866" s="70"/>
      <c r="F866" s="69"/>
      <c r="K866" s="70"/>
    </row>
    <row r="867" customFormat="false" ht="15" hidden="false" customHeight="false" outlineLevel="0" collapsed="false">
      <c r="B867" s="309"/>
      <c r="C867" s="310"/>
      <c r="E867" s="70"/>
      <c r="F867" s="69"/>
      <c r="K867" s="70"/>
    </row>
    <row r="868" customFormat="false" ht="15" hidden="false" customHeight="false" outlineLevel="0" collapsed="false">
      <c r="B868" s="309"/>
      <c r="C868" s="310"/>
      <c r="E868" s="70"/>
      <c r="F868" s="69"/>
      <c r="K868" s="70"/>
    </row>
    <row r="869" customFormat="false" ht="15" hidden="false" customHeight="false" outlineLevel="0" collapsed="false">
      <c r="B869" s="309"/>
      <c r="C869" s="310"/>
      <c r="E869" s="70"/>
      <c r="F869" s="69"/>
      <c r="K869" s="70"/>
    </row>
    <row r="870" customFormat="false" ht="15" hidden="false" customHeight="false" outlineLevel="0" collapsed="false">
      <c r="B870" s="309"/>
      <c r="C870" s="310"/>
      <c r="E870" s="70"/>
      <c r="F870" s="69"/>
      <c r="K870" s="70"/>
    </row>
    <row r="871" customFormat="false" ht="15" hidden="false" customHeight="false" outlineLevel="0" collapsed="false">
      <c r="B871" s="309"/>
      <c r="C871" s="310"/>
      <c r="E871" s="70"/>
      <c r="F871" s="69"/>
      <c r="K871" s="70"/>
    </row>
    <row r="872" customFormat="false" ht="15" hidden="false" customHeight="false" outlineLevel="0" collapsed="false">
      <c r="B872" s="309"/>
      <c r="C872" s="310"/>
      <c r="E872" s="70"/>
      <c r="F872" s="69"/>
      <c r="K872" s="70"/>
    </row>
    <row r="873" customFormat="false" ht="15" hidden="false" customHeight="false" outlineLevel="0" collapsed="false">
      <c r="B873" s="309"/>
      <c r="C873" s="310"/>
      <c r="E873" s="70"/>
      <c r="F873" s="69"/>
      <c r="K873" s="70"/>
    </row>
    <row r="874" customFormat="false" ht="15" hidden="false" customHeight="false" outlineLevel="0" collapsed="false">
      <c r="B874" s="309"/>
      <c r="C874" s="310"/>
      <c r="E874" s="70"/>
      <c r="F874" s="69"/>
      <c r="K874" s="70"/>
    </row>
    <row r="875" customFormat="false" ht="15" hidden="false" customHeight="false" outlineLevel="0" collapsed="false">
      <c r="B875" s="309"/>
      <c r="C875" s="310"/>
      <c r="E875" s="70"/>
      <c r="F875" s="69"/>
      <c r="K875" s="70"/>
    </row>
    <row r="876" customFormat="false" ht="15" hidden="false" customHeight="false" outlineLevel="0" collapsed="false">
      <c r="B876" s="309"/>
      <c r="C876" s="310"/>
      <c r="E876" s="70"/>
      <c r="F876" s="69"/>
      <c r="K876" s="70"/>
    </row>
    <row r="877" customFormat="false" ht="15" hidden="false" customHeight="false" outlineLevel="0" collapsed="false">
      <c r="B877" s="309"/>
      <c r="C877" s="310"/>
      <c r="E877" s="70"/>
      <c r="F877" s="69"/>
      <c r="K877" s="70"/>
    </row>
    <row r="878" customFormat="false" ht="15" hidden="false" customHeight="false" outlineLevel="0" collapsed="false">
      <c r="B878" s="309"/>
      <c r="C878" s="310"/>
      <c r="E878" s="70"/>
      <c r="F878" s="69"/>
      <c r="K878" s="70"/>
    </row>
    <row r="879" customFormat="false" ht="15" hidden="false" customHeight="false" outlineLevel="0" collapsed="false">
      <c r="B879" s="309"/>
      <c r="C879" s="310"/>
      <c r="E879" s="70"/>
      <c r="F879" s="69"/>
      <c r="K879" s="70"/>
    </row>
    <row r="880" customFormat="false" ht="15" hidden="false" customHeight="false" outlineLevel="0" collapsed="false">
      <c r="B880" s="309"/>
      <c r="C880" s="310"/>
      <c r="E880" s="70"/>
      <c r="F880" s="69"/>
      <c r="K880" s="70"/>
    </row>
    <row r="881" customFormat="false" ht="15" hidden="false" customHeight="false" outlineLevel="0" collapsed="false">
      <c r="B881" s="309"/>
      <c r="C881" s="310"/>
      <c r="E881" s="70"/>
      <c r="F881" s="69"/>
      <c r="K881" s="70"/>
    </row>
    <row r="882" customFormat="false" ht="15" hidden="false" customHeight="false" outlineLevel="0" collapsed="false">
      <c r="B882" s="309"/>
      <c r="C882" s="310"/>
      <c r="E882" s="70"/>
      <c r="F882" s="69"/>
      <c r="K882" s="70"/>
    </row>
    <row r="883" customFormat="false" ht="15" hidden="false" customHeight="false" outlineLevel="0" collapsed="false">
      <c r="B883" s="309"/>
      <c r="C883" s="310"/>
      <c r="E883" s="70"/>
      <c r="F883" s="69"/>
      <c r="K883" s="70"/>
    </row>
    <row r="884" customFormat="false" ht="15" hidden="false" customHeight="false" outlineLevel="0" collapsed="false">
      <c r="B884" s="309"/>
      <c r="C884" s="310"/>
      <c r="E884" s="70"/>
      <c r="F884" s="69"/>
      <c r="K884" s="70"/>
    </row>
    <row r="885" customFormat="false" ht="15" hidden="false" customHeight="false" outlineLevel="0" collapsed="false">
      <c r="B885" s="309"/>
      <c r="C885" s="310"/>
      <c r="E885" s="70"/>
      <c r="F885" s="69"/>
      <c r="K885" s="70"/>
    </row>
    <row r="886" customFormat="false" ht="15" hidden="false" customHeight="false" outlineLevel="0" collapsed="false">
      <c r="B886" s="309"/>
      <c r="C886" s="310"/>
      <c r="E886" s="70"/>
      <c r="F886" s="69"/>
      <c r="K886" s="70"/>
    </row>
    <row r="887" customFormat="false" ht="15" hidden="false" customHeight="false" outlineLevel="0" collapsed="false">
      <c r="B887" s="309"/>
      <c r="C887" s="310"/>
      <c r="E887" s="70"/>
      <c r="F887" s="69"/>
      <c r="K887" s="70"/>
    </row>
    <row r="888" customFormat="false" ht="15" hidden="false" customHeight="false" outlineLevel="0" collapsed="false">
      <c r="B888" s="309"/>
      <c r="C888" s="310"/>
      <c r="E888" s="70"/>
      <c r="F888" s="69"/>
      <c r="K888" s="70"/>
    </row>
    <row r="889" customFormat="false" ht="15" hidden="false" customHeight="false" outlineLevel="0" collapsed="false">
      <c r="B889" s="309"/>
      <c r="C889" s="310"/>
      <c r="E889" s="70"/>
      <c r="F889" s="69"/>
      <c r="K889" s="70"/>
    </row>
    <row r="890" customFormat="false" ht="15" hidden="false" customHeight="false" outlineLevel="0" collapsed="false">
      <c r="B890" s="309"/>
      <c r="C890" s="310"/>
      <c r="E890" s="70"/>
      <c r="F890" s="69"/>
      <c r="K890" s="70"/>
    </row>
    <row r="891" customFormat="false" ht="15" hidden="false" customHeight="false" outlineLevel="0" collapsed="false">
      <c r="B891" s="309"/>
      <c r="C891" s="310"/>
      <c r="E891" s="70"/>
      <c r="F891" s="69"/>
      <c r="K891" s="70"/>
    </row>
    <row r="892" customFormat="false" ht="15" hidden="false" customHeight="false" outlineLevel="0" collapsed="false">
      <c r="B892" s="309"/>
      <c r="C892" s="310"/>
      <c r="E892" s="70"/>
      <c r="F892" s="69"/>
      <c r="K892" s="70"/>
    </row>
    <row r="893" customFormat="false" ht="15" hidden="false" customHeight="false" outlineLevel="0" collapsed="false">
      <c r="B893" s="309"/>
      <c r="C893" s="310"/>
      <c r="E893" s="70"/>
      <c r="F893" s="69"/>
      <c r="K893" s="70"/>
    </row>
    <row r="894" customFormat="false" ht="15" hidden="false" customHeight="false" outlineLevel="0" collapsed="false">
      <c r="B894" s="309"/>
      <c r="C894" s="310"/>
      <c r="E894" s="70"/>
      <c r="F894" s="69"/>
      <c r="K894" s="70"/>
    </row>
    <row r="895" customFormat="false" ht="15" hidden="false" customHeight="false" outlineLevel="0" collapsed="false">
      <c r="B895" s="309"/>
      <c r="C895" s="310"/>
      <c r="E895" s="70"/>
      <c r="F895" s="69"/>
      <c r="K895" s="70"/>
    </row>
    <row r="896" customFormat="false" ht="15" hidden="false" customHeight="false" outlineLevel="0" collapsed="false">
      <c r="B896" s="309"/>
      <c r="C896" s="310"/>
      <c r="E896" s="70"/>
      <c r="F896" s="69"/>
      <c r="K896" s="70"/>
    </row>
    <row r="897" customFormat="false" ht="15" hidden="false" customHeight="false" outlineLevel="0" collapsed="false">
      <c r="B897" s="309"/>
      <c r="C897" s="310"/>
      <c r="E897" s="70"/>
      <c r="F897" s="69"/>
      <c r="K897" s="70"/>
    </row>
    <row r="898" customFormat="false" ht="15" hidden="false" customHeight="false" outlineLevel="0" collapsed="false">
      <c r="B898" s="309"/>
      <c r="C898" s="310"/>
      <c r="E898" s="70"/>
      <c r="F898" s="69"/>
      <c r="K898" s="70"/>
    </row>
    <row r="899" customFormat="false" ht="15" hidden="false" customHeight="false" outlineLevel="0" collapsed="false">
      <c r="B899" s="309"/>
      <c r="C899" s="310"/>
      <c r="E899" s="70"/>
      <c r="F899" s="69"/>
      <c r="K899" s="70"/>
    </row>
    <row r="900" customFormat="false" ht="15" hidden="false" customHeight="false" outlineLevel="0" collapsed="false">
      <c r="B900" s="309"/>
      <c r="C900" s="310"/>
      <c r="E900" s="70"/>
      <c r="F900" s="69"/>
      <c r="K900" s="70"/>
    </row>
    <row r="901" customFormat="false" ht="15" hidden="false" customHeight="false" outlineLevel="0" collapsed="false">
      <c r="B901" s="309"/>
      <c r="C901" s="310"/>
      <c r="E901" s="70"/>
      <c r="F901" s="69"/>
      <c r="K901" s="70"/>
    </row>
    <row r="902" customFormat="false" ht="15" hidden="false" customHeight="false" outlineLevel="0" collapsed="false">
      <c r="B902" s="309"/>
      <c r="C902" s="310"/>
      <c r="E902" s="70"/>
      <c r="F902" s="69"/>
      <c r="K902" s="70"/>
    </row>
    <row r="903" customFormat="false" ht="15" hidden="false" customHeight="false" outlineLevel="0" collapsed="false">
      <c r="B903" s="309"/>
      <c r="C903" s="310"/>
      <c r="E903" s="70"/>
      <c r="F903" s="69"/>
      <c r="K903" s="70"/>
    </row>
    <row r="904" customFormat="false" ht="15" hidden="false" customHeight="false" outlineLevel="0" collapsed="false">
      <c r="B904" s="309"/>
      <c r="C904" s="310"/>
      <c r="E904" s="70"/>
      <c r="F904" s="69"/>
      <c r="K904" s="70"/>
    </row>
    <row r="905" customFormat="false" ht="15" hidden="false" customHeight="false" outlineLevel="0" collapsed="false">
      <c r="B905" s="309"/>
      <c r="C905" s="310"/>
      <c r="E905" s="70"/>
      <c r="F905" s="69"/>
      <c r="K905" s="70"/>
    </row>
    <row r="906" customFormat="false" ht="15" hidden="false" customHeight="false" outlineLevel="0" collapsed="false">
      <c r="B906" s="309"/>
      <c r="C906" s="310"/>
      <c r="E906" s="70"/>
      <c r="F906" s="69"/>
      <c r="K906" s="70"/>
    </row>
    <row r="907" customFormat="false" ht="15" hidden="false" customHeight="false" outlineLevel="0" collapsed="false">
      <c r="B907" s="309"/>
      <c r="C907" s="310"/>
      <c r="E907" s="70"/>
      <c r="F907" s="69"/>
      <c r="K907" s="70"/>
    </row>
    <row r="908" customFormat="false" ht="15" hidden="false" customHeight="false" outlineLevel="0" collapsed="false">
      <c r="B908" s="309"/>
      <c r="C908" s="310"/>
      <c r="E908" s="70"/>
      <c r="F908" s="69"/>
      <c r="K908" s="70"/>
    </row>
    <row r="909" customFormat="false" ht="15" hidden="false" customHeight="false" outlineLevel="0" collapsed="false">
      <c r="B909" s="309"/>
      <c r="C909" s="310"/>
      <c r="E909" s="70"/>
      <c r="F909" s="69"/>
      <c r="K909" s="70"/>
    </row>
    <row r="910" customFormat="false" ht="15" hidden="false" customHeight="false" outlineLevel="0" collapsed="false">
      <c r="B910" s="309"/>
      <c r="C910" s="310"/>
      <c r="E910" s="70"/>
      <c r="F910" s="69"/>
      <c r="K910" s="70"/>
    </row>
    <row r="911" customFormat="false" ht="15" hidden="false" customHeight="false" outlineLevel="0" collapsed="false">
      <c r="B911" s="309"/>
      <c r="C911" s="310"/>
      <c r="E911" s="70"/>
      <c r="F911" s="69"/>
      <c r="K911" s="70"/>
    </row>
    <row r="912" customFormat="false" ht="15" hidden="false" customHeight="false" outlineLevel="0" collapsed="false">
      <c r="B912" s="309"/>
      <c r="C912" s="310"/>
      <c r="E912" s="70"/>
      <c r="F912" s="69"/>
      <c r="K912" s="70"/>
    </row>
    <row r="913" customFormat="false" ht="15" hidden="false" customHeight="false" outlineLevel="0" collapsed="false">
      <c r="B913" s="309"/>
      <c r="C913" s="310"/>
      <c r="E913" s="70"/>
      <c r="F913" s="69"/>
      <c r="K913" s="70"/>
    </row>
    <row r="914" customFormat="false" ht="15" hidden="false" customHeight="false" outlineLevel="0" collapsed="false">
      <c r="B914" s="309"/>
      <c r="C914" s="310"/>
      <c r="E914" s="70"/>
      <c r="F914" s="69"/>
      <c r="K914" s="70"/>
    </row>
    <row r="915" customFormat="false" ht="15" hidden="false" customHeight="false" outlineLevel="0" collapsed="false">
      <c r="B915" s="309"/>
      <c r="C915" s="310"/>
      <c r="E915" s="70"/>
      <c r="F915" s="69"/>
      <c r="K915" s="70"/>
    </row>
    <row r="916" customFormat="false" ht="15" hidden="false" customHeight="false" outlineLevel="0" collapsed="false">
      <c r="B916" s="309"/>
      <c r="C916" s="310"/>
      <c r="E916" s="70"/>
      <c r="F916" s="69"/>
      <c r="K916" s="70"/>
    </row>
    <row r="917" customFormat="false" ht="15" hidden="false" customHeight="false" outlineLevel="0" collapsed="false">
      <c r="B917" s="309"/>
      <c r="C917" s="310"/>
      <c r="E917" s="70"/>
      <c r="F917" s="69"/>
      <c r="K917" s="70"/>
    </row>
    <row r="918" customFormat="false" ht="15" hidden="false" customHeight="false" outlineLevel="0" collapsed="false">
      <c r="B918" s="309"/>
      <c r="C918" s="310"/>
      <c r="E918" s="70"/>
      <c r="F918" s="69"/>
      <c r="K918" s="70"/>
    </row>
    <row r="919" customFormat="false" ht="15" hidden="false" customHeight="false" outlineLevel="0" collapsed="false">
      <c r="B919" s="309"/>
      <c r="C919" s="310"/>
      <c r="E919" s="70"/>
      <c r="F919" s="69"/>
      <c r="K919" s="70"/>
    </row>
    <row r="920" customFormat="false" ht="15" hidden="false" customHeight="false" outlineLevel="0" collapsed="false">
      <c r="B920" s="309"/>
      <c r="C920" s="310"/>
      <c r="E920" s="70"/>
      <c r="F920" s="69"/>
      <c r="K920" s="70"/>
    </row>
    <row r="921" customFormat="false" ht="15" hidden="false" customHeight="false" outlineLevel="0" collapsed="false">
      <c r="B921" s="309"/>
      <c r="C921" s="310"/>
      <c r="E921" s="70"/>
      <c r="F921" s="69"/>
      <c r="K921" s="70"/>
    </row>
    <row r="922" customFormat="false" ht="15" hidden="false" customHeight="false" outlineLevel="0" collapsed="false">
      <c r="B922" s="309"/>
      <c r="C922" s="310"/>
      <c r="E922" s="70"/>
      <c r="F922" s="69"/>
      <c r="K922" s="70"/>
    </row>
    <row r="923" customFormat="false" ht="15" hidden="false" customHeight="false" outlineLevel="0" collapsed="false">
      <c r="B923" s="309"/>
      <c r="C923" s="310"/>
      <c r="E923" s="70"/>
      <c r="F923" s="69"/>
      <c r="K923" s="70"/>
    </row>
    <row r="924" customFormat="false" ht="15" hidden="false" customHeight="false" outlineLevel="0" collapsed="false">
      <c r="B924" s="309"/>
      <c r="C924" s="310"/>
      <c r="E924" s="70"/>
      <c r="F924" s="69"/>
      <c r="K924" s="70"/>
    </row>
    <row r="925" customFormat="false" ht="15" hidden="false" customHeight="false" outlineLevel="0" collapsed="false">
      <c r="B925" s="309"/>
      <c r="C925" s="310"/>
      <c r="E925" s="70"/>
      <c r="F925" s="69"/>
      <c r="K925" s="70"/>
    </row>
    <row r="926" customFormat="false" ht="15" hidden="false" customHeight="false" outlineLevel="0" collapsed="false">
      <c r="B926" s="309"/>
      <c r="C926" s="310"/>
      <c r="E926" s="70"/>
      <c r="F926" s="69"/>
      <c r="K926" s="70"/>
    </row>
    <row r="927" customFormat="false" ht="15" hidden="false" customHeight="false" outlineLevel="0" collapsed="false">
      <c r="B927" s="309"/>
      <c r="C927" s="310"/>
      <c r="E927" s="70"/>
      <c r="F927" s="69"/>
      <c r="K927" s="70"/>
    </row>
    <row r="928" customFormat="false" ht="15" hidden="false" customHeight="false" outlineLevel="0" collapsed="false">
      <c r="B928" s="309"/>
      <c r="C928" s="310"/>
      <c r="E928" s="70"/>
      <c r="F928" s="69"/>
      <c r="K928" s="70"/>
    </row>
    <row r="929" customFormat="false" ht="15" hidden="false" customHeight="false" outlineLevel="0" collapsed="false">
      <c r="B929" s="309"/>
      <c r="C929" s="310"/>
      <c r="E929" s="70"/>
      <c r="F929" s="69"/>
      <c r="K929" s="70"/>
    </row>
    <row r="930" customFormat="false" ht="15" hidden="false" customHeight="false" outlineLevel="0" collapsed="false">
      <c r="B930" s="309"/>
      <c r="C930" s="310"/>
      <c r="E930" s="70"/>
      <c r="F930" s="69"/>
      <c r="K930" s="70"/>
    </row>
    <row r="931" customFormat="false" ht="15" hidden="false" customHeight="false" outlineLevel="0" collapsed="false">
      <c r="B931" s="309"/>
      <c r="C931" s="310"/>
      <c r="E931" s="70"/>
      <c r="F931" s="69"/>
      <c r="K931" s="70"/>
    </row>
    <row r="932" customFormat="false" ht="15" hidden="false" customHeight="false" outlineLevel="0" collapsed="false">
      <c r="B932" s="309"/>
      <c r="C932" s="310"/>
      <c r="E932" s="70"/>
      <c r="F932" s="69"/>
      <c r="K932" s="70"/>
    </row>
    <row r="933" customFormat="false" ht="15" hidden="false" customHeight="false" outlineLevel="0" collapsed="false">
      <c r="B933" s="309"/>
      <c r="C933" s="310"/>
      <c r="E933" s="70"/>
      <c r="F933" s="69"/>
      <c r="K933" s="70"/>
    </row>
    <row r="934" customFormat="false" ht="15" hidden="false" customHeight="false" outlineLevel="0" collapsed="false">
      <c r="B934" s="309"/>
      <c r="C934" s="310"/>
      <c r="E934" s="70"/>
      <c r="F934" s="69"/>
      <c r="K934" s="70"/>
    </row>
    <row r="935" customFormat="false" ht="15" hidden="false" customHeight="false" outlineLevel="0" collapsed="false">
      <c r="B935" s="309"/>
      <c r="C935" s="310"/>
      <c r="E935" s="70"/>
      <c r="F935" s="69"/>
      <c r="K935" s="70"/>
    </row>
    <row r="936" customFormat="false" ht="15" hidden="false" customHeight="false" outlineLevel="0" collapsed="false">
      <c r="B936" s="309"/>
      <c r="C936" s="310"/>
      <c r="E936" s="70"/>
      <c r="F936" s="69"/>
      <c r="K936" s="70"/>
    </row>
    <row r="937" customFormat="false" ht="15" hidden="false" customHeight="false" outlineLevel="0" collapsed="false">
      <c r="B937" s="309"/>
      <c r="C937" s="310"/>
      <c r="E937" s="70"/>
      <c r="F937" s="69"/>
      <c r="K937" s="70"/>
    </row>
    <row r="938" customFormat="false" ht="15" hidden="false" customHeight="false" outlineLevel="0" collapsed="false">
      <c r="B938" s="309"/>
      <c r="C938" s="310"/>
      <c r="E938" s="70"/>
      <c r="F938" s="69"/>
      <c r="K938" s="70"/>
    </row>
    <row r="939" customFormat="false" ht="15" hidden="false" customHeight="false" outlineLevel="0" collapsed="false">
      <c r="B939" s="309"/>
      <c r="C939" s="310"/>
      <c r="E939" s="70"/>
      <c r="F939" s="69"/>
      <c r="K939" s="70"/>
    </row>
    <row r="940" customFormat="false" ht="15" hidden="false" customHeight="false" outlineLevel="0" collapsed="false">
      <c r="B940" s="309"/>
      <c r="C940" s="310"/>
      <c r="E940" s="70"/>
      <c r="F940" s="69"/>
      <c r="K940" s="70"/>
    </row>
    <row r="941" customFormat="false" ht="15" hidden="false" customHeight="false" outlineLevel="0" collapsed="false">
      <c r="B941" s="309"/>
      <c r="C941" s="310"/>
      <c r="E941" s="70"/>
      <c r="F941" s="69"/>
      <c r="K941" s="70"/>
    </row>
    <row r="942" customFormat="false" ht="15" hidden="false" customHeight="false" outlineLevel="0" collapsed="false">
      <c r="B942" s="309"/>
      <c r="C942" s="310"/>
      <c r="E942" s="70"/>
      <c r="F942" s="69"/>
      <c r="K942" s="70"/>
    </row>
    <row r="943" customFormat="false" ht="15" hidden="false" customHeight="false" outlineLevel="0" collapsed="false">
      <c r="B943" s="309"/>
      <c r="C943" s="310"/>
      <c r="E943" s="70"/>
      <c r="F943" s="69"/>
      <c r="K943" s="70"/>
    </row>
    <row r="944" customFormat="false" ht="15" hidden="false" customHeight="false" outlineLevel="0" collapsed="false">
      <c r="B944" s="309"/>
      <c r="C944" s="310"/>
      <c r="E944" s="70"/>
      <c r="F944" s="69"/>
      <c r="K944" s="70"/>
    </row>
    <row r="945" customFormat="false" ht="15" hidden="false" customHeight="false" outlineLevel="0" collapsed="false">
      <c r="B945" s="309"/>
      <c r="C945" s="310"/>
      <c r="E945" s="70"/>
      <c r="F945" s="69"/>
      <c r="K945" s="70"/>
    </row>
    <row r="946" customFormat="false" ht="15" hidden="false" customHeight="false" outlineLevel="0" collapsed="false">
      <c r="B946" s="309"/>
      <c r="C946" s="310"/>
      <c r="E946" s="70"/>
      <c r="F946" s="69"/>
      <c r="K946" s="70"/>
    </row>
  </sheetData>
  <mergeCells count="2">
    <mergeCell ref="H2:K2"/>
    <mergeCell ref="O2:P2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L10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94.86"/>
    <col collapsed="false" customWidth="true" hidden="false" outlineLevel="0" max="4" min="4" style="0" width="23.71"/>
    <col collapsed="false" customWidth="true" hidden="false" outlineLevel="0" max="6" min="6" style="0" width="20.57"/>
    <col collapsed="false" customWidth="true" hidden="false" outlineLevel="0" max="7" min="7" style="0" width="6.86"/>
    <col collapsed="false" customWidth="true" hidden="false" outlineLevel="0" max="8" min="8" style="0" width="57.14"/>
    <col collapsed="false" customWidth="true" hidden="false" outlineLevel="0" max="9" min="9" style="0" width="42.57"/>
    <col collapsed="false" customWidth="true" hidden="false" outlineLevel="0" max="10" min="10" style="0" width="33.3"/>
  </cols>
  <sheetData>
    <row r="1" customFormat="false" ht="18.55" hidden="false" customHeight="false" outlineLevel="0" collapsed="false">
      <c r="A1" s="311" t="s">
        <v>289</v>
      </c>
      <c r="B1" s="311"/>
      <c r="C1" s="311"/>
      <c r="D1" s="311"/>
      <c r="E1" s="311"/>
      <c r="K1" s="133"/>
    </row>
    <row r="2" customFormat="false" ht="18.75" hidden="false" customHeight="true" outlineLevel="0" collapsed="false">
      <c r="A2" s="71" t="s">
        <v>15</v>
      </c>
      <c r="B2" s="71" t="s">
        <v>16</v>
      </c>
      <c r="C2" s="73" t="s">
        <v>17</v>
      </c>
      <c r="D2" s="312" t="s">
        <v>18</v>
      </c>
      <c r="E2" s="312" t="s">
        <v>19</v>
      </c>
      <c r="H2" s="75" t="s">
        <v>20</v>
      </c>
      <c r="I2" s="75"/>
      <c r="J2" s="75"/>
      <c r="K2" s="75"/>
    </row>
    <row r="3" customFormat="false" ht="17.35" hidden="false" customHeight="false" outlineLevel="0" collapsed="false">
      <c r="A3" s="77" t="s">
        <v>23</v>
      </c>
      <c r="B3" s="80"/>
      <c r="C3" s="79"/>
      <c r="D3" s="313"/>
      <c r="E3" s="313"/>
      <c r="H3" s="82"/>
      <c r="I3" s="83" t="s">
        <v>24</v>
      </c>
      <c r="J3" s="83" t="s">
        <v>25</v>
      </c>
      <c r="K3" s="84" t="s">
        <v>26</v>
      </c>
    </row>
    <row r="4" customFormat="false" ht="17.35" hidden="false" customHeight="false" outlineLevel="0" collapsed="false">
      <c r="A4" s="85" t="s">
        <v>290</v>
      </c>
      <c r="B4" s="85" t="s">
        <v>132</v>
      </c>
      <c r="C4" s="314" t="n">
        <f aca="false">ifs( AND(Квартирная!B10 &lt;= 2050, Квартирная!B11 &lt;= 960), 51.81, AND(Квартирная!B10 &lt;= 2050, Квартирная!B11 &gt; 960, Квартирная!B11 &lt;= 1050), 56.991, AND(Квартирная!B10 &gt; 2050, Квартирная!B10 &lt;= 2130, Квартирная!B11 &lt;= 1050), 56.991, Квартирная!B10 &gt; 2130, 58.875 )</f>
        <v>51.81</v>
      </c>
      <c r="D4" s="88" t="n">
        <f aca="false">Управление!G3</f>
        <v>84</v>
      </c>
      <c r="E4" s="315" t="n">
        <f aca="false">D4*C4</f>
        <v>4352.04</v>
      </c>
      <c r="H4" s="92" t="s">
        <v>30</v>
      </c>
      <c r="I4" s="93" t="n">
        <f aca="false">SUM(E6:E9,E11,E13,E38,E41,E44,E48:E52,E55,E56,E57,E59:E62,E64:E71,E73:E76)</f>
        <v>4310.55542</v>
      </c>
      <c r="J4" s="94" t="n">
        <f aca="false">IF(Квартирная!B14=Конструктивы!C2,1,0)</f>
        <v>1</v>
      </c>
      <c r="K4" s="93" t="n">
        <f aca="false">J4*I4</f>
        <v>4310.55542</v>
      </c>
    </row>
    <row r="5" customFormat="false" ht="17.35" hidden="false" customHeight="false" outlineLevel="0" collapsed="false">
      <c r="A5" s="85" t="s">
        <v>32</v>
      </c>
      <c r="B5" s="316"/>
      <c r="C5" s="88" t="n">
        <f aca="false">IF(Квартирная!B10&gt;=2120,6.91,4.8)</f>
        <v>4.8</v>
      </c>
      <c r="D5" s="88" t="n">
        <f aca="false">Управление!G3</f>
        <v>84</v>
      </c>
      <c r="E5" s="315" t="n">
        <f aca="false">D5*C5</f>
        <v>403.2</v>
      </c>
      <c r="F5" s="317" t="str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отделка'!E3),"Металл","МДФ")</f>
        <v>МДФ</v>
      </c>
      <c r="H5" s="92" t="s">
        <v>33</v>
      </c>
      <c r="I5" s="318" t="n">
        <f aca="false">SUM(E4:E5,E39,E40,E42,E43,E47,E63)</f>
        <v>5648.22176</v>
      </c>
      <c r="J5" s="94" t="n">
        <f aca="false">IF(Квартирная!B14=Конструктивы!C2,1,0)</f>
        <v>1</v>
      </c>
      <c r="K5" s="93" t="n">
        <f aca="false">J5*I5</f>
        <v>5648.22176</v>
      </c>
    </row>
    <row r="6" customFormat="false" ht="17.35" hidden="false" customHeight="false" outlineLevel="0" collapsed="false">
      <c r="A6" s="97" t="s">
        <v>34</v>
      </c>
      <c r="B6" s="98" t="s">
        <v>35</v>
      </c>
      <c r="C6" s="99" t="n">
        <v>3</v>
      </c>
      <c r="D6" s="100" t="n">
        <f aca="false">Управление!G4</f>
        <v>49</v>
      </c>
      <c r="E6" s="89" t="n">
        <f aca="false">D6*C6</f>
        <v>147</v>
      </c>
      <c r="F6" s="317" t="str">
        <f aca="false">IF(OR(Квартирная!B19='Наружная отделка'!C3,Квартирная!B19='Наружная отделка'!D3,Квартирная!B19='Наружная отделка'!E3),"Металл отделка","Не удалять")</f>
        <v>Не удалять</v>
      </c>
      <c r="H6" s="101" t="s">
        <v>36</v>
      </c>
      <c r="I6" s="102" t="n">
        <f aca="false">IF(Квартирная!B19="Verso",0,SUM(E14:E36))</f>
        <v>966</v>
      </c>
      <c r="J6" s="94" t="n">
        <f aca="false">IF(Квартирная!B14=Конструктивы!C2,1,0)</f>
        <v>1</v>
      </c>
      <c r="K6" s="102" t="n">
        <f aca="false">J6*I6</f>
        <v>966</v>
      </c>
    </row>
    <row r="7" customFormat="false" ht="17.35" hidden="false" customHeight="false" outlineLevel="0" collapsed="false">
      <c r="A7" s="97" t="s">
        <v>37</v>
      </c>
      <c r="B7" s="98" t="s">
        <v>35</v>
      </c>
      <c r="C7" s="99" t="n">
        <v>4</v>
      </c>
      <c r="D7" s="100" t="n">
        <f aca="false">Управление!B5</f>
        <v>0.65</v>
      </c>
      <c r="E7" s="89" t="n">
        <f aca="false">D7*C7</f>
        <v>2.6</v>
      </c>
      <c r="H7" s="101" t="s">
        <v>40</v>
      </c>
      <c r="I7" s="319" t="n">
        <f aca="false">SUM(E81+E82)</f>
        <v>24.4</v>
      </c>
      <c r="J7" s="103" t="n">
        <f aca="false">IF(Квартирная!B14=Конструктивы!C2,1,0)</f>
        <v>1</v>
      </c>
      <c r="K7" s="102" t="n">
        <f aca="false">J7*I7</f>
        <v>24.4</v>
      </c>
    </row>
    <row r="8" customFormat="false" ht="17.35" hidden="false" customHeight="false" outlineLevel="0" collapsed="false">
      <c r="A8" s="104" t="s">
        <v>39</v>
      </c>
      <c r="B8" s="105" t="s">
        <v>29</v>
      </c>
      <c r="C8" s="106" t="n">
        <v>0.4</v>
      </c>
      <c r="D8" s="107" t="n">
        <f aca="false">Управление!G6</f>
        <v>130</v>
      </c>
      <c r="E8" s="89" t="n">
        <f aca="false">D8*C8</f>
        <v>52</v>
      </c>
      <c r="H8" s="101" t="s">
        <v>38</v>
      </c>
      <c r="I8" s="319" t="n">
        <f aca="false">E78+E79</f>
        <v>0</v>
      </c>
      <c r="J8" s="103" t="n">
        <f aca="false">IF(Квартирная!B14=Конструктивы!C2,1,0)</f>
        <v>1</v>
      </c>
      <c r="K8" s="102" t="n">
        <f aca="false">J8*I8</f>
        <v>0</v>
      </c>
    </row>
    <row r="9" customFormat="false" ht="17.35" hidden="false" customHeight="false" outlineLevel="0" collapsed="false">
      <c r="A9" s="104" t="s">
        <v>41</v>
      </c>
      <c r="B9" s="105" t="s">
        <v>35</v>
      </c>
      <c r="C9" s="106" t="n">
        <v>3</v>
      </c>
      <c r="D9" s="107" t="n">
        <f aca="false">Управление!B7</f>
        <v>3.8</v>
      </c>
      <c r="E9" s="89" t="n">
        <f aca="false">D9*C9</f>
        <v>11.4</v>
      </c>
      <c r="H9" s="101" t="s">
        <v>42</v>
      </c>
      <c r="I9" s="102" t="n">
        <f aca="false">SUM(E84:E95,E97:E102,E104:E109)</f>
        <v>650</v>
      </c>
      <c r="J9" s="103" t="n">
        <f aca="false">IF(Квартирная!B14=Конструктивы!C2,1,0)</f>
        <v>1</v>
      </c>
      <c r="K9" s="102" t="n">
        <f aca="false">J9*I9</f>
        <v>650</v>
      </c>
    </row>
    <row r="10" customFormat="false" ht="17.35" hidden="false" customHeight="false" outlineLevel="0" collapsed="false">
      <c r="A10" s="77" t="s">
        <v>43</v>
      </c>
      <c r="B10" s="80"/>
      <c r="C10" s="79"/>
      <c r="D10" s="313"/>
      <c r="E10" s="313"/>
      <c r="H10" s="101" t="s">
        <v>45</v>
      </c>
      <c r="I10" s="102" t="n">
        <f aca="false">SUM(E112:E117,E119:E139,E141:E161,E163:E169,E171:E176)</f>
        <v>820</v>
      </c>
      <c r="J10" s="103" t="n">
        <f aca="false">IF(Квартирная!B14=Конструктивы!C2,1,0)</f>
        <v>1</v>
      </c>
      <c r="K10" s="102" t="n">
        <f aca="false">J10*I10</f>
        <v>820</v>
      </c>
    </row>
    <row r="11" customFormat="false" ht="17.35" hidden="false" customHeight="false" outlineLevel="0" collapsed="false">
      <c r="A11" s="97" t="s">
        <v>46</v>
      </c>
      <c r="B11" s="98" t="s">
        <v>35</v>
      </c>
      <c r="C11" s="99" t="n">
        <v>1</v>
      </c>
      <c r="D11" s="100" t="n">
        <f aca="false">Управление!B8</f>
        <v>1.6</v>
      </c>
      <c r="E11" s="89" t="n">
        <f aca="false">D11*C11</f>
        <v>1.6</v>
      </c>
      <c r="F11" s="69" t="str">
        <f aca="false">IF(Квартирная!B10&lt;=2050,"Стандарт","Нестандарт")</f>
        <v>Стандарт</v>
      </c>
      <c r="H11" s="101" t="str">
        <f aca="false">CONCATENATE("Наружная МДФ-панель"," ", Comfort!O3, "х" , Comfort!P3 )</f>
        <v>Наружная МДФ-панель 1983х895</v>
      </c>
      <c r="I11" s="102" t="n">
        <f aca="false">SUM(E242:E251)</f>
        <v>3664.283478</v>
      </c>
      <c r="J11" s="103" t="n">
        <f aca="false">IF(Квартирная!B14=Конструктивы!C2,1,0)</f>
        <v>1</v>
      </c>
      <c r="K11" s="102" t="n">
        <f aca="false">J11*I11</f>
        <v>3664.283478</v>
      </c>
    </row>
    <row r="12" customFormat="false" ht="17.35" hidden="false" customHeight="false" outlineLevel="0" collapsed="false">
      <c r="A12" s="77" t="s">
        <v>47</v>
      </c>
      <c r="B12" s="78"/>
      <c r="C12" s="79"/>
      <c r="D12" s="80"/>
      <c r="E12" s="81"/>
      <c r="F12" s="69" t="str">
        <f aca="false">IF(Квартирная!B11&lt;=960,"Стандарт","Нестандарт")</f>
        <v>Стандарт</v>
      </c>
      <c r="H12" s="101" t="str">
        <f aca="false">CONCATENATE("Внутренняя МДФ-панель"," ", Comfort!O4, "х" , Comfort!P4 )</f>
        <v>Внутренняя МДФ-панель 1923х832</v>
      </c>
      <c r="I12" s="102" t="n">
        <f aca="false">SUM(E253:E277)</f>
        <v>2620.393333</v>
      </c>
      <c r="J12" s="103" t="n">
        <f aca="false">IF(Квартирная!B14=Конструктивы!C2,1,0)</f>
        <v>1</v>
      </c>
      <c r="K12" s="102" t="n">
        <f aca="false">J12*I12</f>
        <v>2620.393333</v>
      </c>
      <c r="L12" s="70" t="n">
        <f aca="false">SUM(E253:E277)</f>
        <v>2620.393333</v>
      </c>
    </row>
    <row r="13" customFormat="false" ht="17.35" hidden="false" customHeight="false" outlineLevel="0" collapsed="false">
      <c r="A13" s="97" t="s">
        <v>48</v>
      </c>
      <c r="B13" s="98" t="s">
        <v>49</v>
      </c>
      <c r="C13" s="99" t="n">
        <v>0.13</v>
      </c>
      <c r="D13" s="100" t="n">
        <f aca="false">Управление!D9</f>
        <v>125</v>
      </c>
      <c r="E13" s="89" t="n">
        <f aca="false">D13*C13</f>
        <v>16.25</v>
      </c>
      <c r="F13" s="109" t="str">
        <f aca="false">IF(AND(F11="Стандарт",F12="Стандарт"),"Стандарт","Нестандарт")</f>
        <v>Стандарт</v>
      </c>
      <c r="H13" s="101" t="s">
        <v>50</v>
      </c>
      <c r="I13" s="102" t="n">
        <f aca="false">SUM(E279:E288)</f>
        <v>1951.625908</v>
      </c>
      <c r="J13" s="103" t="n">
        <f aca="false">IF(AND(F5="МДФ",Квартирная!B14=Конструктивы!C2),1,0)</f>
        <v>1</v>
      </c>
      <c r="K13" s="102" t="n">
        <f aca="false">J13*I13</f>
        <v>1951.625908</v>
      </c>
    </row>
    <row r="14" customFormat="false" ht="17.35" hidden="false" customHeight="false" outlineLevel="0" collapsed="false">
      <c r="A14" s="85" t="s">
        <v>51</v>
      </c>
      <c r="B14" s="110" t="s">
        <v>29</v>
      </c>
      <c r="C14" s="88" t="n">
        <f aca="false">IF(F13="Стандарт",1,1.1)</f>
        <v>1</v>
      </c>
      <c r="D14" s="111" t="n">
        <f aca="false">Управление!J3</f>
        <v>420</v>
      </c>
      <c r="E14" s="89" t="n">
        <f aca="false">IF(Квартирная!A29="Цинкогрунтование",D14*C14,0)</f>
        <v>420</v>
      </c>
      <c r="F14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отделка'!E3),1,0)</f>
        <v>0</v>
      </c>
      <c r="H14" s="101" t="s">
        <v>52</v>
      </c>
      <c r="I14" s="113" t="n">
        <f aca="false">SUM(E290:E304)</f>
        <v>0</v>
      </c>
      <c r="J14" s="103" t="n">
        <f aca="false">IF(AND(F6="Металл отделка",Квартирная!B14=Конструктивы!C2),1,0)</f>
        <v>0</v>
      </c>
      <c r="K14" s="102" t="n">
        <f aca="false">J14*I14</f>
        <v>0</v>
      </c>
    </row>
    <row r="15" customFormat="false" ht="17.35" hidden="false" customHeight="false" outlineLevel="0" collapsed="false">
      <c r="A15" s="85" t="s">
        <v>53</v>
      </c>
      <c r="B15" s="110" t="s">
        <v>29</v>
      </c>
      <c r="C15" s="88" t="n">
        <f aca="false">IF(F13="Стандарт",2,2.2)-F15</f>
        <v>1.4</v>
      </c>
      <c r="D15" s="111" t="n">
        <f aca="false">Управление!J4</f>
        <v>390</v>
      </c>
      <c r="E15" s="89" t="n">
        <f aca="false">IF(Квартирная!B29=A15,D15*C15,0)</f>
        <v>546</v>
      </c>
      <c r="F15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15" s="101" t="s">
        <v>54</v>
      </c>
      <c r="I15" s="103" t="n">
        <f aca="false">IF(AND(Квартирная!B19="Verso",Квартирная!A29="Цинкогрунтование"),D14*C14,0)</f>
        <v>0</v>
      </c>
      <c r="J15" s="103" t="n">
        <f aca="false">IF(AND(F6="Металл отделка",Квартирная!B14=Конструктивы!C2),1,0)</f>
        <v>0</v>
      </c>
      <c r="K15" s="102" t="n">
        <f aca="false">J15*I15</f>
        <v>0</v>
      </c>
    </row>
    <row r="16" customFormat="false" ht="17.35" hidden="false" customHeight="false" outlineLevel="0" collapsed="false">
      <c r="A16" s="85" t="s">
        <v>55</v>
      </c>
      <c r="B16" s="110" t="s">
        <v>29</v>
      </c>
      <c r="C16" s="88" t="n">
        <f aca="false">IF(F13="Стандарт",2,2.2)-F16</f>
        <v>1.4</v>
      </c>
      <c r="D16" s="111" t="n">
        <f aca="false">Управление!J5</f>
        <v>480</v>
      </c>
      <c r="E16" s="89" t="n">
        <f aca="false">IF(Квартирная!B29=A16,D16*C16,0)</f>
        <v>0</v>
      </c>
      <c r="F16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16" s="101" t="s">
        <v>56</v>
      </c>
      <c r="I16" s="102" t="n">
        <f aca="false">E314</f>
        <v>3165</v>
      </c>
      <c r="J16" s="103" t="n">
        <f aca="false">IF(Квартирная!B14=Конструктивы!C2,1,0)</f>
        <v>1</v>
      </c>
      <c r="K16" s="102" t="n">
        <f aca="false">J16*I16</f>
        <v>3165</v>
      </c>
    </row>
    <row r="17" customFormat="false" ht="17.35" hidden="false" customHeight="false" outlineLevel="0" collapsed="false">
      <c r="A17" s="85" t="s">
        <v>57</v>
      </c>
      <c r="B17" s="110" t="s">
        <v>29</v>
      </c>
      <c r="C17" s="88" t="n">
        <f aca="false">IF(F13="Стандарт",1.9,2.1)-F17</f>
        <v>1.4</v>
      </c>
      <c r="D17" s="111" t="n">
        <f aca="false">Управление!J6</f>
        <v>455</v>
      </c>
      <c r="E17" s="89" t="n">
        <f aca="false">IF(Квартирная!B29=A17,D17*C17,0)</f>
        <v>0</v>
      </c>
      <c r="F17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отделка'!E3),0,0.5)</f>
        <v>0.5</v>
      </c>
      <c r="H17" s="101" t="s">
        <v>291</v>
      </c>
      <c r="I17" s="103" t="n">
        <f aca="false">IF(AND(Квартирная!B14="Absolut",Квартирная!B54="Порог шлифованный. Цвет: Хром"),E316,0)</f>
        <v>0</v>
      </c>
      <c r="J17" s="103" t="n">
        <f aca="false">IF(Квартирная!B14=Конструктивы!C2,1,0)</f>
        <v>1</v>
      </c>
      <c r="K17" s="102" t="n">
        <f aca="false">J17*I17</f>
        <v>0</v>
      </c>
    </row>
    <row r="18" customFormat="false" ht="17.35" hidden="false" customHeight="false" outlineLevel="0" collapsed="false">
      <c r="A18" s="85" t="s">
        <v>59</v>
      </c>
      <c r="B18" s="110" t="s">
        <v>29</v>
      </c>
      <c r="C18" s="88" t="n">
        <f aca="false">IF(F13="Стандарт",2,2.2)-F18</f>
        <v>1.5</v>
      </c>
      <c r="D18" s="111" t="n">
        <f aca="false">Управление!J7</f>
        <v>345</v>
      </c>
      <c r="E18" s="89" t="n">
        <f aca="false">IF(Квартирная!B29=A18,D18*C18,0)</f>
        <v>0</v>
      </c>
      <c r="F18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отделка'!E3),0,0.5)</f>
        <v>0.5</v>
      </c>
      <c r="H18" s="101" t="s">
        <v>60</v>
      </c>
      <c r="I18" s="113" t="n">
        <f aca="false">SUM(E318:E321)</f>
        <v>0</v>
      </c>
      <c r="J18" s="103" t="n">
        <f aca="false">IF(Квартирная!B14=Конструктивы!C2,1,0)</f>
        <v>1</v>
      </c>
      <c r="K18" s="102" t="n">
        <f aca="false">J18*I18</f>
        <v>0</v>
      </c>
    </row>
    <row r="19" customFormat="false" ht="17.35" hidden="false" customHeight="false" outlineLevel="0" collapsed="false">
      <c r="A19" s="85" t="s">
        <v>61</v>
      </c>
      <c r="B19" s="110" t="s">
        <v>29</v>
      </c>
      <c r="C19" s="88" t="n">
        <f aca="false">IF(F13="Стандарт",2,2.2)-F19</f>
        <v>1.5</v>
      </c>
      <c r="D19" s="111" t="n">
        <f aca="false">Управление!J8</f>
        <v>421</v>
      </c>
      <c r="E19" s="89" t="n">
        <f aca="false">IF(Квартирная!B29=A19,D19*C19,0)</f>
        <v>0</v>
      </c>
      <c r="F19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отделка'!E3),0,0.5)</f>
        <v>0.5</v>
      </c>
      <c r="H19" s="101" t="s">
        <v>292</v>
      </c>
      <c r="I19" s="113" t="n">
        <f aca="false">SUM(E323:E325)</f>
        <v>0</v>
      </c>
      <c r="J19" s="103" t="n">
        <f aca="false">IF(Квартирная!B14=Конструктивы!C2,1,0)</f>
        <v>1</v>
      </c>
      <c r="K19" s="102" t="n">
        <f aca="false">J19*I19</f>
        <v>0</v>
      </c>
    </row>
    <row r="20" customFormat="false" ht="17.35" hidden="false" customHeight="false" outlineLevel="0" collapsed="false">
      <c r="A20" s="85" t="s">
        <v>63</v>
      </c>
      <c r="B20" s="110" t="s">
        <v>29</v>
      </c>
      <c r="C20" s="88" t="n">
        <f aca="false">IF(F13="Стандарт",1.8,2)-F20</f>
        <v>1.4</v>
      </c>
      <c r="D20" s="111" t="n">
        <f aca="false">Управление!J9</f>
        <v>375</v>
      </c>
      <c r="E20" s="89" t="n">
        <f aca="false">IF(Квартирная!B29=A20,D20*C20,0)</f>
        <v>0</v>
      </c>
      <c r="F20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0" s="101" t="s">
        <v>64</v>
      </c>
      <c r="I20" s="113" t="n">
        <f aca="false">SUM(E327:E337)</f>
        <v>60</v>
      </c>
      <c r="J20" s="103" t="n">
        <f aca="false">IF(Квартирная!B14=Конструктивы!C2,1,0)</f>
        <v>1</v>
      </c>
      <c r="K20" s="102" t="n">
        <f aca="false">J20*I20</f>
        <v>60</v>
      </c>
    </row>
    <row r="21" customFormat="false" ht="17.35" hidden="false" customHeight="false" outlineLevel="0" collapsed="false">
      <c r="A21" s="85" t="s">
        <v>65</v>
      </c>
      <c r="B21" s="110" t="s">
        <v>29</v>
      </c>
      <c r="C21" s="88" t="n">
        <f aca="false">IF(F13="Стандарт",1.8,2)-F21</f>
        <v>1.4</v>
      </c>
      <c r="D21" s="111" t="n">
        <f aca="false">Управление!J10</f>
        <v>300</v>
      </c>
      <c r="E21" s="89" t="n">
        <f aca="false">IF(Квартирная!B29=A21,D21*C21,0)</f>
        <v>0</v>
      </c>
      <c r="F21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1" s="101" t="s">
        <v>66</v>
      </c>
      <c r="I21" s="103" t="n">
        <f aca="false">ifs(
  Квартирная!B19=Управление!A135, Управление!B135,
  Квартирная!B19=Управление!A136, Управление!B136,
  Квартирная!B19=Управление!A137, Управление!B137,
  Квартирная!B19=Управление!A138, Управление!B138,
  TRUE(), 0
)</f>
        <v>0</v>
      </c>
      <c r="J21" s="103" t="n">
        <f aca="false">IF(Квартирная!B14=Конструктивы!C2,1,0)</f>
        <v>1</v>
      </c>
      <c r="K21" s="102" t="n">
        <f aca="false">J21*I21</f>
        <v>0</v>
      </c>
    </row>
    <row r="22" customFormat="false" ht="17.35" hidden="false" customHeight="false" outlineLevel="0" collapsed="false">
      <c r="A22" s="85" t="s">
        <v>67</v>
      </c>
      <c r="B22" s="110" t="s">
        <v>29</v>
      </c>
      <c r="C22" s="88" t="n">
        <f aca="false">IF(F13="Стандарт",1.8,2)-F22</f>
        <v>1.4</v>
      </c>
      <c r="D22" s="111" t="n">
        <f aca="false">Управление!J11</f>
        <v>360</v>
      </c>
      <c r="E22" s="89" t="n">
        <f aca="false">IF(Квартирная!B29=A22,D22*C22,0)</f>
        <v>0</v>
      </c>
      <c r="F22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2" s="101"/>
      <c r="I22" s="103"/>
      <c r="J22" s="103"/>
      <c r="K22" s="102"/>
    </row>
    <row r="23" customFormat="false" ht="17.35" hidden="false" customHeight="false" outlineLevel="0" collapsed="false">
      <c r="A23" s="85" t="s">
        <v>68</v>
      </c>
      <c r="B23" s="110" t="s">
        <v>29</v>
      </c>
      <c r="C23" s="88" t="n">
        <f aca="false">IF(F13="Стандарт",1.8,2)-F23</f>
        <v>1.4</v>
      </c>
      <c r="D23" s="111" t="n">
        <f aca="false">Управление!J12</f>
        <v>370</v>
      </c>
      <c r="E23" s="89" t="n">
        <f aca="false">IF(Квартирная!B29=A23,D23*C23,0)</f>
        <v>0</v>
      </c>
      <c r="F23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3" s="101"/>
      <c r="I23" s="103"/>
      <c r="J23" s="103"/>
      <c r="K23" s="102"/>
    </row>
    <row r="24" customFormat="false" ht="17.35" hidden="false" customHeight="false" outlineLevel="0" collapsed="false">
      <c r="A24" s="85" t="s">
        <v>69</v>
      </c>
      <c r="B24" s="110" t="s">
        <v>29</v>
      </c>
      <c r="C24" s="88" t="n">
        <f aca="false">IF(F13="Стандарт",1.8,2)-F24</f>
        <v>1.4</v>
      </c>
      <c r="D24" s="111" t="n">
        <f aca="false">Управление!J13</f>
        <v>388</v>
      </c>
      <c r="E24" s="89" t="n">
        <f aca="false">IF(Квартирная!B29=A24,D24*C24,0)</f>
        <v>0</v>
      </c>
      <c r="F24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4" s="101"/>
      <c r="I24" s="103"/>
      <c r="J24" s="103"/>
      <c r="K24" s="102"/>
    </row>
    <row r="25" customFormat="false" ht="17.35" hidden="false" customHeight="false" outlineLevel="0" collapsed="false">
      <c r="A25" s="85" t="s">
        <v>70</v>
      </c>
      <c r="B25" s="110" t="s">
        <v>29</v>
      </c>
      <c r="C25" s="88" t="n">
        <f aca="false">IF(F13="Стандарт",1.8,2)-F25</f>
        <v>1.4</v>
      </c>
      <c r="D25" s="111" t="n">
        <f aca="false">Управление!J14</f>
        <v>480</v>
      </c>
      <c r="E25" s="89" t="n">
        <f aca="false">IF(Квартирная!B29=A25,D25*C25,0)</f>
        <v>0</v>
      </c>
      <c r="F25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отделка'!E3),0,0.4)</f>
        <v>0.4</v>
      </c>
      <c r="H25" s="101"/>
      <c r="I25" s="103"/>
      <c r="J25" s="103"/>
      <c r="K25" s="102"/>
    </row>
    <row r="26" customFormat="false" ht="17.35" hidden="false" customHeight="false" outlineLevel="0" collapsed="false">
      <c r="A26" s="85" t="s">
        <v>71</v>
      </c>
      <c r="B26" s="110" t="s">
        <v>29</v>
      </c>
      <c r="C26" s="88" t="n">
        <f aca="false">IF(F13="Стандарт",2,2.5)</f>
        <v>2</v>
      </c>
      <c r="D26" s="111" t="n">
        <f aca="false">Управление!J15</f>
        <v>380</v>
      </c>
      <c r="E26" s="89" t="n">
        <f aca="false">IF(Квартирная!B29=A26,D26*C26,0)</f>
        <v>0</v>
      </c>
      <c r="F26" s="69" t="n">
        <v>0</v>
      </c>
      <c r="H26" s="101"/>
      <c r="I26" s="103"/>
      <c r="J26" s="103"/>
      <c r="K26" s="102"/>
    </row>
    <row r="27" customFormat="false" ht="17.35" hidden="false" customHeight="false" outlineLevel="0" collapsed="false">
      <c r="A27" s="85" t="s">
        <v>72</v>
      </c>
      <c r="B27" s="110" t="s">
        <v>29</v>
      </c>
      <c r="C27" s="88" t="n">
        <f aca="false">IF(F13="Стандарт",2,2.5)</f>
        <v>2</v>
      </c>
      <c r="D27" s="111" t="n">
        <f aca="false">Управление!J16</f>
        <v>515</v>
      </c>
      <c r="E27" s="89" t="n">
        <f aca="false">IF(Квартирная!B29=A27,D27*C27,0)</f>
        <v>0</v>
      </c>
      <c r="F27" s="69" t="n">
        <v>0</v>
      </c>
      <c r="H27" s="101"/>
      <c r="I27" s="103"/>
      <c r="J27" s="103"/>
      <c r="K27" s="102"/>
    </row>
    <row r="28" customFormat="false" ht="17.35" hidden="false" customHeight="false" outlineLevel="0" collapsed="false">
      <c r="A28" s="85" t="s">
        <v>73</v>
      </c>
      <c r="B28" s="110" t="s">
        <v>29</v>
      </c>
      <c r="C28" s="88" t="n">
        <f aca="false">IF(F13="Стандарт",2,2.5)</f>
        <v>2</v>
      </c>
      <c r="D28" s="111" t="n">
        <f aca="false">Управление!J17</f>
        <v>650</v>
      </c>
      <c r="E28" s="89" t="n">
        <f aca="false">IF(Квартирная!B29=A28,D28*C28,0)</f>
        <v>0</v>
      </c>
      <c r="F28" s="69" t="n">
        <v>0</v>
      </c>
      <c r="H28" s="101"/>
      <c r="I28" s="103"/>
      <c r="J28" s="103"/>
      <c r="K28" s="102"/>
    </row>
    <row r="29" customFormat="false" ht="17.35" hidden="false" customHeight="false" outlineLevel="0" collapsed="false">
      <c r="A29" s="85" t="s">
        <v>74</v>
      </c>
      <c r="B29" s="110" t="s">
        <v>29</v>
      </c>
      <c r="C29" s="88" t="n">
        <f aca="false">IF(F13="Стандарт",2,2.5)</f>
        <v>2</v>
      </c>
      <c r="D29" s="111" t="n">
        <f aca="false">Управление!J18</f>
        <v>590</v>
      </c>
      <c r="E29" s="89" t="n">
        <f aca="false">IF(Квартирная!B29=A29,D29*C29,0)</f>
        <v>0</v>
      </c>
      <c r="F29" s="69" t="n">
        <v>0</v>
      </c>
      <c r="H29" s="101"/>
      <c r="I29" s="103"/>
      <c r="J29" s="103"/>
      <c r="K29" s="102"/>
    </row>
    <row r="30" customFormat="false" ht="17.35" hidden="false" customHeight="false" outlineLevel="0" collapsed="false">
      <c r="A30" s="85" t="s">
        <v>75</v>
      </c>
      <c r="B30" s="110" t="s">
        <v>29</v>
      </c>
      <c r="C30" s="88" t="n">
        <f aca="false">IF(F13="Стандарт",2,2.5)</f>
        <v>2</v>
      </c>
      <c r="D30" s="111" t="n">
        <f aca="false">Управление!J19</f>
        <v>450</v>
      </c>
      <c r="E30" s="89" t="n">
        <f aca="false">IF(Квартирная!B29=A30,D30*C30,0)</f>
        <v>0</v>
      </c>
      <c r="F30" s="69" t="n">
        <v>0</v>
      </c>
      <c r="H30" s="101"/>
      <c r="I30" s="103"/>
      <c r="J30" s="103"/>
      <c r="K30" s="102"/>
    </row>
    <row r="31" customFormat="false" ht="17.35" hidden="false" customHeight="false" outlineLevel="0" collapsed="false">
      <c r="A31" s="85" t="s">
        <v>76</v>
      </c>
      <c r="B31" s="110" t="s">
        <v>29</v>
      </c>
      <c r="C31" s="88" t="n">
        <f aca="false">IF(F13="Стандарт",2,2.5)</f>
        <v>2</v>
      </c>
      <c r="D31" s="111" t="n">
        <f aca="false">Управление!J20</f>
        <v>600</v>
      </c>
      <c r="E31" s="89" t="n">
        <f aca="false">IF(Квартирная!B29=A31,D31*C31,0)</f>
        <v>0</v>
      </c>
      <c r="F31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1" s="101"/>
      <c r="I31" s="103"/>
      <c r="J31" s="103"/>
      <c r="K31" s="102"/>
    </row>
    <row r="32" customFormat="false" ht="17.35" hidden="false" customHeight="false" outlineLevel="0" collapsed="false">
      <c r="A32" s="85" t="s">
        <v>77</v>
      </c>
      <c r="B32" s="110" t="s">
        <v>29</v>
      </c>
      <c r="C32" s="88" t="n">
        <f aca="false">IF(F13="Стандарт",2,2.5)</f>
        <v>2</v>
      </c>
      <c r="D32" s="111" t="n">
        <f aca="false">Управление!J21</f>
        <v>500</v>
      </c>
      <c r="E32" s="89" t="n">
        <f aca="false">IF(Квартирная!B29=A32,D32*C32,0)</f>
        <v>0</v>
      </c>
      <c r="F32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2" s="101"/>
      <c r="I32" s="103"/>
      <c r="J32" s="103"/>
      <c r="K32" s="102"/>
    </row>
    <row r="33" customFormat="false" ht="17.35" hidden="false" customHeight="false" outlineLevel="0" collapsed="false">
      <c r="A33" s="85" t="s">
        <v>78</v>
      </c>
      <c r="B33" s="110" t="s">
        <v>29</v>
      </c>
      <c r="C33" s="88" t="n">
        <f aca="false">IF(F13="Стандарт",2,2.5)</f>
        <v>2</v>
      </c>
      <c r="D33" s="111" t="n">
        <f aca="false">Управление!J22</f>
        <v>540</v>
      </c>
      <c r="E33" s="89" t="n">
        <f aca="false">IF(Квартирная!B29=A33,D33*C33,0)</f>
        <v>0</v>
      </c>
      <c r="F33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3" s="101"/>
      <c r="I33" s="103"/>
      <c r="J33" s="103"/>
      <c r="K33" s="102"/>
    </row>
    <row r="34" customFormat="false" ht="17.35" hidden="false" customHeight="false" outlineLevel="0" collapsed="false">
      <c r="A34" s="85" t="s">
        <v>79</v>
      </c>
      <c r="B34" s="110" t="s">
        <v>29</v>
      </c>
      <c r="C34" s="88" t="n">
        <f aca="false">IF(F13="Стандарт",2,2.5)</f>
        <v>2</v>
      </c>
      <c r="D34" s="111" t="n">
        <f aca="false">Управление!J23</f>
        <v>470</v>
      </c>
      <c r="E34" s="89" t="n">
        <f aca="false">IF(Квартирная!B29=A34,D34*C34,0)</f>
        <v>0</v>
      </c>
      <c r="F34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4" s="101"/>
      <c r="I34" s="103"/>
      <c r="J34" s="103"/>
      <c r="K34" s="102"/>
    </row>
    <row r="35" customFormat="false" ht="17.35" hidden="false" customHeight="false" outlineLevel="0" collapsed="false">
      <c r="A35" s="85" t="s">
        <v>80</v>
      </c>
      <c r="B35" s="110" t="s">
        <v>29</v>
      </c>
      <c r="C35" s="88" t="n">
        <f aca="false">IF(F13="Стандарт",2,2.5)</f>
        <v>2</v>
      </c>
      <c r="D35" s="111" t="n">
        <f aca="false">Управление!J24</f>
        <v>435</v>
      </c>
      <c r="E35" s="89" t="n">
        <f aca="false">IF(Квартирная!B29=A35,D35*C35,0)</f>
        <v>0</v>
      </c>
      <c r="F35" s="69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отделка'!E3),0,0.6)</f>
        <v>0.6</v>
      </c>
      <c r="H35" s="101"/>
      <c r="I35" s="103"/>
      <c r="J35" s="103"/>
      <c r="K35" s="102"/>
    </row>
    <row r="36" customFormat="false" ht="17.35" hidden="false" customHeight="false" outlineLevel="0" collapsed="false">
      <c r="A36" s="114" t="s">
        <v>81</v>
      </c>
      <c r="B36" s="115" t="s">
        <v>82</v>
      </c>
      <c r="C36" s="116" t="n">
        <f aca="false">IF(OR(Квартирная!B29=A20,Квартирная!B29=A21,Квартирная!B29=A22,Квартирная!B29=A23,Квартирная!B29=A24,Квартирная!B29=A25,Квартирная!B29=A31,Квартирная!B29=A32,Квартирная!B29=A33,Квартирная!B29=A34,Квартирная!B29=A35),1,0)</f>
        <v>0</v>
      </c>
      <c r="D36" s="117" t="n">
        <v>50</v>
      </c>
      <c r="E36" s="118" t="n">
        <f aca="false">D36*C36</f>
        <v>0</v>
      </c>
      <c r="H36" s="101"/>
      <c r="I36" s="103"/>
      <c r="J36" s="103"/>
      <c r="K36" s="102"/>
    </row>
    <row r="37" customFormat="false" ht="17.35" hidden="false" customHeight="false" outlineLevel="0" collapsed="false">
      <c r="A37" s="77" t="s">
        <v>83</v>
      </c>
      <c r="B37" s="80"/>
      <c r="C37" s="79"/>
      <c r="D37" s="313"/>
      <c r="E37" s="313"/>
      <c r="H37" s="101"/>
      <c r="I37" s="103"/>
      <c r="J37" s="103"/>
      <c r="K37" s="102"/>
    </row>
    <row r="38" customFormat="false" ht="17.35" hidden="false" customHeight="false" outlineLevel="0" collapsed="false">
      <c r="A38" s="119" t="s">
        <v>84</v>
      </c>
      <c r="B38" s="120" t="s">
        <v>85</v>
      </c>
      <c r="C38" s="121" t="n">
        <v>12</v>
      </c>
      <c r="D38" s="122" t="n">
        <f aca="false">Управление!C11</f>
        <v>21</v>
      </c>
      <c r="E38" s="89" t="n">
        <f aca="false">D38*C38</f>
        <v>252</v>
      </c>
      <c r="H38" s="101"/>
      <c r="I38" s="103"/>
      <c r="J38" s="103"/>
      <c r="K38" s="102"/>
    </row>
    <row r="39" customFormat="false" ht="17.35" hidden="false" customHeight="false" outlineLevel="0" collapsed="false">
      <c r="A39" s="115" t="s">
        <v>293</v>
      </c>
      <c r="B39" s="115" t="s">
        <v>82</v>
      </c>
      <c r="C39" s="194" t="n">
        <v>1</v>
      </c>
      <c r="D39" s="194" t="n">
        <f aca="false">IF(Квартирная!B10&gt;=2120,Управление!B26,Управление!B25)</f>
        <v>118.5</v>
      </c>
      <c r="E39" s="320" t="n">
        <f aca="false">D39*C39</f>
        <v>118.5</v>
      </c>
      <c r="H39" s="101"/>
      <c r="I39" s="103"/>
      <c r="J39" s="103"/>
      <c r="K39" s="102"/>
    </row>
    <row r="40" customFormat="false" ht="17.35" hidden="false" customHeight="false" outlineLevel="0" collapsed="false">
      <c r="A40" s="115" t="s">
        <v>294</v>
      </c>
      <c r="B40" s="316" t="s">
        <v>82</v>
      </c>
      <c r="C40" s="194" t="n">
        <v>1</v>
      </c>
      <c r="D40" s="194" t="n">
        <f aca="false">Управление!B25</f>
        <v>118.5</v>
      </c>
      <c r="E40" s="320" t="n">
        <f aca="false">D40*C40</f>
        <v>118.5</v>
      </c>
      <c r="H40" s="101"/>
      <c r="I40" s="103"/>
      <c r="J40" s="103"/>
      <c r="K40" s="102"/>
    </row>
    <row r="41" customFormat="false" ht="17.35" hidden="false" customHeight="false" outlineLevel="0" collapsed="false">
      <c r="A41" s="119" t="s">
        <v>295</v>
      </c>
      <c r="B41" s="120" t="s">
        <v>85</v>
      </c>
      <c r="C41" s="121" t="n">
        <v>2</v>
      </c>
      <c r="D41" s="122" t="n">
        <f aca="false">Управление!C12</f>
        <v>23</v>
      </c>
      <c r="E41" s="89" t="n">
        <f aca="false">D41*C41</f>
        <v>46</v>
      </c>
      <c r="H41" s="101"/>
      <c r="I41" s="103"/>
      <c r="J41" s="103"/>
      <c r="K41" s="102"/>
    </row>
    <row r="42" customFormat="false" ht="17.35" hidden="false" customHeight="false" outlineLevel="0" collapsed="false">
      <c r="A42" s="85" t="s">
        <v>296</v>
      </c>
      <c r="B42" s="85" t="s">
        <v>21</v>
      </c>
      <c r="C42" s="88" t="n">
        <f aca="false">Comfort!C40</f>
        <v>0.0799968</v>
      </c>
      <c r="D42" s="88" t="n">
        <f aca="false">Управление!F15</f>
        <v>3750</v>
      </c>
      <c r="E42" s="315" t="n">
        <f aca="false">D42*C42</f>
        <v>299.988</v>
      </c>
      <c r="H42" s="101"/>
      <c r="I42" s="103"/>
      <c r="J42" s="103"/>
      <c r="K42" s="102"/>
    </row>
    <row r="43" customFormat="false" ht="17.35" hidden="false" customHeight="false" outlineLevel="0" collapsed="false">
      <c r="A43" s="85" t="s">
        <v>88</v>
      </c>
      <c r="B43" s="85" t="s">
        <v>21</v>
      </c>
      <c r="C43" s="88" t="n">
        <f aca="false">Comfort!C41</f>
        <v>0.04799808</v>
      </c>
      <c r="D43" s="88" t="n">
        <f aca="false">Управление!F16</f>
        <v>3250</v>
      </c>
      <c r="E43" s="315" t="n">
        <f aca="false">D43*C43</f>
        <v>155.99376</v>
      </c>
      <c r="H43" s="101"/>
      <c r="I43" s="103"/>
      <c r="J43" s="103"/>
      <c r="K43" s="102"/>
    </row>
    <row r="44" customFormat="false" ht="17.35" hidden="false" customHeight="false" outlineLevel="0" collapsed="false">
      <c r="A44" s="119" t="s">
        <v>89</v>
      </c>
      <c r="B44" s="119" t="s">
        <v>35</v>
      </c>
      <c r="C44" s="121" t="n">
        <v>8</v>
      </c>
      <c r="D44" s="121" t="n">
        <f aca="false">Управление!B17</f>
        <v>1.6</v>
      </c>
      <c r="E44" s="315" t="n">
        <f aca="false">D44*C44</f>
        <v>12.8</v>
      </c>
      <c r="J44" s="126" t="s">
        <v>91</v>
      </c>
      <c r="K44" s="127" t="n">
        <f aca="false">SUM(K4:K43)-K21</f>
        <v>23880.4799</v>
      </c>
    </row>
    <row r="45" customFormat="false" ht="17.35" hidden="false" customHeight="false" outlineLevel="0" collapsed="false">
      <c r="A45" s="80"/>
      <c r="B45" s="80"/>
      <c r="C45" s="79"/>
      <c r="D45" s="313"/>
      <c r="E45" s="313"/>
      <c r="J45" s="126" t="s">
        <v>93</v>
      </c>
      <c r="K45" s="128" t="n">
        <f aca="false">Управление!B134</f>
        <v>30</v>
      </c>
    </row>
    <row r="46" customFormat="false" ht="17.35" hidden="false" customHeight="false" outlineLevel="0" collapsed="false">
      <c r="A46" s="77" t="s">
        <v>45</v>
      </c>
      <c r="B46" s="80"/>
      <c r="C46" s="79"/>
      <c r="D46" s="313"/>
      <c r="E46" s="313"/>
      <c r="J46" s="6" t="s">
        <v>297</v>
      </c>
      <c r="K46" s="129" t="n">
        <f aca="false">(K44 * (1 +K45  / 100))*1.035+K21</f>
        <v>32131.1857</v>
      </c>
    </row>
    <row r="47" customFormat="false" ht="17.35" hidden="false" customHeight="false" outlineLevel="0" collapsed="false">
      <c r="A47" s="85" t="s">
        <v>90</v>
      </c>
      <c r="B47" s="85" t="s">
        <v>35</v>
      </c>
      <c r="C47" s="88" t="n">
        <f aca="false">IF(Квартирная!B49="Нет",0,1)</f>
        <v>0</v>
      </c>
      <c r="D47" s="88" t="n">
        <f aca="false">Управление!J27</f>
        <v>63</v>
      </c>
      <c r="E47" s="315" t="n">
        <f aca="false">C47*D47</f>
        <v>0</v>
      </c>
      <c r="J47" s="130" t="s">
        <v>99</v>
      </c>
      <c r="K47" s="131" t="n">
        <f aca="false">Управление!J188</f>
        <v>0</v>
      </c>
    </row>
    <row r="48" customFormat="false" ht="17.35" hidden="false" customHeight="false" outlineLevel="0" collapsed="false">
      <c r="A48" s="119" t="s">
        <v>92</v>
      </c>
      <c r="B48" s="119" t="s">
        <v>35</v>
      </c>
      <c r="C48" s="121" t="n">
        <v>1</v>
      </c>
      <c r="D48" s="121" t="n">
        <f aca="false">Управление!J28</f>
        <v>31.4</v>
      </c>
      <c r="E48" s="315" t="n">
        <f aca="false">C48*D48</f>
        <v>31.4</v>
      </c>
      <c r="J48" s="130" t="s">
        <v>101</v>
      </c>
      <c r="K48" s="131" t="n">
        <f aca="false">100 * ROUNDUP((K46 * (1 +K47  / 100)) / 100, 0)</f>
        <v>32200</v>
      </c>
    </row>
    <row r="49" customFormat="false" ht="17.35" hidden="false" customHeight="false" outlineLevel="0" collapsed="false">
      <c r="A49" s="119" t="s">
        <v>95</v>
      </c>
      <c r="B49" s="119" t="s">
        <v>35</v>
      </c>
      <c r="C49" s="121" t="n">
        <v>1</v>
      </c>
      <c r="D49" s="121" t="n">
        <f aca="false">Управление!B18</f>
        <v>4.94</v>
      </c>
      <c r="E49" s="315" t="n">
        <f aca="false">C49*D49</f>
        <v>4.94</v>
      </c>
      <c r="K49" s="132"/>
    </row>
    <row r="50" customFormat="false" ht="17.35" hidden="false" customHeight="false" outlineLevel="0" collapsed="false">
      <c r="A50" s="119" t="s">
        <v>98</v>
      </c>
      <c r="B50" s="119" t="s">
        <v>35</v>
      </c>
      <c r="C50" s="121" t="n">
        <v>2</v>
      </c>
      <c r="D50" s="121" t="n">
        <f aca="false">Управление!B19</f>
        <v>0.37</v>
      </c>
      <c r="E50" s="315" t="n">
        <f aca="false">C50*D50</f>
        <v>0.74</v>
      </c>
      <c r="K50" s="132"/>
    </row>
    <row r="51" customFormat="false" ht="17.35" hidden="false" customHeight="false" outlineLevel="0" collapsed="false">
      <c r="A51" s="119" t="s">
        <v>100</v>
      </c>
      <c r="B51" s="119" t="s">
        <v>35</v>
      </c>
      <c r="C51" s="121" t="n">
        <v>1</v>
      </c>
      <c r="D51" s="121" t="n">
        <f aca="false">Управление!B20</f>
        <v>0.66</v>
      </c>
      <c r="E51" s="315" t="n">
        <f aca="false">C51*D51</f>
        <v>0.66</v>
      </c>
      <c r="K51" s="70"/>
    </row>
    <row r="52" customFormat="false" ht="17.35" hidden="false" customHeight="false" outlineLevel="0" collapsed="false">
      <c r="A52" s="119" t="s">
        <v>102</v>
      </c>
      <c r="B52" s="119" t="s">
        <v>35</v>
      </c>
      <c r="C52" s="121" t="n">
        <v>2</v>
      </c>
      <c r="D52" s="121" t="n">
        <f aca="false">Управление!B21</f>
        <v>4.67</v>
      </c>
      <c r="E52" s="315" t="n">
        <f aca="false">C52*D52</f>
        <v>9.34</v>
      </c>
      <c r="K52" s="133"/>
    </row>
    <row r="53" customFormat="false" ht="15" hidden="false" customHeight="false" outlineLevel="0" collapsed="false">
      <c r="A53" s="80"/>
      <c r="B53" s="80"/>
      <c r="C53" s="79"/>
      <c r="D53" s="313"/>
      <c r="E53" s="313"/>
      <c r="K53" s="133"/>
    </row>
    <row r="54" customFormat="false" ht="17.35" hidden="false" customHeight="false" outlineLevel="0" collapsed="false">
      <c r="A54" s="77" t="s">
        <v>103</v>
      </c>
      <c r="B54" s="80"/>
      <c r="C54" s="79"/>
      <c r="D54" s="313"/>
      <c r="E54" s="313"/>
      <c r="K54" s="133"/>
    </row>
    <row r="55" customFormat="false" ht="17.35" hidden="false" customHeight="false" outlineLevel="0" collapsed="false">
      <c r="A55" s="119" t="s">
        <v>104</v>
      </c>
      <c r="B55" s="119" t="s">
        <v>35</v>
      </c>
      <c r="C55" s="121" t="n">
        <v>6</v>
      </c>
      <c r="D55" s="121" t="n">
        <f aca="false">Управление!B22</f>
        <v>2.75</v>
      </c>
      <c r="E55" s="315" t="n">
        <f aca="false">C55*D55</f>
        <v>16.5</v>
      </c>
      <c r="K55" s="133"/>
    </row>
    <row r="56" customFormat="false" ht="17.35" hidden="false" customHeight="false" outlineLevel="0" collapsed="false">
      <c r="A56" s="134" t="s">
        <v>105</v>
      </c>
      <c r="B56" s="115" t="s">
        <v>35</v>
      </c>
      <c r="C56" s="194" t="n">
        <f aca="false">IF(Квартирная!B34="Нет",3,6)</f>
        <v>3</v>
      </c>
      <c r="D56" s="194" t="n">
        <f aca="false">Управление!B24</f>
        <v>5.5</v>
      </c>
      <c r="E56" s="315" t="n">
        <f aca="false">C56*D56</f>
        <v>16.5</v>
      </c>
      <c r="K56" s="133"/>
    </row>
    <row r="57" customFormat="false" ht="17.35" hidden="false" customHeight="false" outlineLevel="0" collapsed="false">
      <c r="A57" s="134" t="s">
        <v>106</v>
      </c>
      <c r="B57" s="134" t="s">
        <v>35</v>
      </c>
      <c r="C57" s="136" t="n">
        <v>1</v>
      </c>
      <c r="D57" s="136" t="n">
        <f aca="false">Управление!B27</f>
        <v>2.15</v>
      </c>
      <c r="E57" s="315" t="n">
        <f aca="false">C57*D57</f>
        <v>2.15</v>
      </c>
      <c r="K57" s="133"/>
    </row>
    <row r="58" customFormat="false" ht="17.35" hidden="false" customHeight="false" outlineLevel="0" collapsed="false">
      <c r="A58" s="321" t="s">
        <v>107</v>
      </c>
      <c r="B58" s="322"/>
      <c r="C58" s="79"/>
      <c r="D58" s="79"/>
      <c r="E58" s="79"/>
      <c r="K58" s="133"/>
    </row>
    <row r="59" customFormat="false" ht="17.35" hidden="false" customHeight="false" outlineLevel="0" collapsed="false">
      <c r="A59" s="119" t="s">
        <v>108</v>
      </c>
      <c r="B59" s="134" t="s">
        <v>35</v>
      </c>
      <c r="C59" s="121" t="n">
        <v>1</v>
      </c>
      <c r="D59" s="121" t="n">
        <f aca="false">Управление!B41</f>
        <v>19.31</v>
      </c>
      <c r="E59" s="315" t="n">
        <f aca="false">C59*D59</f>
        <v>19.31</v>
      </c>
      <c r="K59" s="133"/>
    </row>
    <row r="60" customFormat="false" ht="17.35" hidden="false" customHeight="false" outlineLevel="0" collapsed="false">
      <c r="A60" s="119" t="s">
        <v>298</v>
      </c>
      <c r="B60" s="119" t="s">
        <v>21</v>
      </c>
      <c r="C60" s="121" t="n">
        <v>0.0045</v>
      </c>
      <c r="D60" s="121" t="n">
        <f aca="false">Управление!F42</f>
        <v>3250</v>
      </c>
      <c r="E60" s="315" t="n">
        <f aca="false">C60*D60</f>
        <v>14.625</v>
      </c>
      <c r="K60" s="133"/>
    </row>
    <row r="61" customFormat="false" ht="17.35" hidden="false" customHeight="false" outlineLevel="0" collapsed="false">
      <c r="A61" s="119" t="s">
        <v>109</v>
      </c>
      <c r="B61" s="119" t="s">
        <v>85</v>
      </c>
      <c r="C61" s="121" t="n">
        <v>0.6</v>
      </c>
      <c r="D61" s="121" t="n">
        <f aca="false">Управление!C43</f>
        <v>11</v>
      </c>
      <c r="E61" s="315" t="n">
        <f aca="false">C61*D61</f>
        <v>6.6</v>
      </c>
      <c r="K61" s="133"/>
    </row>
    <row r="62" customFormat="false" ht="17.35" hidden="false" customHeight="false" outlineLevel="0" collapsed="false">
      <c r="A62" s="119" t="s">
        <v>110</v>
      </c>
      <c r="B62" s="134" t="s">
        <v>35</v>
      </c>
      <c r="C62" s="121" t="n">
        <v>1.5</v>
      </c>
      <c r="D62" s="121" t="n">
        <f aca="false">Управление!B44</f>
        <v>17.7</v>
      </c>
      <c r="E62" s="315" t="n">
        <f aca="false">C62*D62</f>
        <v>26.55</v>
      </c>
      <c r="K62" s="133"/>
    </row>
    <row r="63" customFormat="false" ht="17.35" hidden="false" customHeight="false" outlineLevel="0" collapsed="false">
      <c r="A63" s="85" t="s">
        <v>111</v>
      </c>
      <c r="B63" s="115" t="s">
        <v>35</v>
      </c>
      <c r="C63" s="88" t="n">
        <f aca="false">ifs(
    Квартирная!B10 &lt;= 2050, 4,
    Квартирная!B10 &gt; 2100, 9,
    Квартирная!B10 &gt; 2050, 6
)</f>
        <v>4</v>
      </c>
      <c r="D63" s="88" t="n">
        <f aca="false">Управление!B45</f>
        <v>50</v>
      </c>
      <c r="E63" s="315" t="n">
        <f aca="false">C63*D63</f>
        <v>200</v>
      </c>
      <c r="K63" s="133"/>
    </row>
    <row r="64" customFormat="false" ht="17.35" hidden="false" customHeight="false" outlineLevel="0" collapsed="false">
      <c r="A64" s="134" t="s">
        <v>113</v>
      </c>
      <c r="B64" s="134" t="s">
        <v>35</v>
      </c>
      <c r="C64" s="136" t="n">
        <v>16</v>
      </c>
      <c r="D64" s="136" t="n">
        <f aca="false">Управление!B47</f>
        <v>0.43</v>
      </c>
      <c r="E64" s="315" t="n">
        <f aca="false">C64*D64</f>
        <v>6.88</v>
      </c>
      <c r="K64" s="133"/>
    </row>
    <row r="65" customFormat="false" ht="17.35" hidden="false" customHeight="false" outlineLevel="0" collapsed="false">
      <c r="A65" s="134" t="s">
        <v>114</v>
      </c>
      <c r="B65" s="134" t="s">
        <v>35</v>
      </c>
      <c r="C65" s="136" t="n">
        <v>4</v>
      </c>
      <c r="D65" s="136" t="n">
        <f aca="false">Управление!B48</f>
        <v>0.9</v>
      </c>
      <c r="E65" s="315" t="n">
        <f aca="false">C65*D65</f>
        <v>3.6</v>
      </c>
      <c r="K65" s="133"/>
    </row>
    <row r="66" customFormat="false" ht="17.35" hidden="false" customHeight="false" outlineLevel="0" collapsed="false">
      <c r="A66" s="134" t="s">
        <v>115</v>
      </c>
      <c r="B66" s="134" t="s">
        <v>116</v>
      </c>
      <c r="C66" s="136" t="n">
        <v>13</v>
      </c>
      <c r="D66" s="136" t="n">
        <f aca="false">Управление!C49</f>
        <v>1.92</v>
      </c>
      <c r="E66" s="315" t="n">
        <f aca="false">C66*D66</f>
        <v>24.96</v>
      </c>
      <c r="K66" s="133"/>
    </row>
    <row r="67" customFormat="false" ht="17.35" hidden="false" customHeight="false" outlineLevel="0" collapsed="false">
      <c r="A67" s="119" t="s">
        <v>112</v>
      </c>
      <c r="B67" s="134" t="s">
        <v>35</v>
      </c>
      <c r="C67" s="121" t="n">
        <v>1</v>
      </c>
      <c r="D67" s="122" t="n">
        <f aca="false">Управление!B46</f>
        <v>22.7</v>
      </c>
      <c r="E67" s="89" t="n">
        <f aca="false">C67*D67</f>
        <v>22.7</v>
      </c>
      <c r="K67" s="133"/>
    </row>
    <row r="68" customFormat="false" ht="17.35" hidden="false" customHeight="false" outlineLevel="0" collapsed="false">
      <c r="A68" s="134" t="s">
        <v>117</v>
      </c>
      <c r="B68" s="134" t="s">
        <v>116</v>
      </c>
      <c r="C68" s="136" t="n">
        <v>0.387</v>
      </c>
      <c r="D68" s="136" t="n">
        <f aca="false">Управление!C50</f>
        <v>0.66</v>
      </c>
      <c r="E68" s="315" t="n">
        <f aca="false">C68*D68</f>
        <v>0.25542</v>
      </c>
      <c r="K68" s="133"/>
    </row>
    <row r="69" customFormat="false" ht="17.35" hidden="false" customHeight="false" outlineLevel="0" collapsed="false">
      <c r="A69" s="134" t="s">
        <v>118</v>
      </c>
      <c r="B69" s="134" t="s">
        <v>119</v>
      </c>
      <c r="C69" s="136" t="n">
        <v>0.13</v>
      </c>
      <c r="D69" s="136" t="n">
        <f aca="false">Управление!E51</f>
        <v>119</v>
      </c>
      <c r="E69" s="315" t="n">
        <f aca="false">C69*D69</f>
        <v>15.47</v>
      </c>
      <c r="K69" s="133"/>
    </row>
    <row r="70" customFormat="false" ht="17.35" hidden="false" customHeight="false" outlineLevel="0" collapsed="false">
      <c r="A70" s="119" t="s">
        <v>120</v>
      </c>
      <c r="B70" s="119" t="s">
        <v>35</v>
      </c>
      <c r="C70" s="137" t="n">
        <v>1.5</v>
      </c>
      <c r="D70" s="136" t="n">
        <f aca="false">Управление!B52</f>
        <v>54.08</v>
      </c>
      <c r="E70" s="315" t="n">
        <f aca="false">C70*D70</f>
        <v>81.12</v>
      </c>
      <c r="K70" s="133"/>
    </row>
    <row r="71" customFormat="false" ht="17.35" hidden="false" customHeight="false" outlineLevel="0" collapsed="false">
      <c r="A71" s="134" t="s">
        <v>299</v>
      </c>
      <c r="B71" s="134" t="s">
        <v>35</v>
      </c>
      <c r="C71" s="121" t="n">
        <v>1</v>
      </c>
      <c r="D71" s="121" t="n">
        <f aca="false">Управление!B53</f>
        <v>35.5</v>
      </c>
      <c r="E71" s="315" t="n">
        <f aca="false">C71*D71</f>
        <v>35.5</v>
      </c>
      <c r="K71" s="133"/>
    </row>
    <row r="72" customFormat="false" ht="17.35" hidden="false" customHeight="false" outlineLevel="0" collapsed="false">
      <c r="A72" s="141" t="s">
        <v>122</v>
      </c>
      <c r="B72" s="80"/>
      <c r="C72" s="79"/>
      <c r="D72" s="313"/>
      <c r="E72" s="313"/>
      <c r="K72" s="133"/>
    </row>
    <row r="73" customFormat="false" ht="17.35" hidden="false" customHeight="false" outlineLevel="0" collapsed="false">
      <c r="A73" s="119" t="s">
        <v>123</v>
      </c>
      <c r="B73" s="119" t="s">
        <v>35</v>
      </c>
      <c r="C73" s="121" t="n">
        <v>2</v>
      </c>
      <c r="D73" s="121" t="n">
        <f aca="false">Управление!B56</f>
        <v>0.61</v>
      </c>
      <c r="E73" s="315" t="n">
        <f aca="false">C73*D73</f>
        <v>1.22</v>
      </c>
      <c r="K73" s="133"/>
    </row>
    <row r="74" customFormat="false" ht="17.35" hidden="false" customHeight="false" outlineLevel="0" collapsed="false">
      <c r="A74" s="119" t="s">
        <v>124</v>
      </c>
      <c r="B74" s="134" t="s">
        <v>29</v>
      </c>
      <c r="C74" s="121" t="n">
        <v>0.165</v>
      </c>
      <c r="D74" s="121" t="n">
        <f aca="false">Управление!G57</f>
        <v>169</v>
      </c>
      <c r="E74" s="315" t="n">
        <f aca="false">C74*D74</f>
        <v>27.885</v>
      </c>
      <c r="K74" s="133"/>
    </row>
    <row r="75" customFormat="false" ht="17.35" hidden="false" customHeight="false" outlineLevel="0" collapsed="false">
      <c r="A75" s="134" t="s">
        <v>125</v>
      </c>
      <c r="B75" s="119" t="s">
        <v>35</v>
      </c>
      <c r="C75" s="136" t="n">
        <v>1</v>
      </c>
      <c r="D75" s="136" t="n">
        <f aca="false">Управление!F58</f>
        <v>3000</v>
      </c>
      <c r="E75" s="320" t="n">
        <f aca="false">C75*D75</f>
        <v>3000</v>
      </c>
      <c r="K75" s="133"/>
    </row>
    <row r="76" customFormat="false" ht="17.35" hidden="false" customHeight="false" outlineLevel="0" collapsed="false">
      <c r="A76" s="134" t="s">
        <v>126</v>
      </c>
      <c r="B76" s="119" t="s">
        <v>35</v>
      </c>
      <c r="C76" s="136" t="n">
        <f aca="false">IF(Квартирная!A29="Нет",1,2)</f>
        <v>2</v>
      </c>
      <c r="D76" s="136" t="n">
        <f aca="false">Управление!B60</f>
        <v>200</v>
      </c>
      <c r="E76" s="320" t="n">
        <f aca="false">C76*D76</f>
        <v>400</v>
      </c>
      <c r="K76" s="133"/>
    </row>
    <row r="77" customFormat="false" ht="17.35" hidden="false" customHeight="false" outlineLevel="0" collapsed="false">
      <c r="A77" s="141" t="s">
        <v>127</v>
      </c>
      <c r="B77" s="78"/>
      <c r="C77" s="79"/>
      <c r="D77" s="80"/>
      <c r="E77" s="81"/>
      <c r="K77" s="133"/>
    </row>
    <row r="78" customFormat="false" ht="17.35" hidden="false" customHeight="false" outlineLevel="0" collapsed="false">
      <c r="A78" s="85" t="s">
        <v>300</v>
      </c>
      <c r="B78" s="85" t="s">
        <v>29</v>
      </c>
      <c r="C78" s="199" t="n">
        <f aca="false">IF(Квартирная!B15="Открытый [Без утепления]",0,9.067)</f>
        <v>0</v>
      </c>
      <c r="D78" s="143" t="n">
        <f aca="false">Управление!G3</f>
        <v>84</v>
      </c>
      <c r="E78" s="323" t="n">
        <f aca="false">D78*C78</f>
        <v>0</v>
      </c>
      <c r="K78" s="133"/>
    </row>
    <row r="79" customFormat="false" ht="17.35" hidden="false" customHeight="false" outlineLevel="0" collapsed="false">
      <c r="A79" s="85" t="s">
        <v>301</v>
      </c>
      <c r="B79" s="85" t="s">
        <v>21</v>
      </c>
      <c r="C79" s="143" t="n">
        <f aca="false">IF(Квартирная!B15="Открытый [Без утепления]",0,0.035)</f>
        <v>0</v>
      </c>
      <c r="D79" s="143" t="n">
        <f aca="false">Управление!F15</f>
        <v>3750</v>
      </c>
      <c r="E79" s="323" t="n">
        <f aca="false">D79*C79</f>
        <v>0</v>
      </c>
      <c r="F79" s="324"/>
      <c r="K79" s="133"/>
    </row>
    <row r="80" customFormat="false" ht="17.35" hidden="false" customHeight="false" outlineLevel="0" collapsed="false">
      <c r="A80" s="141" t="s">
        <v>130</v>
      </c>
      <c r="B80" s="78"/>
      <c r="C80" s="79"/>
      <c r="D80" s="80"/>
      <c r="E80" s="81"/>
      <c r="F80" s="324"/>
      <c r="K80" s="133"/>
    </row>
    <row r="81" customFormat="false" ht="17.35" hidden="false" customHeight="false" outlineLevel="0" collapsed="false">
      <c r="A81" s="119" t="s">
        <v>131</v>
      </c>
      <c r="B81" s="146"/>
      <c r="C81" s="122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отделка'!E3),0,100)</f>
        <v>100</v>
      </c>
      <c r="D81" s="122" t="n">
        <f aca="false">Управление!B38</f>
        <v>0.18</v>
      </c>
      <c r="E81" s="325" t="n">
        <f aca="false">C81*D81</f>
        <v>18</v>
      </c>
      <c r="F81" s="324"/>
      <c r="K81" s="133"/>
    </row>
    <row r="82" customFormat="false" ht="17.35" hidden="false" customHeight="false" outlineLevel="0" collapsed="false">
      <c r="A82" s="119" t="s">
        <v>89</v>
      </c>
      <c r="B82" s="120" t="s">
        <v>35</v>
      </c>
      <c r="C82" s="125" t="n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отделка'!E3),0,4)</f>
        <v>4</v>
      </c>
      <c r="D82" s="122" t="n">
        <f aca="false">Управление!B17</f>
        <v>1.6</v>
      </c>
      <c r="E82" s="89" t="n">
        <f aca="false">C82*D82</f>
        <v>6.4</v>
      </c>
      <c r="F82" s="324"/>
      <c r="K82" s="133"/>
    </row>
    <row r="83" customFormat="false" ht="17.35" hidden="false" customHeight="false" outlineLevel="0" collapsed="false">
      <c r="A83" s="141" t="s">
        <v>133</v>
      </c>
      <c r="B83" s="78"/>
      <c r="C83" s="79"/>
      <c r="D83" s="80"/>
      <c r="E83" s="81"/>
      <c r="F83" s="324"/>
      <c r="K83" s="133"/>
    </row>
    <row r="84" customFormat="false" ht="17.35" hidden="false" customHeight="false" outlineLevel="0" collapsed="false">
      <c r="A84" s="146" t="s">
        <v>134</v>
      </c>
      <c r="B84" s="120" t="s">
        <v>35</v>
      </c>
      <c r="C84" s="142" t="n">
        <f aca="false">IF(Квартирная!A32="Электронный",0,F84)</f>
        <v>1</v>
      </c>
      <c r="D84" s="140" t="n">
        <f aca="false">Управление!J29</f>
        <v>360</v>
      </c>
      <c r="E84" s="118" t="n">
        <f aca="false">C84*D84</f>
        <v>360</v>
      </c>
      <c r="F84" s="324" t="n">
        <f aca="false">IF(Квартирная!B32=A84,1,0)</f>
        <v>1</v>
      </c>
      <c r="K84" s="133"/>
    </row>
    <row r="85" customFormat="false" ht="17.35" hidden="false" customHeight="false" outlineLevel="0" collapsed="false">
      <c r="A85" s="146" t="s">
        <v>135</v>
      </c>
      <c r="B85" s="120" t="s">
        <v>35</v>
      </c>
      <c r="C85" s="142" t="n">
        <f aca="false">IF(Квартирная!A32="Электронный",0,F85)</f>
        <v>0</v>
      </c>
      <c r="D85" s="140" t="n">
        <f aca="false">Управление!J30</f>
        <v>758</v>
      </c>
      <c r="E85" s="118" t="n">
        <f aca="false">C85*D85</f>
        <v>0</v>
      </c>
      <c r="F85" s="324" t="n">
        <f aca="false">IF(Квартирная!B32=A85,1,0)</f>
        <v>0</v>
      </c>
      <c r="K85" s="133"/>
    </row>
    <row r="86" customFormat="false" ht="17.35" hidden="false" customHeight="false" outlineLevel="0" collapsed="false">
      <c r="A86" s="146" t="s">
        <v>136</v>
      </c>
      <c r="B86" s="120" t="s">
        <v>35</v>
      </c>
      <c r="C86" s="142" t="n">
        <f aca="false">IF(Квартирная!A32="Электронный",0,F86)</f>
        <v>0</v>
      </c>
      <c r="D86" s="140" t="n">
        <f aca="false">Управление!J31</f>
        <v>875</v>
      </c>
      <c r="E86" s="118" t="n">
        <f aca="false">C86*D86</f>
        <v>0</v>
      </c>
      <c r="F86" s="324" t="n">
        <f aca="false">IF(Квартирная!B32=A86,1,0)</f>
        <v>0</v>
      </c>
      <c r="K86" s="133"/>
    </row>
    <row r="87" customFormat="false" ht="17.35" hidden="false" customHeight="false" outlineLevel="0" collapsed="false">
      <c r="A87" s="146" t="s">
        <v>137</v>
      </c>
      <c r="B87" s="120" t="s">
        <v>35</v>
      </c>
      <c r="C87" s="142" t="n">
        <f aca="false">IF(Квартирная!A32="Электронный",0,F87)</f>
        <v>0</v>
      </c>
      <c r="D87" s="140" t="n">
        <f aca="false">Управление!J32</f>
        <v>485</v>
      </c>
      <c r="E87" s="118" t="n">
        <f aca="false">C87*D87</f>
        <v>0</v>
      </c>
      <c r="F87" s="324" t="n">
        <f aca="false">IF(Квартирная!B32=A87,1,0)</f>
        <v>0</v>
      </c>
      <c r="K87" s="133"/>
    </row>
    <row r="88" customFormat="false" ht="17.35" hidden="false" customHeight="false" outlineLevel="0" collapsed="false">
      <c r="A88" s="146" t="s">
        <v>138</v>
      </c>
      <c r="B88" s="120" t="s">
        <v>35</v>
      </c>
      <c r="C88" s="142" t="n">
        <f aca="false">IF(Квартирная!A32="Электронный",0,F88)</f>
        <v>0</v>
      </c>
      <c r="D88" s="140" t="n">
        <f aca="false">Управление!J33</f>
        <v>1449</v>
      </c>
      <c r="E88" s="118" t="n">
        <f aca="false">C88*D88</f>
        <v>0</v>
      </c>
      <c r="F88" s="324" t="n">
        <f aca="false">IF(Квартирная!B32=A88,1,0)</f>
        <v>0</v>
      </c>
      <c r="K88" s="133"/>
    </row>
    <row r="89" customFormat="false" ht="17.35" hidden="false" customHeight="false" outlineLevel="0" collapsed="false">
      <c r="A89" s="146" t="s">
        <v>139</v>
      </c>
      <c r="B89" s="120" t="s">
        <v>35</v>
      </c>
      <c r="C89" s="142" t="n">
        <f aca="false">IF(Квартирная!A32="Электронный",0,F89)</f>
        <v>0</v>
      </c>
      <c r="D89" s="140" t="n">
        <f aca="false">Управление!J34</f>
        <v>2025</v>
      </c>
      <c r="E89" s="118" t="n">
        <f aca="false">C89*D89</f>
        <v>0</v>
      </c>
      <c r="F89" s="324" t="n">
        <f aca="false">IF(Квартирная!B32=A89,1,0)</f>
        <v>0</v>
      </c>
      <c r="K89" s="133"/>
    </row>
    <row r="90" customFormat="false" ht="17.35" hidden="false" customHeight="false" outlineLevel="0" collapsed="false">
      <c r="A90" s="326" t="s">
        <v>140</v>
      </c>
      <c r="B90" s="120" t="s">
        <v>35</v>
      </c>
      <c r="C90" s="142" t="n">
        <f aca="false">IF(Квартирная!B34=A90,1,0)</f>
        <v>0</v>
      </c>
      <c r="D90" s="140" t="n">
        <f aca="false">Управление!J35</f>
        <v>390</v>
      </c>
      <c r="E90" s="118" t="n">
        <f aca="false">C90*D90</f>
        <v>0</v>
      </c>
      <c r="F90" s="69"/>
      <c r="K90" s="133"/>
    </row>
    <row r="91" customFormat="false" ht="17.35" hidden="false" customHeight="false" outlineLevel="0" collapsed="false">
      <c r="A91" s="326" t="s">
        <v>141</v>
      </c>
      <c r="B91" s="120" t="s">
        <v>35</v>
      </c>
      <c r="C91" s="142" t="n">
        <f aca="false">IF(Квартирная!B34=A91,1,0)</f>
        <v>0</v>
      </c>
      <c r="D91" s="140" t="n">
        <f aca="false">Управление!J36</f>
        <v>967</v>
      </c>
      <c r="E91" s="118" t="n">
        <f aca="false">C91*D91</f>
        <v>0</v>
      </c>
      <c r="F91" s="324"/>
      <c r="K91" s="133"/>
    </row>
    <row r="92" customFormat="false" ht="17.35" hidden="false" customHeight="false" outlineLevel="0" collapsed="false">
      <c r="A92" s="326" t="s">
        <v>142</v>
      </c>
      <c r="B92" s="120" t="s">
        <v>35</v>
      </c>
      <c r="C92" s="142" t="n">
        <f aca="false">IF(Квартирная!B34=A92,1,0)</f>
        <v>0</v>
      </c>
      <c r="D92" s="140" t="n">
        <f aca="false">Управление!J37</f>
        <v>1060</v>
      </c>
      <c r="E92" s="118" t="n">
        <f aca="false">C92*D92</f>
        <v>0</v>
      </c>
      <c r="K92" s="133"/>
    </row>
    <row r="93" customFormat="false" ht="17.35" hidden="false" customHeight="false" outlineLevel="0" collapsed="false">
      <c r="A93" s="326" t="s">
        <v>143</v>
      </c>
      <c r="B93" s="120" t="s">
        <v>35</v>
      </c>
      <c r="C93" s="142" t="n">
        <f aca="false">IF(Квартирная!B34=A93,1,0)</f>
        <v>0</v>
      </c>
      <c r="D93" s="140" t="n">
        <f aca="false">Управление!J38</f>
        <v>310</v>
      </c>
      <c r="E93" s="118" t="n">
        <f aca="false">C93*D93</f>
        <v>0</v>
      </c>
      <c r="K93" s="133"/>
    </row>
    <row r="94" customFormat="false" ht="17.35" hidden="false" customHeight="false" outlineLevel="0" collapsed="false">
      <c r="A94" s="326" t="s">
        <v>144</v>
      </c>
      <c r="B94" s="120" t="s">
        <v>35</v>
      </c>
      <c r="C94" s="142" t="n">
        <f aca="false">IF(Квартирная!B34=A94,1,0)</f>
        <v>0</v>
      </c>
      <c r="D94" s="140" t="n">
        <f aca="false">Управление!J39</f>
        <v>701</v>
      </c>
      <c r="E94" s="118" t="n">
        <f aca="false">C94*D94</f>
        <v>0</v>
      </c>
      <c r="K94" s="133"/>
    </row>
    <row r="95" customFormat="false" ht="17.35" hidden="false" customHeight="false" outlineLevel="0" collapsed="false">
      <c r="A95" s="326" t="s">
        <v>145</v>
      </c>
      <c r="B95" s="120" t="s">
        <v>35</v>
      </c>
      <c r="C95" s="142" t="n">
        <f aca="false">IF(Квартирная!B34=A95,1,0)</f>
        <v>0</v>
      </c>
      <c r="D95" s="140" t="n">
        <f aca="false">Управление!J40</f>
        <v>993</v>
      </c>
      <c r="E95" s="118" t="n">
        <f aca="false">C95*D95</f>
        <v>0</v>
      </c>
      <c r="K95" s="133"/>
    </row>
    <row r="96" customFormat="false" ht="17.35" hidden="false" customHeight="false" outlineLevel="0" collapsed="false">
      <c r="A96" s="149" t="s">
        <v>146</v>
      </c>
      <c r="B96" s="150"/>
      <c r="C96" s="151"/>
      <c r="D96" s="152"/>
      <c r="E96" s="153"/>
      <c r="K96" s="133"/>
    </row>
    <row r="97" customFormat="false" ht="17.35" hidden="false" customHeight="false" outlineLevel="0" collapsed="false">
      <c r="A97" s="154" t="s">
        <v>147</v>
      </c>
      <c r="B97" s="119" t="s">
        <v>35</v>
      </c>
      <c r="C97" s="327" t="n">
        <f aca="false">IF(AND(F97="Металл",OR(Квартирная!A32="Цилиндровый",Квартирная!A32="Специальный"),Квартирная!B36="DWF Profi"),1,0)</f>
        <v>0</v>
      </c>
      <c r="D97" s="328" t="n">
        <f aca="false">Управление!J43</f>
        <v>235</v>
      </c>
      <c r="E97" s="329" t="n">
        <f aca="false">C97*D97</f>
        <v>0</v>
      </c>
      <c r="F97" s="324" t="str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отделка'!E3),"Металл","МДФ")</f>
        <v>МДФ</v>
      </c>
      <c r="K97" s="133"/>
    </row>
    <row r="98" customFormat="false" ht="17.35" hidden="false" customHeight="false" outlineLevel="0" collapsed="false">
      <c r="A98" s="154" t="s">
        <v>148</v>
      </c>
      <c r="B98" s="119" t="s">
        <v>35</v>
      </c>
      <c r="C98" s="327" t="n">
        <f aca="false">IF(AND(F97="Металл",OR(Квартирная!A32="Цилиндровый",Квартирная!A32="Специальный"),Квартирная!B36="Fuaro D-Pro 507"),1,0)</f>
        <v>0</v>
      </c>
      <c r="D98" s="328" t="n">
        <f aca="false">Управление!J44</f>
        <v>670</v>
      </c>
      <c r="E98" s="329" t="n">
        <f aca="false">C98*D98</f>
        <v>0</v>
      </c>
      <c r="K98" s="133"/>
    </row>
    <row r="99" customFormat="false" ht="17.35" hidden="false" customHeight="false" outlineLevel="0" collapsed="false">
      <c r="A99" s="154" t="s">
        <v>149</v>
      </c>
      <c r="B99" s="119" t="s">
        <v>35</v>
      </c>
      <c r="C99" s="327" t="n">
        <f aca="false">IF(AND(F97="Металл",OR(Квартирная!A32="Цилиндровый",Квартирная!A32="Специальный"),Квартирная!B36="Secureme K-2"),1,0)</f>
        <v>0</v>
      </c>
      <c r="D99" s="328" t="n">
        <f aca="false">Управление!J45</f>
        <v>3660</v>
      </c>
      <c r="E99" s="329" t="n">
        <f aca="false">C99*D99</f>
        <v>0</v>
      </c>
      <c r="K99" s="133"/>
    </row>
    <row r="100" customFormat="false" ht="17.35" hidden="false" customHeight="false" outlineLevel="0" collapsed="false">
      <c r="A100" s="154" t="s">
        <v>150</v>
      </c>
      <c r="B100" s="119" t="s">
        <v>35</v>
      </c>
      <c r="C100" s="327" t="n">
        <f aca="false">IF(AND(F97="МДФ",OR(Квартирная!A32="Цилиндровый",Квартирная!A32="Специальный"),Квартирная!B36="DWF Profi"),1,0)</f>
        <v>1</v>
      </c>
      <c r="D100" s="328" t="n">
        <f aca="false">Управление!J46</f>
        <v>290</v>
      </c>
      <c r="E100" s="329" t="n">
        <f aca="false">C100*D100</f>
        <v>290</v>
      </c>
      <c r="K100" s="133"/>
    </row>
    <row r="101" customFormat="false" ht="17.35" hidden="false" customHeight="false" outlineLevel="0" collapsed="false">
      <c r="A101" s="154" t="s">
        <v>151</v>
      </c>
      <c r="B101" s="119" t="s">
        <v>35</v>
      </c>
      <c r="C101" s="327" t="n">
        <f aca="false">IF(AND(F97="МДФ",OR(Квартирная!A32="Цилиндровый",Квартирная!A32="Специальный"),Квартирная!B36="Fuaro D-Pro 507"),1,0)</f>
        <v>0</v>
      </c>
      <c r="D101" s="328" t="n">
        <f aca="false">Управление!J47</f>
        <v>790</v>
      </c>
      <c r="E101" s="329" t="n">
        <f aca="false">C101*D101</f>
        <v>0</v>
      </c>
      <c r="K101" s="133"/>
    </row>
    <row r="102" customFormat="false" ht="17.35" hidden="false" customHeight="false" outlineLevel="0" collapsed="false">
      <c r="A102" s="154" t="s">
        <v>152</v>
      </c>
      <c r="B102" s="119" t="s">
        <v>35</v>
      </c>
      <c r="C102" s="327" t="n">
        <f aca="false">IF(AND(F97="МДФ",OR(Квартирная!A32="Цилиндровый",Квартирная!A32="Специальный"),Квартирная!B36="Secureme K-2"),1,0)</f>
        <v>0</v>
      </c>
      <c r="D102" s="328" t="n">
        <f aca="false">Управление!J48</f>
        <v>3690</v>
      </c>
      <c r="E102" s="329" t="n">
        <f aca="false">C102*D102</f>
        <v>0</v>
      </c>
      <c r="K102" s="133"/>
    </row>
    <row r="103" customFormat="false" ht="17.35" hidden="false" customHeight="false" outlineLevel="0" collapsed="false">
      <c r="A103" s="149" t="s">
        <v>153</v>
      </c>
      <c r="B103" s="150"/>
      <c r="C103" s="151"/>
      <c r="D103" s="152"/>
      <c r="E103" s="153"/>
      <c r="K103" s="133"/>
    </row>
    <row r="104" customFormat="false" ht="17.35" hidden="false" customHeight="false" outlineLevel="0" collapsed="false">
      <c r="A104" s="154" t="s">
        <v>147</v>
      </c>
      <c r="B104" s="119" t="s">
        <v>35</v>
      </c>
      <c r="C104" s="142" t="n">
        <f aca="false">IF(AND(F97="Металл",Квартирная!A34="Цилиндровый",Квартирная!B38="DWF Profi"),1,0)</f>
        <v>0</v>
      </c>
      <c r="D104" s="140" t="n">
        <f aca="false">Управление!J43</f>
        <v>235</v>
      </c>
      <c r="E104" s="118" t="n">
        <f aca="false">C104*D104</f>
        <v>0</v>
      </c>
      <c r="K104" s="133"/>
    </row>
    <row r="105" customFormat="false" ht="17.35" hidden="false" customHeight="false" outlineLevel="0" collapsed="false">
      <c r="A105" s="154" t="s">
        <v>148</v>
      </c>
      <c r="B105" s="119" t="s">
        <v>35</v>
      </c>
      <c r="C105" s="142" t="n">
        <f aca="false">IF(AND(F97="Металл",Квартирная!A34="Цилиндровый",Квартирная!B38="Fuaro D-Pro 507"),1,0)</f>
        <v>0</v>
      </c>
      <c r="D105" s="140" t="n">
        <f aca="false">Управление!J44</f>
        <v>670</v>
      </c>
      <c r="E105" s="118" t="n">
        <f aca="false">C105*D105</f>
        <v>0</v>
      </c>
      <c r="K105" s="133"/>
    </row>
    <row r="106" customFormat="false" ht="17.35" hidden="false" customHeight="false" outlineLevel="0" collapsed="false">
      <c r="A106" s="154" t="s">
        <v>149</v>
      </c>
      <c r="B106" s="119" t="s">
        <v>35</v>
      </c>
      <c r="C106" s="142" t="n">
        <f aca="false">IF(AND(F97="Металл",Квартирная!A34="Цилиндровый",Квартирная!B38="Secureme K-2"),1,0)</f>
        <v>0</v>
      </c>
      <c r="D106" s="140" t="n">
        <f aca="false">Управление!J45</f>
        <v>3660</v>
      </c>
      <c r="E106" s="118" t="n">
        <f aca="false">C106*D106</f>
        <v>0</v>
      </c>
      <c r="K106" s="133"/>
    </row>
    <row r="107" customFormat="false" ht="17.35" hidden="false" customHeight="false" outlineLevel="0" collapsed="false">
      <c r="A107" s="154" t="s">
        <v>150</v>
      </c>
      <c r="B107" s="119" t="s">
        <v>35</v>
      </c>
      <c r="C107" s="142" t="n">
        <f aca="false">IF(AND(F97="МДФ",Квартирная!A34="Цилиндровый",Квартирная!B38="DWF Profi"),1,0)</f>
        <v>0</v>
      </c>
      <c r="D107" s="140" t="n">
        <f aca="false">Управление!J46</f>
        <v>290</v>
      </c>
      <c r="E107" s="118" t="n">
        <f aca="false">C107*D107</f>
        <v>0</v>
      </c>
      <c r="K107" s="133"/>
    </row>
    <row r="108" customFormat="false" ht="17.35" hidden="false" customHeight="false" outlineLevel="0" collapsed="false">
      <c r="A108" s="154" t="s">
        <v>151</v>
      </c>
      <c r="B108" s="119" t="s">
        <v>35</v>
      </c>
      <c r="C108" s="142" t="n">
        <f aca="false">IF(AND(F97="МДФ",Квартирная!A34="Цилиндровый",Квартирная!B38="Fuaro D-Pro 507"),1,0)</f>
        <v>0</v>
      </c>
      <c r="D108" s="140" t="n">
        <f aca="false">Управление!J47</f>
        <v>790</v>
      </c>
      <c r="E108" s="118" t="n">
        <f aca="false">C108*D108</f>
        <v>0</v>
      </c>
      <c r="K108" s="133"/>
    </row>
    <row r="109" customFormat="false" ht="17.35" hidden="false" customHeight="false" outlineLevel="0" collapsed="false">
      <c r="A109" s="154" t="s">
        <v>152</v>
      </c>
      <c r="B109" s="119" t="s">
        <v>35</v>
      </c>
      <c r="C109" s="142" t="n">
        <f aca="false">IF(AND(F97="МДФ",Квартирная!A34="Цилиндровый",Квартирная!B38="Secureme K-2"),1,0)</f>
        <v>0</v>
      </c>
      <c r="D109" s="140" t="n">
        <f aca="false">Управление!J48</f>
        <v>3690</v>
      </c>
      <c r="E109" s="118" t="n">
        <f aca="false">C109*D109</f>
        <v>0</v>
      </c>
      <c r="K109" s="133"/>
    </row>
    <row r="110" customFormat="false" ht="17.35" hidden="false" customHeight="false" outlineLevel="0" collapsed="false">
      <c r="A110" s="141" t="s">
        <v>154</v>
      </c>
      <c r="B110" s="141"/>
      <c r="C110" s="141"/>
      <c r="D110" s="141"/>
      <c r="E110" s="141"/>
      <c r="K110" s="133"/>
    </row>
    <row r="111" customFormat="false" ht="17.35" hidden="false" customHeight="true" outlineLevel="0" collapsed="false">
      <c r="A111" s="122" t="s">
        <v>155</v>
      </c>
      <c r="B111" s="122"/>
      <c r="C111" s="122"/>
      <c r="D111" s="122"/>
      <c r="E111" s="122"/>
      <c r="K111" s="133"/>
    </row>
    <row r="112" customFormat="false" ht="17.35" hidden="false" customHeight="false" outlineLevel="0" collapsed="false">
      <c r="A112" s="134" t="s">
        <v>156</v>
      </c>
      <c r="B112" s="119" t="s">
        <v>35</v>
      </c>
      <c r="C112" s="142" t="n">
        <f aca="false">IF(Квартирная!A32="Электронный",0,F112)</f>
        <v>0</v>
      </c>
      <c r="D112" s="140" t="n">
        <f aca="false">Управление!J52</f>
        <v>480</v>
      </c>
      <c r="E112" s="118" t="n">
        <f aca="false">D112*C112</f>
        <v>0</v>
      </c>
      <c r="F112" s="324" t="n">
        <f aca="false">IF(AND(Квартирная!B41="Золото",Квартирная!C41="Квадратное"),1,0)</f>
        <v>0</v>
      </c>
      <c r="K112" s="133"/>
    </row>
    <row r="113" customFormat="false" ht="17.35" hidden="false" customHeight="false" outlineLevel="0" collapsed="false">
      <c r="A113" s="134" t="s">
        <v>157</v>
      </c>
      <c r="B113" s="119" t="s">
        <v>35</v>
      </c>
      <c r="C113" s="142" t="n">
        <f aca="false">IF(Квартирная!A32="Электронный",0,F113)</f>
        <v>0</v>
      </c>
      <c r="D113" s="140" t="n">
        <f aca="false">Управление!J53</f>
        <v>390</v>
      </c>
      <c r="E113" s="118" t="n">
        <f aca="false">D113*C113</f>
        <v>0</v>
      </c>
      <c r="F113" s="324" t="n">
        <f aca="false">IF(AND(Квартирная!B41="Чёрная",Квартирная!C41="Квадратное"),1,0)</f>
        <v>0</v>
      </c>
      <c r="K113" s="133"/>
    </row>
    <row r="114" customFormat="false" ht="17.35" hidden="false" customHeight="false" outlineLevel="0" collapsed="false">
      <c r="A114" s="134" t="s">
        <v>158</v>
      </c>
      <c r="B114" s="119" t="s">
        <v>35</v>
      </c>
      <c r="C114" s="142" t="n">
        <f aca="false">IF(Квартирная!A32="Электронный",0,F114)</f>
        <v>1</v>
      </c>
      <c r="D114" s="140" t="n">
        <f aca="false">Управление!J54</f>
        <v>390</v>
      </c>
      <c r="E114" s="118" t="n">
        <f aca="false">D114*C114</f>
        <v>390</v>
      </c>
      <c r="F114" s="324" t="n">
        <f aca="false">IF(AND(Квартирная!B41="Хром",Квартирная!C41="Квадратное"),1,0)</f>
        <v>1</v>
      </c>
      <c r="K114" s="133"/>
    </row>
    <row r="115" customFormat="false" ht="17.35" hidden="false" customHeight="false" outlineLevel="0" collapsed="false">
      <c r="A115" s="134" t="s">
        <v>159</v>
      </c>
      <c r="B115" s="119" t="s">
        <v>35</v>
      </c>
      <c r="C115" s="142" t="n">
        <f aca="false">IF(Квартирная!A32="Электронный",0,F115)</f>
        <v>0</v>
      </c>
      <c r="D115" s="140" t="n">
        <f aca="false">Управление!J55</f>
        <v>277.1</v>
      </c>
      <c r="E115" s="118" t="n">
        <f aca="false">D115*C115</f>
        <v>0</v>
      </c>
      <c r="F115" s="324" t="n">
        <f aca="false">IF(AND(Квартирная!B41="Бронза",Квартирная!C41="Овальное"),1,0)</f>
        <v>0</v>
      </c>
      <c r="K115" s="133"/>
    </row>
    <row r="116" customFormat="false" ht="17.35" hidden="false" customHeight="false" outlineLevel="0" collapsed="false">
      <c r="A116" s="134" t="s">
        <v>160</v>
      </c>
      <c r="B116" s="119" t="s">
        <v>35</v>
      </c>
      <c r="C116" s="142" t="n">
        <f aca="false">IF(Квартирная!A32="Электронный",0,F116)</f>
        <v>0</v>
      </c>
      <c r="D116" s="140" t="n">
        <f aca="false">Управление!J56</f>
        <v>240</v>
      </c>
      <c r="E116" s="118" t="n">
        <f aca="false">D116*C116</f>
        <v>0</v>
      </c>
      <c r="F116" s="324" t="n">
        <f aca="false">IF(AND(Квартирная!B41="Чёрная",Квартирная!C41="Овальное"),1,0)</f>
        <v>0</v>
      </c>
      <c r="K116" s="133"/>
    </row>
    <row r="117" customFormat="false" ht="17.35" hidden="false" customHeight="false" outlineLevel="0" collapsed="false">
      <c r="A117" s="134" t="s">
        <v>161</v>
      </c>
      <c r="B117" s="119" t="s">
        <v>35</v>
      </c>
      <c r="C117" s="142" t="n">
        <f aca="false">IF(Квартирная!A32="Электронный",0,F117)</f>
        <v>0</v>
      </c>
      <c r="D117" s="140" t="n">
        <f aca="false">Управление!J57</f>
        <v>218.7</v>
      </c>
      <c r="E117" s="118" t="n">
        <f aca="false">D117*C117</f>
        <v>0</v>
      </c>
      <c r="F117" s="324" t="n">
        <f aca="false">IF(AND(Квартирная!B41="Хром",Квартирная!C41="Овальное"),1,0)</f>
        <v>0</v>
      </c>
      <c r="K117" s="133"/>
    </row>
    <row r="118" customFormat="false" ht="17.35" hidden="false" customHeight="true" outlineLevel="0" collapsed="false">
      <c r="A118" s="330" t="s">
        <v>162</v>
      </c>
      <c r="B118" s="330"/>
      <c r="C118" s="330"/>
      <c r="D118" s="330"/>
      <c r="E118" s="330"/>
      <c r="F118" s="324"/>
      <c r="K118" s="133"/>
    </row>
    <row r="119" customFormat="false" ht="17.35" hidden="false" customHeight="false" outlineLevel="0" collapsed="false">
      <c r="A119" s="134" t="s">
        <v>163</v>
      </c>
      <c r="B119" s="119" t="s">
        <v>35</v>
      </c>
      <c r="C119" s="142" t="n">
        <f aca="false">IF(Квартирная!A32="Электронный",0,F119)</f>
        <v>0</v>
      </c>
      <c r="D119" s="164" t="n">
        <f aca="false">Управление!J59</f>
        <v>369</v>
      </c>
      <c r="E119" s="118" t="n">
        <f aca="false">D119*C119</f>
        <v>0</v>
      </c>
      <c r="F119" s="324" t="n">
        <f aca="false">IF(AND(OR(Квартирная!A32="Цилиндровый",Квартирная!A32="Специальный"),Квартирная!C41="Квадратное",Квартирная!B41="Золото"),1,0)</f>
        <v>0</v>
      </c>
      <c r="K119" s="133"/>
    </row>
    <row r="120" customFormat="false" ht="17.35" hidden="false" customHeight="false" outlineLevel="0" collapsed="false">
      <c r="A120" s="134" t="s">
        <v>164</v>
      </c>
      <c r="B120" s="119" t="s">
        <v>35</v>
      </c>
      <c r="C120" s="142" t="n">
        <f aca="false">IF(Квартирная!A32="Электронный",0,F120)</f>
        <v>0</v>
      </c>
      <c r="D120" s="164" t="n">
        <f aca="false">Управление!J60</f>
        <v>84</v>
      </c>
      <c r="E120" s="118" t="n">
        <f aca="false">D120*C120</f>
        <v>0</v>
      </c>
      <c r="F120" s="324" t="n">
        <f aca="false">IF(AND(OR(Квартирная!A32="Цилиндровый",Квартирная!A32="Специальный"),Квартирная!C41="Квадратное",Квартирная!B41="Золото"),1,0)</f>
        <v>0</v>
      </c>
      <c r="K120" s="133"/>
    </row>
    <row r="121" customFormat="false" ht="17.35" hidden="false" customHeight="false" outlineLevel="0" collapsed="false">
      <c r="A121" s="134" t="s">
        <v>165</v>
      </c>
      <c r="B121" s="119" t="s">
        <v>35</v>
      </c>
      <c r="C121" s="142" t="n">
        <f aca="false">IF(Квартирная!A32="Электронный",0,F121)</f>
        <v>0</v>
      </c>
      <c r="D121" s="164" t="n">
        <f aca="false">Управление!J61</f>
        <v>360</v>
      </c>
      <c r="E121" s="118" t="n">
        <f aca="false">D121*C121</f>
        <v>0</v>
      </c>
      <c r="F121" s="324" t="n">
        <f aca="false">IF(AND(OR(Квартирная!A32="Цилиндровый",Квартирная!A32="Специальный"),Квартирная!C41="Квадратное",Квартирная!B41="Чёрная"),1,0)</f>
        <v>0</v>
      </c>
      <c r="K121" s="133"/>
    </row>
    <row r="122" customFormat="false" ht="17.35" hidden="false" customHeight="false" outlineLevel="0" collapsed="false">
      <c r="A122" s="134" t="s">
        <v>166</v>
      </c>
      <c r="B122" s="119" t="s">
        <v>35</v>
      </c>
      <c r="C122" s="142" t="n">
        <f aca="false">IF(Квартирная!A32="Электронный",0,F122)</f>
        <v>0</v>
      </c>
      <c r="D122" s="164" t="n">
        <f aca="false">Управление!J62</f>
        <v>70</v>
      </c>
      <c r="E122" s="118" t="n">
        <f aca="false">D122*C122</f>
        <v>0</v>
      </c>
      <c r="F122" s="324" t="n">
        <f aca="false">IF(AND(OR(Квартирная!A32="Цилиндровый",Квартирная!A32="Специальный"),Квартирная!C41="Квадратное",Квартирная!B41="Чёрная"),1,0)</f>
        <v>0</v>
      </c>
      <c r="K122" s="133"/>
    </row>
    <row r="123" customFormat="false" ht="17.35" hidden="false" customHeight="false" outlineLevel="0" collapsed="false">
      <c r="A123" s="134" t="s">
        <v>167</v>
      </c>
      <c r="B123" s="119" t="s">
        <v>35</v>
      </c>
      <c r="C123" s="142" t="n">
        <f aca="false">IF(Квартирная!A32="Электронный",0,F123)</f>
        <v>1</v>
      </c>
      <c r="D123" s="164" t="n">
        <f aca="false">Управление!J63</f>
        <v>360</v>
      </c>
      <c r="E123" s="118" t="n">
        <f aca="false">D123*C123</f>
        <v>360</v>
      </c>
      <c r="F123" s="324" t="n">
        <f aca="false">IF(AND(OR(Квартирная!A32="Цилиндровый",Квартирная!A32="Специальный"),Квартирная!C41="Квадратное",Квартирная!B41="Хром"),1,0)</f>
        <v>1</v>
      </c>
      <c r="K123" s="133"/>
    </row>
    <row r="124" customFormat="false" ht="17.35" hidden="false" customHeight="false" outlineLevel="0" collapsed="false">
      <c r="A124" s="134" t="s">
        <v>168</v>
      </c>
      <c r="B124" s="119" t="s">
        <v>35</v>
      </c>
      <c r="C124" s="142" t="n">
        <f aca="false">IF(Квартирная!A32="Электронный",0,F124)</f>
        <v>1</v>
      </c>
      <c r="D124" s="164" t="n">
        <f aca="false">Управление!J64</f>
        <v>70</v>
      </c>
      <c r="E124" s="118" t="n">
        <f aca="false">D124*C124</f>
        <v>70</v>
      </c>
      <c r="F124" s="324" t="n">
        <f aca="false">IF(AND(OR(Квартирная!A32="Цилиндровый",Квартирная!A32="Специальный"),Квартирная!C41="Квадратное",Квартирная!B41="Хром"),1,0)</f>
        <v>1</v>
      </c>
      <c r="K124" s="133"/>
    </row>
    <row r="125" customFormat="false" ht="17.35" hidden="false" customHeight="false" outlineLevel="0" collapsed="false">
      <c r="A125" s="134" t="s">
        <v>169</v>
      </c>
      <c r="B125" s="119" t="s">
        <v>35</v>
      </c>
      <c r="C125" s="142" t="n">
        <f aca="false">IF(Квартирная!A32="Электронный",0,F125)</f>
        <v>0</v>
      </c>
      <c r="D125" s="164" t="n">
        <f aca="false">Управление!J65</f>
        <v>395</v>
      </c>
      <c r="E125" s="118" t="n">
        <f aca="false">D125*C125</f>
        <v>0</v>
      </c>
      <c r="F125" s="324" t="n">
        <f aca="false">IF(AND(OR(Квартирная!A32="Цилиндровый",Квартирная!A32="Специальный"),Квартирная!C41="Овальное",Квартирная!B41="Бронза"),1,0)</f>
        <v>0</v>
      </c>
      <c r="K125" s="133"/>
    </row>
    <row r="126" customFormat="false" ht="17.35" hidden="false" customHeight="false" outlineLevel="0" collapsed="false">
      <c r="A126" s="134" t="s">
        <v>170</v>
      </c>
      <c r="B126" s="119" t="s">
        <v>35</v>
      </c>
      <c r="C126" s="142" t="n">
        <f aca="false">IF(Квартирная!A32="Электронный",0,F126)</f>
        <v>0</v>
      </c>
      <c r="D126" s="164" t="n">
        <f aca="false">Управление!J66</f>
        <v>81</v>
      </c>
      <c r="E126" s="118" t="n">
        <f aca="false">D126*C126</f>
        <v>0</v>
      </c>
      <c r="F126" s="324" t="n">
        <f aca="false">IF(AND(OR(Квартирная!A32="Цилиндровый",Квартирная!A32="Специальный"),Квартирная!C41="Овальное",Квартирная!B41="Бронза"),1,0)</f>
        <v>0</v>
      </c>
      <c r="K126" s="133"/>
    </row>
    <row r="127" customFormat="false" ht="17.35" hidden="false" customHeight="false" outlineLevel="0" collapsed="false">
      <c r="A127" s="134" t="s">
        <v>171</v>
      </c>
      <c r="B127" s="119" t="s">
        <v>35</v>
      </c>
      <c r="C127" s="142" t="n">
        <f aca="false">IF(Квартирная!A32="Электронный",0,F127)</f>
        <v>0</v>
      </c>
      <c r="D127" s="164" t="n">
        <f aca="false">Управление!J67</f>
        <v>220</v>
      </c>
      <c r="E127" s="118" t="n">
        <f aca="false">D127*C127</f>
        <v>0</v>
      </c>
      <c r="F127" s="324" t="n">
        <f aca="false">IF(AND(OR(Квартирная!A32="Цилиндровый",Квартирная!A32="Специальный"),Квартирная!C41="Овальное",Квартирная!B41="Чёрная"),1,0)</f>
        <v>0</v>
      </c>
      <c r="K127" s="133"/>
    </row>
    <row r="128" customFormat="false" ht="17.35" hidden="false" customHeight="false" outlineLevel="0" collapsed="false">
      <c r="A128" s="134" t="s">
        <v>172</v>
      </c>
      <c r="B128" s="119" t="s">
        <v>35</v>
      </c>
      <c r="C128" s="142" t="n">
        <f aca="false">IF(Квартирная!A32="Электронный",0,F128)</f>
        <v>0</v>
      </c>
      <c r="D128" s="164" t="n">
        <f aca="false">Управление!J68</f>
        <v>50</v>
      </c>
      <c r="E128" s="118" t="n">
        <f aca="false">D128*C128</f>
        <v>0</v>
      </c>
      <c r="F128" s="324" t="n">
        <f aca="false">IF(AND(OR(Квартирная!A32="Цилиндровый",Квартирная!A32="Специальный"),Квартирная!C41="Овальное",Квартирная!B41="Чёрная"),1,0)</f>
        <v>0</v>
      </c>
      <c r="K128" s="133"/>
    </row>
    <row r="129" customFormat="false" ht="17.35" hidden="false" customHeight="false" outlineLevel="0" collapsed="false">
      <c r="A129" s="134" t="s">
        <v>173</v>
      </c>
      <c r="B129" s="119" t="s">
        <v>35</v>
      </c>
      <c r="C129" s="142" t="n">
        <f aca="false">IF(Квартирная!A32="Электронный",0,F129)</f>
        <v>0</v>
      </c>
      <c r="D129" s="164" t="n">
        <f aca="false">Управление!J69</f>
        <v>260</v>
      </c>
      <c r="E129" s="118" t="n">
        <f aca="false">D129*C129</f>
        <v>0</v>
      </c>
      <c r="F129" s="324" t="n">
        <f aca="false">IF(AND(OR(Квартирная!A32="Цилиндровый",Квартирная!A32="Специальный"),Квартирная!C41="Овальное",Квартирная!B41="Хром"),1,0)</f>
        <v>0</v>
      </c>
      <c r="K129" s="133"/>
    </row>
    <row r="130" customFormat="false" ht="17.35" hidden="false" customHeight="false" outlineLevel="0" collapsed="false">
      <c r="A130" s="134" t="s">
        <v>174</v>
      </c>
      <c r="B130" s="119" t="s">
        <v>35</v>
      </c>
      <c r="C130" s="142" t="n">
        <f aca="false">IF(Квартирная!A32="Электронный",0,F130)</f>
        <v>0</v>
      </c>
      <c r="D130" s="164" t="n">
        <f aca="false">Управление!J70</f>
        <v>19</v>
      </c>
      <c r="E130" s="118" t="n">
        <f aca="false">D130*C130</f>
        <v>0</v>
      </c>
      <c r="F130" s="324" t="n">
        <f aca="false">IF(AND(OR(Квартирная!A32="Цилиндровый",Квартирная!A32="Специальный"),Квартирная!C41="Овальное",Квартирная!B41="Хром"),1,0)</f>
        <v>0</v>
      </c>
      <c r="K130" s="133"/>
    </row>
    <row r="131" customFormat="false" ht="17.35" hidden="false" customHeight="false" outlineLevel="0" collapsed="false">
      <c r="A131" s="134" t="s">
        <v>175</v>
      </c>
      <c r="B131" s="119" t="s">
        <v>132</v>
      </c>
      <c r="C131" s="142" t="n">
        <f aca="false">IF(Квартирная!A32="Электронный",0,F131)</f>
        <v>0</v>
      </c>
      <c r="D131" s="164" t="n">
        <f aca="false">Управление!J71</f>
        <v>280.54</v>
      </c>
      <c r="E131" s="118" t="n">
        <f aca="false">D131*C131</f>
        <v>0</v>
      </c>
      <c r="F131" s="324" t="n">
        <f aca="false">IF(AND(Квартирная!A32="Сувальдный",Квартирная!C41="Квадратное",Квартирная!B41="Золото"),1,0)</f>
        <v>0</v>
      </c>
      <c r="K131" s="133"/>
    </row>
    <row r="132" customFormat="false" ht="17.35" hidden="false" customHeight="false" outlineLevel="0" collapsed="false">
      <c r="A132" s="134" t="s">
        <v>176</v>
      </c>
      <c r="B132" s="119" t="s">
        <v>35</v>
      </c>
      <c r="C132" s="142" t="n">
        <f aca="false">IF(Квартирная!A32="Электронный",0,F132)</f>
        <v>0</v>
      </c>
      <c r="D132" s="164" t="n">
        <f aca="false">Управление!J72</f>
        <v>160</v>
      </c>
      <c r="E132" s="118" t="n">
        <f aca="false">D132*C132</f>
        <v>0</v>
      </c>
      <c r="F132" s="324" t="n">
        <f aca="false">IF(AND(Квартирная!A32="Сувальдный",Квартирная!C41="Квадратное",Квартирная!B41="Чёрная"),2,0)</f>
        <v>0</v>
      </c>
      <c r="K132" s="133"/>
    </row>
    <row r="133" customFormat="false" ht="17.35" hidden="false" customHeight="false" outlineLevel="0" collapsed="false">
      <c r="A133" s="134" t="s">
        <v>177</v>
      </c>
      <c r="B133" s="119" t="s">
        <v>35</v>
      </c>
      <c r="C133" s="142" t="n">
        <f aca="false">IF(Квартирная!A32="Электронный",0,F133)</f>
        <v>0</v>
      </c>
      <c r="D133" s="164" t="n">
        <f aca="false">Управление!J73</f>
        <v>160</v>
      </c>
      <c r="E133" s="118" t="n">
        <f aca="false">D133*C133</f>
        <v>0</v>
      </c>
      <c r="F133" s="324" t="n">
        <f aca="false">IF(AND(Квартирная!A32="Сувальдный",Квартирная!C41="Квадратное",Квартирная!B41="Хром"),2,0)</f>
        <v>0</v>
      </c>
      <c r="K133" s="133"/>
    </row>
    <row r="134" customFormat="false" ht="17.35" hidden="false" customHeight="false" outlineLevel="0" collapsed="false">
      <c r="A134" s="134" t="s">
        <v>178</v>
      </c>
      <c r="B134" s="119" t="s">
        <v>35</v>
      </c>
      <c r="C134" s="142" t="n">
        <f aca="false">IF(Квартирная!A32="Электронный",0,F134)</f>
        <v>0</v>
      </c>
      <c r="D134" s="164" t="n">
        <f aca="false">Управление!J74</f>
        <v>90</v>
      </c>
      <c r="E134" s="118" t="n">
        <f aca="false">D134*C134</f>
        <v>0</v>
      </c>
      <c r="F134" s="324" t="n">
        <f aca="false">IF(AND(Квартирная!A32="Сувальдный",Квартирная!C41="Овальное",Квартирная!B41="Бронза"),1,0)</f>
        <v>0</v>
      </c>
      <c r="K134" s="133"/>
    </row>
    <row r="135" customFormat="false" ht="17.35" hidden="false" customHeight="false" outlineLevel="0" collapsed="false">
      <c r="A135" s="134" t="s">
        <v>179</v>
      </c>
      <c r="B135" s="119" t="s">
        <v>35</v>
      </c>
      <c r="C135" s="142" t="n">
        <f aca="false">IF(Квартирная!A32="Электронный",0,F135)</f>
        <v>0</v>
      </c>
      <c r="D135" s="164" t="n">
        <f aca="false">Управление!J75</f>
        <v>120</v>
      </c>
      <c r="E135" s="118" t="n">
        <f aca="false">D135*C135</f>
        <v>0</v>
      </c>
      <c r="F135" s="324" t="n">
        <f aca="false">IF(AND(Квартирная!A32="Сувальдный",Квартирная!C41="Овальное",Квартирная!B41="Бронза"),1,0)</f>
        <v>0</v>
      </c>
      <c r="K135" s="133"/>
    </row>
    <row r="136" customFormat="false" ht="17.35" hidden="false" customHeight="false" outlineLevel="0" collapsed="false">
      <c r="A136" s="134" t="s">
        <v>180</v>
      </c>
      <c r="B136" s="119" t="s">
        <v>35</v>
      </c>
      <c r="C136" s="142" t="n">
        <f aca="false">IF(Квартирная!A32="Электронный",0,F136)</f>
        <v>0</v>
      </c>
      <c r="D136" s="164" t="n">
        <f aca="false">Управление!J76</f>
        <v>151</v>
      </c>
      <c r="E136" s="118" t="n">
        <f aca="false">D136*C136</f>
        <v>0</v>
      </c>
      <c r="F136" s="324" t="n">
        <f aca="false">IF(AND(Квартирная!A32="Сувальдный",Квартирная!C41="Овальное",Квартирная!B41="Чёрная"),1,0)</f>
        <v>0</v>
      </c>
      <c r="K136" s="133"/>
    </row>
    <row r="137" customFormat="false" ht="17.35" hidden="false" customHeight="false" outlineLevel="0" collapsed="false">
      <c r="A137" s="134" t="s">
        <v>181</v>
      </c>
      <c r="B137" s="119" t="s">
        <v>35</v>
      </c>
      <c r="C137" s="142" t="n">
        <f aca="false">IF(Квартирная!A32="Электронный",0,F137)</f>
        <v>0</v>
      </c>
      <c r="D137" s="164" t="n">
        <f aca="false">Управление!J77</f>
        <v>50</v>
      </c>
      <c r="E137" s="118" t="n">
        <f aca="false">D137*C137</f>
        <v>0</v>
      </c>
      <c r="F137" s="324" t="n">
        <f aca="false">IF(AND(Квартирная!A32="Сувальдный",Квартирная!C41="Овальное",Квартирная!B41="Чёрная"),1,0)</f>
        <v>0</v>
      </c>
      <c r="K137" s="133"/>
    </row>
    <row r="138" customFormat="false" ht="17.35" hidden="false" customHeight="false" outlineLevel="0" collapsed="false">
      <c r="A138" s="134" t="s">
        <v>182</v>
      </c>
      <c r="B138" s="119" t="s">
        <v>35</v>
      </c>
      <c r="C138" s="142" t="n">
        <f aca="false">IF(Квартирная!A32="Электронный",0,F138)</f>
        <v>0</v>
      </c>
      <c r="D138" s="164" t="n">
        <f aca="false">Управление!J78</f>
        <v>55</v>
      </c>
      <c r="E138" s="118" t="n">
        <f aca="false">D138*C138</f>
        <v>0</v>
      </c>
      <c r="F138" s="324" t="n">
        <f aca="false">IF(AND(Квартирная!A32="Сувальдный",Квартирная!C41="Овальное",Квартирная!B41="Хром"),1,0)</f>
        <v>0</v>
      </c>
      <c r="K138" s="133"/>
    </row>
    <row r="139" customFormat="false" ht="17.35" hidden="false" customHeight="false" outlineLevel="0" collapsed="false">
      <c r="A139" s="134" t="s">
        <v>183</v>
      </c>
      <c r="B139" s="119" t="s">
        <v>35</v>
      </c>
      <c r="C139" s="142" t="n">
        <f aca="false">IF(Квартирная!A32="Электронный",0,F139)</f>
        <v>0</v>
      </c>
      <c r="D139" s="164" t="n">
        <f aca="false">Управление!J79</f>
        <v>30</v>
      </c>
      <c r="E139" s="118" t="n">
        <f aca="false">D139*C139</f>
        <v>0</v>
      </c>
      <c r="F139" s="324" t="n">
        <f aca="false">IF(AND(Квартирная!A32="Сувальдный",Квартирная!C41="Овальное",Квартирная!B41="Хром"),1,0)</f>
        <v>0</v>
      </c>
      <c r="K139" s="133"/>
    </row>
    <row r="140" customFormat="false" ht="17.35" hidden="false" customHeight="true" outlineLevel="0" collapsed="false">
      <c r="A140" s="330" t="s">
        <v>184</v>
      </c>
      <c r="B140" s="330"/>
      <c r="C140" s="330"/>
      <c r="D140" s="330"/>
      <c r="E140" s="330"/>
      <c r="K140" s="133"/>
    </row>
    <row r="141" customFormat="false" ht="17.35" hidden="false" customHeight="false" outlineLevel="0" collapsed="false">
      <c r="A141" s="134" t="s">
        <v>163</v>
      </c>
      <c r="B141" s="119" t="s">
        <v>35</v>
      </c>
      <c r="C141" s="142" t="n">
        <f aca="false">IF(AND(Квартирная!A34="Цилиндровый",Квартирная!C41="Квадратное",Квартирная!B41="Золото"),1,0)</f>
        <v>0</v>
      </c>
      <c r="D141" s="164" t="n">
        <f aca="false">Управление!J59</f>
        <v>369</v>
      </c>
      <c r="E141" s="118" t="n">
        <f aca="false">D141*C141</f>
        <v>0</v>
      </c>
      <c r="K141" s="133"/>
    </row>
    <row r="142" customFormat="false" ht="17.35" hidden="false" customHeight="false" outlineLevel="0" collapsed="false">
      <c r="A142" s="134" t="s">
        <v>164</v>
      </c>
      <c r="B142" s="119" t="s">
        <v>35</v>
      </c>
      <c r="C142" s="142" t="n">
        <f aca="false">IF(AND(Квартирная!A34="Цилиндровый",Квартирная!C41="Квадратное",Квартирная!B41="Золото"),1,0)</f>
        <v>0</v>
      </c>
      <c r="D142" s="164" t="n">
        <f aca="false">Управление!J60</f>
        <v>84</v>
      </c>
      <c r="E142" s="118" t="n">
        <f aca="false">D142*C142</f>
        <v>0</v>
      </c>
      <c r="K142" s="133"/>
    </row>
    <row r="143" customFormat="false" ht="17.35" hidden="false" customHeight="false" outlineLevel="0" collapsed="false">
      <c r="A143" s="134" t="s">
        <v>165</v>
      </c>
      <c r="B143" s="119" t="s">
        <v>35</v>
      </c>
      <c r="C143" s="142" t="n">
        <f aca="false">IF(AND(Квартирная!A34="Цилиндровый",Квартирная!C41="Квадратное",Квартирная!B41="Чёрная"),1,0)</f>
        <v>0</v>
      </c>
      <c r="D143" s="164" t="n">
        <f aca="false">Управление!J61</f>
        <v>360</v>
      </c>
      <c r="E143" s="118" t="n">
        <f aca="false">D143*C143</f>
        <v>0</v>
      </c>
      <c r="K143" s="133"/>
    </row>
    <row r="144" customFormat="false" ht="17.35" hidden="false" customHeight="false" outlineLevel="0" collapsed="false">
      <c r="A144" s="134" t="s">
        <v>166</v>
      </c>
      <c r="B144" s="119" t="s">
        <v>35</v>
      </c>
      <c r="C144" s="142" t="n">
        <f aca="false">IF(AND(Квартирная!A34="Цилиндровый",Квартирная!C41="Квадратное",Квартирная!B41="Чёрная"),1,0)</f>
        <v>0</v>
      </c>
      <c r="D144" s="164" t="n">
        <f aca="false">Управление!J62</f>
        <v>70</v>
      </c>
      <c r="E144" s="118" t="n">
        <f aca="false">D144*C144</f>
        <v>0</v>
      </c>
      <c r="K144" s="133"/>
    </row>
    <row r="145" customFormat="false" ht="17.35" hidden="false" customHeight="false" outlineLevel="0" collapsed="false">
      <c r="A145" s="134" t="s">
        <v>167</v>
      </c>
      <c r="B145" s="119" t="s">
        <v>35</v>
      </c>
      <c r="C145" s="142" t="n">
        <f aca="false">IF(AND(Квартирная!A34="Цилиндровый",Квартирная!C41="Квадратное",Квартирная!B41="Хром"),1,0)</f>
        <v>0</v>
      </c>
      <c r="D145" s="164" t="n">
        <f aca="false">Управление!J63</f>
        <v>360</v>
      </c>
      <c r="E145" s="118" t="n">
        <f aca="false">D145*C145</f>
        <v>0</v>
      </c>
      <c r="K145" s="133"/>
    </row>
    <row r="146" customFormat="false" ht="17.35" hidden="false" customHeight="false" outlineLevel="0" collapsed="false">
      <c r="A146" s="134" t="s">
        <v>168</v>
      </c>
      <c r="B146" s="119" t="s">
        <v>35</v>
      </c>
      <c r="C146" s="142" t="n">
        <f aca="false">IF(AND(Квартирная!A34="Цилиндровый",Квартирная!C41="Квадратное",Квартирная!B41="Хром"),1,0)</f>
        <v>0</v>
      </c>
      <c r="D146" s="164" t="n">
        <f aca="false">Управление!J64</f>
        <v>70</v>
      </c>
      <c r="E146" s="118" t="n">
        <f aca="false">D146*C146</f>
        <v>0</v>
      </c>
      <c r="K146" s="133"/>
    </row>
    <row r="147" customFormat="false" ht="17.35" hidden="false" customHeight="false" outlineLevel="0" collapsed="false">
      <c r="A147" s="134" t="s">
        <v>169</v>
      </c>
      <c r="B147" s="119" t="s">
        <v>35</v>
      </c>
      <c r="C147" s="142" t="n">
        <f aca="false">IF(AND(Квартирная!A34="Цилиндровый",Квартирная!C41="Овальное",Квартирная!B41="Бронза"),1,0)</f>
        <v>0</v>
      </c>
      <c r="D147" s="164" t="n">
        <f aca="false">Управление!J65</f>
        <v>395</v>
      </c>
      <c r="E147" s="118" t="n">
        <f aca="false">D147*C147</f>
        <v>0</v>
      </c>
      <c r="K147" s="133"/>
    </row>
    <row r="148" customFormat="false" ht="17.35" hidden="false" customHeight="false" outlineLevel="0" collapsed="false">
      <c r="A148" s="134" t="s">
        <v>170</v>
      </c>
      <c r="B148" s="119" t="s">
        <v>35</v>
      </c>
      <c r="C148" s="142" t="n">
        <f aca="false">IF(AND(Квартирная!A34="Цилиндровый",Квартирная!C41="Овальное",Квартирная!B41="Бронза"),1,0)</f>
        <v>0</v>
      </c>
      <c r="D148" s="164" t="n">
        <f aca="false">Управление!J66</f>
        <v>81</v>
      </c>
      <c r="E148" s="118" t="n">
        <f aca="false">D148*C148</f>
        <v>0</v>
      </c>
      <c r="K148" s="133"/>
    </row>
    <row r="149" customFormat="false" ht="17.35" hidden="false" customHeight="false" outlineLevel="0" collapsed="false">
      <c r="A149" s="134" t="s">
        <v>171</v>
      </c>
      <c r="B149" s="119" t="s">
        <v>35</v>
      </c>
      <c r="C149" s="142" t="n">
        <f aca="false">IF(AND(Квартирная!A34="Цилиндровый",Квартирная!C41="Овальное",Квартирная!B41="Чёрный"),1,0)</f>
        <v>0</v>
      </c>
      <c r="D149" s="164" t="n">
        <f aca="false">Управление!J67</f>
        <v>220</v>
      </c>
      <c r="E149" s="118" t="n">
        <f aca="false">D149*C149</f>
        <v>0</v>
      </c>
      <c r="K149" s="133"/>
    </row>
    <row r="150" customFormat="false" ht="17.35" hidden="false" customHeight="false" outlineLevel="0" collapsed="false">
      <c r="A150" s="134" t="s">
        <v>172</v>
      </c>
      <c r="B150" s="119" t="s">
        <v>35</v>
      </c>
      <c r="C150" s="142" t="n">
        <f aca="false">IF(AND(Квартирная!A34="Цилиндровый",Квартирная!C41="Овальное",Квартирная!B41="Чёрная"),1,0)</f>
        <v>0</v>
      </c>
      <c r="D150" s="164" t="n">
        <f aca="false">Управление!J68</f>
        <v>50</v>
      </c>
      <c r="E150" s="118" t="n">
        <f aca="false">D150*C150</f>
        <v>0</v>
      </c>
      <c r="K150" s="133"/>
    </row>
    <row r="151" customFormat="false" ht="17.35" hidden="false" customHeight="false" outlineLevel="0" collapsed="false">
      <c r="A151" s="134" t="s">
        <v>173</v>
      </c>
      <c r="B151" s="119" t="s">
        <v>35</v>
      </c>
      <c r="C151" s="142" t="n">
        <f aca="false">IF(AND(Квартирная!A34="Цилиндровый",Квартирная!C41="Овальное",Квартирная!B41="Хром"),1,0)</f>
        <v>0</v>
      </c>
      <c r="D151" s="164" t="n">
        <f aca="false">Управление!J69</f>
        <v>260</v>
      </c>
      <c r="E151" s="118" t="n">
        <f aca="false">D151*C151</f>
        <v>0</v>
      </c>
      <c r="K151" s="133"/>
    </row>
    <row r="152" customFormat="false" ht="17.35" hidden="false" customHeight="false" outlineLevel="0" collapsed="false">
      <c r="A152" s="134" t="s">
        <v>174</v>
      </c>
      <c r="B152" s="119" t="s">
        <v>35</v>
      </c>
      <c r="C152" s="142" t="n">
        <f aca="false">IF(AND(Квартирная!A34="Цилиндровый",Квартирная!C41="Овальное",Квартирная!B41="Хром"),1,0)</f>
        <v>0</v>
      </c>
      <c r="D152" s="164" t="n">
        <f aca="false">Управление!J70</f>
        <v>19</v>
      </c>
      <c r="E152" s="118" t="n">
        <f aca="false">D152*C152</f>
        <v>0</v>
      </c>
      <c r="K152" s="133"/>
    </row>
    <row r="153" customFormat="false" ht="17.35" hidden="false" customHeight="false" outlineLevel="0" collapsed="false">
      <c r="A153" s="134" t="s">
        <v>175</v>
      </c>
      <c r="B153" s="119" t="s">
        <v>132</v>
      </c>
      <c r="C153" s="142" t="n">
        <f aca="false">IF(AND(Квартирная!A34="Сувальдный",Квартирная!C41="Квадратное",Квартирная!B41="Золото"),1,0)</f>
        <v>0</v>
      </c>
      <c r="D153" s="164" t="n">
        <f aca="false">Управление!J71</f>
        <v>280.54</v>
      </c>
      <c r="E153" s="118" t="n">
        <f aca="false">D153*C153</f>
        <v>0</v>
      </c>
      <c r="K153" s="133"/>
    </row>
    <row r="154" customFormat="false" ht="17.35" hidden="false" customHeight="false" outlineLevel="0" collapsed="false">
      <c r="A154" s="134" t="s">
        <v>176</v>
      </c>
      <c r="B154" s="119" t="s">
        <v>35</v>
      </c>
      <c r="C154" s="142" t="n">
        <f aca="false">IF(AND(Квартирная!A34="Сувальдный",Квартирная!C41="Квадратное",Квартирная!B41="Чёрная"),2,0)</f>
        <v>0</v>
      </c>
      <c r="D154" s="164" t="n">
        <f aca="false">Управление!J72</f>
        <v>160</v>
      </c>
      <c r="E154" s="118" t="n">
        <f aca="false">D154*C154</f>
        <v>0</v>
      </c>
      <c r="K154" s="133"/>
    </row>
    <row r="155" customFormat="false" ht="17.35" hidden="false" customHeight="false" outlineLevel="0" collapsed="false">
      <c r="A155" s="134" t="s">
        <v>177</v>
      </c>
      <c r="B155" s="119" t="s">
        <v>35</v>
      </c>
      <c r="C155" s="142" t="n">
        <f aca="false">IF(AND(Квартирная!A34="Сувальдный",Квартирная!C41="Квадратное",Квартирная!B41="Хром"),2,0)</f>
        <v>0</v>
      </c>
      <c r="D155" s="164" t="n">
        <f aca="false">Управление!J73</f>
        <v>160</v>
      </c>
      <c r="E155" s="118" t="n">
        <f aca="false">D155*C155</f>
        <v>0</v>
      </c>
      <c r="K155" s="133"/>
    </row>
    <row r="156" customFormat="false" ht="17.35" hidden="false" customHeight="false" outlineLevel="0" collapsed="false">
      <c r="A156" s="134" t="s">
        <v>178</v>
      </c>
      <c r="B156" s="119" t="s">
        <v>35</v>
      </c>
      <c r="C156" s="142" t="n">
        <f aca="false">IF(AND(Квартирная!A34="Сувальдный",Квартирная!C41="Овальное",Квартирная!B41="Бронза"),1,0)</f>
        <v>0</v>
      </c>
      <c r="D156" s="164" t="n">
        <f aca="false">Управление!J74</f>
        <v>90</v>
      </c>
      <c r="E156" s="118" t="n">
        <f aca="false">D156*C156</f>
        <v>0</v>
      </c>
      <c r="K156" s="133"/>
    </row>
    <row r="157" customFormat="false" ht="17.35" hidden="false" customHeight="false" outlineLevel="0" collapsed="false">
      <c r="A157" s="134" t="s">
        <v>179</v>
      </c>
      <c r="B157" s="119" t="s">
        <v>35</v>
      </c>
      <c r="C157" s="142" t="n">
        <f aca="false">IF(AND(Квартирная!A34="Сувальдный",Квартирная!C41="Овальное",Квартирная!B41="Бронза"),1,0)</f>
        <v>0</v>
      </c>
      <c r="D157" s="164" t="n">
        <f aca="false">Управление!J75</f>
        <v>120</v>
      </c>
      <c r="E157" s="118" t="n">
        <f aca="false">D157*C157</f>
        <v>0</v>
      </c>
      <c r="K157" s="133"/>
    </row>
    <row r="158" customFormat="false" ht="17.35" hidden="false" customHeight="false" outlineLevel="0" collapsed="false">
      <c r="A158" s="134" t="s">
        <v>180</v>
      </c>
      <c r="B158" s="119" t="s">
        <v>35</v>
      </c>
      <c r="C158" s="142" t="n">
        <f aca="false">IF(AND(Квартирная!A34="Сувальдный",Квартирная!C41="Овальное",Квартирная!B41="Чёрная"),1,0)</f>
        <v>0</v>
      </c>
      <c r="D158" s="164" t="n">
        <f aca="false">Управление!J76</f>
        <v>151</v>
      </c>
      <c r="E158" s="118" t="n">
        <f aca="false">D158*C158</f>
        <v>0</v>
      </c>
      <c r="K158" s="133"/>
    </row>
    <row r="159" customFormat="false" ht="17.35" hidden="false" customHeight="false" outlineLevel="0" collapsed="false">
      <c r="A159" s="134" t="s">
        <v>181</v>
      </c>
      <c r="B159" s="119" t="s">
        <v>35</v>
      </c>
      <c r="C159" s="142" t="n">
        <f aca="false">IF(AND(Квартирная!A34="Сувальдный",Квартирная!C41="Овальное",Квартирная!B41="Чёрная"),1,0)</f>
        <v>0</v>
      </c>
      <c r="D159" s="164" t="n">
        <f aca="false">Управление!J77</f>
        <v>50</v>
      </c>
      <c r="E159" s="118" t="n">
        <f aca="false">D159*C159</f>
        <v>0</v>
      </c>
      <c r="K159" s="133"/>
    </row>
    <row r="160" customFormat="false" ht="17.35" hidden="false" customHeight="false" outlineLevel="0" collapsed="false">
      <c r="A160" s="134" t="s">
        <v>182</v>
      </c>
      <c r="B160" s="119" t="s">
        <v>35</v>
      </c>
      <c r="C160" s="142" t="n">
        <f aca="false">IF(AND(Квартирная!A34="Сувальдный",Квартирная!C41="Овальное",Квартирная!B41="Хром"),1,0)</f>
        <v>0</v>
      </c>
      <c r="D160" s="164" t="n">
        <f aca="false">Управление!J78</f>
        <v>55</v>
      </c>
      <c r="E160" s="118" t="n">
        <f aca="false">D160*C160</f>
        <v>0</v>
      </c>
      <c r="K160" s="133"/>
    </row>
    <row r="161" customFormat="false" ht="17.35" hidden="false" customHeight="false" outlineLevel="0" collapsed="false">
      <c r="A161" s="134" t="s">
        <v>183</v>
      </c>
      <c r="B161" s="119" t="s">
        <v>35</v>
      </c>
      <c r="C161" s="142" t="n">
        <f aca="false">IF(AND(Квартирная!A34="Сувальдный",Квартирная!C41="Овальное",Квартирная!B41="Хром"),1,0)</f>
        <v>0</v>
      </c>
      <c r="D161" s="164" t="n">
        <f aca="false">Управление!J79</f>
        <v>30</v>
      </c>
      <c r="E161" s="118" t="n">
        <f aca="false">D161*C161</f>
        <v>0</v>
      </c>
      <c r="K161" s="133"/>
    </row>
    <row r="162" customFormat="false" ht="17.35" hidden="false" customHeight="true" outlineLevel="0" collapsed="false">
      <c r="A162" s="330" t="s">
        <v>185</v>
      </c>
      <c r="B162" s="330"/>
      <c r="C162" s="330"/>
      <c r="D162" s="330"/>
      <c r="E162" s="330"/>
      <c r="K162" s="133"/>
    </row>
    <row r="163" customFormat="false" ht="17.35" hidden="false" customHeight="false" outlineLevel="0" collapsed="false">
      <c r="A163" s="165" t="s">
        <v>186</v>
      </c>
      <c r="B163" s="119" t="s">
        <v>35</v>
      </c>
      <c r="C163" s="142" t="n">
        <f aca="false">IF(AND(Квартирная!C41="Квадратное",Квартирная!B41="Золото",Квартирная!B51="Да"),1,0)</f>
        <v>0</v>
      </c>
      <c r="D163" s="140" t="n">
        <f aca="false">Управление!J81</f>
        <v>209.67</v>
      </c>
      <c r="E163" s="118" t="n">
        <f aca="false">D163*C163</f>
        <v>0</v>
      </c>
      <c r="K163" s="133"/>
    </row>
    <row r="164" customFormat="false" ht="17.35" hidden="false" customHeight="false" outlineLevel="0" collapsed="false">
      <c r="A164" s="165" t="s">
        <v>187</v>
      </c>
      <c r="B164" s="119" t="s">
        <v>35</v>
      </c>
      <c r="C164" s="142" t="n">
        <f aca="false">IF(AND(Квартирная!C41="Квадратное",Квартирная!B41="Чёрная",Квартирная!B51="Да"),1,0)</f>
        <v>0</v>
      </c>
      <c r="D164" s="140" t="n">
        <f aca="false">Управление!J82</f>
        <v>114</v>
      </c>
      <c r="E164" s="118" t="n">
        <f aca="false">D164*C164</f>
        <v>0</v>
      </c>
      <c r="K164" s="133"/>
    </row>
    <row r="165" customFormat="false" ht="17.35" hidden="false" customHeight="false" outlineLevel="0" collapsed="false">
      <c r="A165" s="165" t="s">
        <v>188</v>
      </c>
      <c r="B165" s="119" t="s">
        <v>35</v>
      </c>
      <c r="C165" s="142" t="n">
        <f aca="false">IF(AND(Квартирная!C41="Квадратное",Квартирная!B41="Хром",Квартирная!B51="Да"),1,0)</f>
        <v>0</v>
      </c>
      <c r="D165" s="140" t="n">
        <f aca="false">Управление!J83</f>
        <v>115</v>
      </c>
      <c r="E165" s="118" t="n">
        <f aca="false">D165*C165</f>
        <v>0</v>
      </c>
      <c r="K165" s="133"/>
    </row>
    <row r="166" customFormat="false" ht="17.35" hidden="false" customHeight="false" outlineLevel="0" collapsed="false">
      <c r="A166" s="166" t="s">
        <v>189</v>
      </c>
      <c r="B166" s="119" t="s">
        <v>35</v>
      </c>
      <c r="C166" s="142" t="n">
        <f aca="false">IF(AND(Квартирная!C41="Овальное",Квартирная!B41="Бронза",Квартирная!B51="Да"),1,0)</f>
        <v>0</v>
      </c>
      <c r="D166" s="140" t="n">
        <f aca="false">Управление!J84</f>
        <v>205</v>
      </c>
      <c r="E166" s="118" t="n">
        <f aca="false">D166*C166</f>
        <v>0</v>
      </c>
      <c r="K166" s="133"/>
    </row>
    <row r="167" customFormat="false" ht="17.35" hidden="false" customHeight="false" outlineLevel="0" collapsed="false">
      <c r="A167" s="165" t="s">
        <v>190</v>
      </c>
      <c r="B167" s="119" t="s">
        <v>35</v>
      </c>
      <c r="C167" s="142" t="n">
        <f aca="false">IF(AND(Квартирная!C41="Овальное",Квартирная!B41="Бронза",Квартирная!B51="Да"),1,0)</f>
        <v>0</v>
      </c>
      <c r="D167" s="140" t="n">
        <f aca="false">Управление!J85</f>
        <v>43</v>
      </c>
      <c r="E167" s="118" t="n">
        <f aca="false">D167*C167</f>
        <v>0</v>
      </c>
      <c r="K167" s="133"/>
    </row>
    <row r="168" customFormat="false" ht="17.35" hidden="false" customHeight="false" outlineLevel="0" collapsed="false">
      <c r="A168" s="166" t="s">
        <v>191</v>
      </c>
      <c r="B168" s="119" t="s">
        <v>35</v>
      </c>
      <c r="C168" s="142" t="n">
        <f aca="false">IF(AND(Квартирная!C41="Овальное",Квартирная!B41="Чёрная",Квартирная!B51="Да"),1,0)</f>
        <v>0</v>
      </c>
      <c r="D168" s="140" t="n">
        <f aca="false">Управление!J86</f>
        <v>100</v>
      </c>
      <c r="E168" s="118" t="n">
        <f aca="false">D168*C168</f>
        <v>0</v>
      </c>
      <c r="K168" s="133"/>
    </row>
    <row r="169" customFormat="false" ht="17.35" hidden="false" customHeight="false" outlineLevel="0" collapsed="false">
      <c r="A169" s="166" t="s">
        <v>192</v>
      </c>
      <c r="B169" s="119" t="s">
        <v>35</v>
      </c>
      <c r="C169" s="142" t="n">
        <f aca="false">IF(AND(Квартирная!C41="Овальное",Квартирная!B41="Хром",Квартирная!B51="Да"),1,0)</f>
        <v>0</v>
      </c>
      <c r="D169" s="140" t="n">
        <f aca="false">Управление!J87</f>
        <v>73</v>
      </c>
      <c r="E169" s="118" t="n">
        <f aca="false">D169*C169</f>
        <v>0</v>
      </c>
      <c r="K169" s="133"/>
    </row>
    <row r="170" customFormat="false" ht="17.35" hidden="false" customHeight="true" outlineLevel="0" collapsed="false">
      <c r="A170" s="330" t="s">
        <v>193</v>
      </c>
      <c r="B170" s="330"/>
      <c r="C170" s="330"/>
      <c r="D170" s="330"/>
      <c r="E170" s="330"/>
      <c r="K170" s="133"/>
    </row>
    <row r="171" customFormat="false" ht="17.35" hidden="false" customHeight="false" outlineLevel="0" collapsed="false">
      <c r="A171" s="167" t="s">
        <v>194</v>
      </c>
      <c r="B171" s="119" t="s">
        <v>35</v>
      </c>
      <c r="C171" s="142" t="n">
        <f aca="false">IF(Квартирная!A32="Электронный",0,G171)</f>
        <v>0</v>
      </c>
      <c r="D171" s="140" t="n">
        <f aca="false">Управление!J89</f>
        <v>180.11</v>
      </c>
      <c r="E171" s="118" t="n">
        <f aca="false">D171*C171</f>
        <v>0</v>
      </c>
      <c r="G171" s="6" t="n">
        <f aca="false">IF(AND(Квартирная!C41="Квадратное",Квартирная!B41="Золото",Квартирная!B49="Да"),1,0)</f>
        <v>0</v>
      </c>
      <c r="K171" s="133"/>
    </row>
    <row r="172" customFormat="false" ht="17.35" hidden="false" customHeight="false" outlineLevel="0" collapsed="false">
      <c r="A172" s="168" t="s">
        <v>195</v>
      </c>
      <c r="B172" s="119" t="s">
        <v>35</v>
      </c>
      <c r="C172" s="142" t="n">
        <f aca="false">IF(Квартирная!A32="Электронный",0,G172)</f>
        <v>0</v>
      </c>
      <c r="D172" s="140" t="n">
        <f aca="false">Управление!J90</f>
        <v>110</v>
      </c>
      <c r="E172" s="118" t="n">
        <f aca="false">D172*C172</f>
        <v>0</v>
      </c>
      <c r="G172" s="317" t="n">
        <f aca="false">IF(AND(Квартирная!C41="Квадратное",Квартирная!B41="Чёрная",Квартирная!B49="Да"),1,0)</f>
        <v>0</v>
      </c>
      <c r="K172" s="133"/>
    </row>
    <row r="173" customFormat="false" ht="17.35" hidden="false" customHeight="false" outlineLevel="0" collapsed="false">
      <c r="A173" s="168" t="s">
        <v>196</v>
      </c>
      <c r="B173" s="119" t="s">
        <v>35</v>
      </c>
      <c r="C173" s="142" t="n">
        <f aca="false">IF(Квартирная!A32="Электронный",0,G173)</f>
        <v>0</v>
      </c>
      <c r="D173" s="140" t="n">
        <f aca="false">Управление!J91</f>
        <v>110</v>
      </c>
      <c r="E173" s="118" t="n">
        <f aca="false">D173*C173</f>
        <v>0</v>
      </c>
      <c r="G173" s="317" t="n">
        <f aca="false">IF(AND(Квартирная!C41="Квадратное",Квартирная!B41="Хром",Квартирная!B49="Да"),1,0)</f>
        <v>0</v>
      </c>
      <c r="K173" s="133"/>
    </row>
    <row r="174" customFormat="false" ht="17.35" hidden="false" customHeight="false" outlineLevel="0" collapsed="false">
      <c r="A174" s="166" t="s">
        <v>197</v>
      </c>
      <c r="B174" s="119" t="s">
        <v>35</v>
      </c>
      <c r="C174" s="142" t="n">
        <f aca="false">IF(Квартирная!A32="Электронный",0,G174)</f>
        <v>0</v>
      </c>
      <c r="D174" s="140" t="n">
        <f aca="false">Управление!J92</f>
        <v>145</v>
      </c>
      <c r="E174" s="118" t="n">
        <f aca="false">D174*C174</f>
        <v>0</v>
      </c>
      <c r="F174" s="69" t="str">
        <f aca="false">IF(Comfort!O3&gt;2052,"Нестандарт","Стандарт")</f>
        <v>Стандарт</v>
      </c>
      <c r="G174" s="317" t="n">
        <f aca="false">IF(AND(Квартирная!C41="Овальное",Квартирная!B41="Бронза",Квартирная!B49="Да"),1,0)</f>
        <v>0</v>
      </c>
      <c r="K174" s="133"/>
    </row>
    <row r="175" customFormat="false" ht="17.35" hidden="false" customHeight="false" outlineLevel="0" collapsed="false">
      <c r="A175" s="166" t="s">
        <v>198</v>
      </c>
      <c r="B175" s="119" t="s">
        <v>35</v>
      </c>
      <c r="C175" s="142" t="n">
        <f aca="false">IF(Квартирная!A32="Электронный",0,G175)</f>
        <v>0</v>
      </c>
      <c r="D175" s="140" t="n">
        <f aca="false">Управление!J93</f>
        <v>100</v>
      </c>
      <c r="E175" s="118" t="n">
        <f aca="false">D175*C175</f>
        <v>0</v>
      </c>
      <c r="F175" s="69" t="str">
        <f aca="false">IF(Comfort!P3&gt;934,"Нестандарт","Стандарт")</f>
        <v>Стандарт</v>
      </c>
      <c r="G175" s="317" t="n">
        <f aca="false">IF(AND(Квартирная!C41="Овальное",Квартирная!B41="Чёрная",Квартирная!B49="Да"),1,0)</f>
        <v>0</v>
      </c>
      <c r="K175" s="133"/>
    </row>
    <row r="176" customFormat="false" ht="17.35" hidden="false" customHeight="false" outlineLevel="0" collapsed="false">
      <c r="A176" s="166" t="s">
        <v>199</v>
      </c>
      <c r="B176" s="119" t="s">
        <v>35</v>
      </c>
      <c r="C176" s="142" t="n">
        <f aca="false">IF(Квартирная!A32="Электронный",0,G176)</f>
        <v>0</v>
      </c>
      <c r="D176" s="140" t="n">
        <f aca="false">Управление!J94</f>
        <v>64</v>
      </c>
      <c r="E176" s="118" t="n">
        <f aca="false">D176*C176</f>
        <v>0</v>
      </c>
      <c r="F176" s="109" t="str">
        <f aca="false">IF(AND(F174="Стандарт",F175="Стандарт"),"Стандарт","Нестандарт")</f>
        <v>Стандарт</v>
      </c>
      <c r="G176" s="317" t="n">
        <f aca="false">IF(AND(Квартирная!C41="Овальное",Квартирная!B41="Хром",Квартирная!B49="Да"),1,0)</f>
        <v>0</v>
      </c>
      <c r="K176" s="133"/>
    </row>
    <row r="177" customFormat="false" ht="17.35" hidden="false" customHeight="false" outlineLevel="0" collapsed="false">
      <c r="A177" s="174" t="s">
        <v>200</v>
      </c>
      <c r="B177" s="175"/>
      <c r="C177" s="175"/>
      <c r="D177" s="175"/>
      <c r="E177" s="176"/>
      <c r="K177" s="133"/>
    </row>
    <row r="178" customFormat="false" ht="17.35" hidden="false" customHeight="false" outlineLevel="0" collapsed="false">
      <c r="A178" s="177" t="s">
        <v>201</v>
      </c>
      <c r="B178" s="143" t="s">
        <v>202</v>
      </c>
      <c r="C178" s="178" t="n">
        <f aca="false">IF(F176="Стандарт",1.932,2.89)</f>
        <v>1.932</v>
      </c>
      <c r="D178" s="117" t="n">
        <f aca="false">Управление!E64</f>
        <v>250.6901311</v>
      </c>
      <c r="E178" s="331" t="n">
        <f aca="false">D178*C178</f>
        <v>484.3333332852</v>
      </c>
      <c r="F178" s="6" t="s">
        <v>302</v>
      </c>
      <c r="K178" s="133"/>
    </row>
    <row r="179" customFormat="false" ht="17.35" hidden="false" customHeight="false" outlineLevel="0" collapsed="false">
      <c r="A179" s="180" t="s">
        <v>203</v>
      </c>
      <c r="B179" s="181" t="s">
        <v>29</v>
      </c>
      <c r="C179" s="139" t="n">
        <v>0.15</v>
      </c>
      <c r="D179" s="140" t="n">
        <f aca="false">Управление!G65</f>
        <v>1000</v>
      </c>
      <c r="E179" s="182" t="n">
        <f aca="false">D179*C179</f>
        <v>150</v>
      </c>
      <c r="K179" s="133"/>
    </row>
    <row r="180" customFormat="false" ht="17.35" hidden="false" customHeight="false" outlineLevel="0" collapsed="false">
      <c r="A180" s="183" t="s">
        <v>204</v>
      </c>
      <c r="B180" s="181" t="s">
        <v>119</v>
      </c>
      <c r="C180" s="140" t="n">
        <v>0.005</v>
      </c>
      <c r="D180" s="164" t="n">
        <f aca="false">Управление!E66</f>
        <v>214</v>
      </c>
      <c r="E180" s="182" t="n">
        <f aca="false">D180*C180</f>
        <v>1.07</v>
      </c>
      <c r="K180" s="133"/>
    </row>
    <row r="181" customFormat="false" ht="17.35" hidden="false" customHeight="false" outlineLevel="0" collapsed="false">
      <c r="A181" s="183" t="s">
        <v>205</v>
      </c>
      <c r="B181" s="181" t="s">
        <v>119</v>
      </c>
      <c r="C181" s="139" t="n">
        <v>0.05</v>
      </c>
      <c r="D181" s="164" t="n">
        <f aca="false">Управление!E67</f>
        <v>60</v>
      </c>
      <c r="E181" s="182" t="n">
        <f aca="false">D181*C181</f>
        <v>3</v>
      </c>
      <c r="K181" s="133"/>
    </row>
    <row r="182" customFormat="false" ht="17.35" hidden="false" customHeight="false" outlineLevel="0" collapsed="false">
      <c r="A182" s="180" t="s">
        <v>206</v>
      </c>
      <c r="B182" s="181" t="s">
        <v>49</v>
      </c>
      <c r="C182" s="140" t="n">
        <v>0.018</v>
      </c>
      <c r="D182" s="140" t="n">
        <f aca="false">Управление!D68</f>
        <v>55</v>
      </c>
      <c r="E182" s="182" t="n">
        <f aca="false">D182*C182</f>
        <v>0.99</v>
      </c>
      <c r="K182" s="133"/>
    </row>
    <row r="183" customFormat="false" ht="17.35" hidden="false" customHeight="false" outlineLevel="0" collapsed="false">
      <c r="A183" s="180" t="s">
        <v>107</v>
      </c>
      <c r="B183" s="181" t="s">
        <v>82</v>
      </c>
      <c r="C183" s="139" t="n">
        <v>1</v>
      </c>
      <c r="D183" s="140" t="n">
        <f aca="false">Управление!B69</f>
        <v>30</v>
      </c>
      <c r="E183" s="182" t="n">
        <f aca="false">D183*C183</f>
        <v>30</v>
      </c>
      <c r="K183" s="133"/>
    </row>
    <row r="184" customFormat="false" ht="17.35" hidden="false" customHeight="false" outlineLevel="0" collapsed="false">
      <c r="A184" s="180" t="s">
        <v>207</v>
      </c>
      <c r="B184" s="181" t="s">
        <v>82</v>
      </c>
      <c r="C184" s="139" t="n">
        <v>1</v>
      </c>
      <c r="D184" s="140" t="n">
        <f aca="false">Управление!B70</f>
        <v>734</v>
      </c>
      <c r="E184" s="182" t="n">
        <f aca="false">D184*C184</f>
        <v>734</v>
      </c>
      <c r="K184" s="133"/>
    </row>
    <row r="185" customFormat="false" ht="17.35" hidden="false" customHeight="false" outlineLevel="0" collapsed="false">
      <c r="A185" s="180" t="s">
        <v>254</v>
      </c>
      <c r="B185" s="181" t="s">
        <v>82</v>
      </c>
      <c r="C185" s="139" t="n">
        <v>1</v>
      </c>
      <c r="D185" s="140" t="n">
        <f aca="false">Управление!B71</f>
        <v>65</v>
      </c>
      <c r="E185" s="182" t="n">
        <f aca="false">D185*C185</f>
        <v>65</v>
      </c>
      <c r="K185" s="133"/>
    </row>
    <row r="186" customFormat="false" ht="17.35" hidden="false" customHeight="false" outlineLevel="0" collapsed="false">
      <c r="A186" s="184" t="s">
        <v>209</v>
      </c>
      <c r="B186" s="185" t="s">
        <v>82</v>
      </c>
      <c r="C186" s="186" t="n">
        <v>1</v>
      </c>
      <c r="D186" s="187" t="n">
        <f aca="false">ifs(Квартирная!B19="BC-19",800,Квартирная!B19="BC-38",800,Квартирная!B19="ВС-17",1000,Квартирная!B19="BC-44",600,Квартирная!B19="BC-6",800,Квартирная!B19="BC-22",800,Квартирная!B19="BC-13",1000,Квартирная!B19="BC-24",1000,Квартирная!B19="BC-45",1000,Квартирная!B19="Stark",0,Квартирная!B19="Verso",0,Квартирная!B19="Forta",0,Квартирная!B19="Kombi",0,Квартирная!B19="Нет",0,Квартирная!B19="BC-41",600,Квартирная!B19="BC-46",800,Квартирная!B19="BC-47",600,Квартирная!B19="BC-32",800,Квартирная!B19="BC-48",800,Квартирная!B19="BC-49",1000,Квартирная!B19="BC-50",1000,Квартирная!B19="BC-43",1000,Квартирная!B19="BC-51",600,Квартирная!B19="НФ-6",600,Квартирная!B19="BC-52",1000,Квартирная!B19="BC-34",1000,Квартирная!B19="BC-30",600,Квартирная!B19="BC-42",800)</f>
        <v>800</v>
      </c>
      <c r="E186" s="188" t="n">
        <f aca="false">D186*C186</f>
        <v>800</v>
      </c>
      <c r="K186" s="133"/>
    </row>
    <row r="187" customFormat="false" ht="17.35" hidden="false" customHeight="false" outlineLevel="0" collapsed="false">
      <c r="A187" s="209" t="str">
        <f aca="false">Квартирная!B21</f>
        <v>Лиственница белая</v>
      </c>
      <c r="B187" s="205" t="s">
        <v>119</v>
      </c>
      <c r="C187" s="210" t="n">
        <f aca="false">IF(F176="Стандарт",3.5,4.55)</f>
        <v>3.5</v>
      </c>
      <c r="D187" s="211" t="n">
        <f aca="false">ifs(A187="Нет",0,A187=Управление!I97,Управление!J97,A187=Управление!I98,Управление!J98,A187=Управление!I99,Управление!J99,A187=Управление!I100,Управление!J100,A187=Управление!I101,Управление!J101,A187=Управление!I102,Управление!J102,A187=Управление!I103,Управление!J103,A187=Управление!I104,Управление!J104,A187=Управление!I105,Управление!J105,A187=Управление!I106,Управление!J106,A187=Управление!I107,Управление!J107,A187=Управление!I108,Управление!J108,A187=Управление!I109,Управление!J109,A187=Управление!I110,Управление!J110,A187=Управление!I111,Управление!J111,A187=Управление!I112,Управление!J112,A187=Управление!I113,Управление!J113,A187=Управление!I114,Управление!J114,A187=Управление!I115,Управление!J115,A187=Управление!I116,Управление!J116,A187=Управление!I117,Управление!J117,A187=Управление!I118,Управление!J118,A187=Управление!I119,Управление!J119,A187=Управление!I120,Управление!J120,A187=Управление!I121,Управление!J121,A187=Управление!I122,Управление!J122,A187=Управление!I123,Управление!J123,A187=Управление!I124,Управление!J124,A187=Управление!I125,Управление!J125,A187=Управление!I126,Управление!J126,A187=Управление!I127,Управление!J127,A187=Управление!I128,Управление!J128,A187=Управление!I129,Управление!J129,A187=Управление!I130,Управление!J130,A187=Управление!I131,Управление!J131,A187=Управление!I132,Управление!J132,A187=Управление!I133,Управление!J133,A187=Управление!I134,Управление!J134,A187=Управление!I135,Управление!J135,A187=Управление!I136,Управление!J136,A187=Управление!I137,Управление!J137,A187=Управление!I138,Управление!J138,A187=Управление!I139,Управление!J139,A187=Управление!I140,Управление!J140)</f>
        <v>122</v>
      </c>
      <c r="E187" s="208" t="n">
        <f aca="false">D187*C187</f>
        <v>427</v>
      </c>
      <c r="K187" s="133"/>
    </row>
    <row r="188" customFormat="false" ht="17.35" hidden="false" customHeight="false" outlineLevel="0" collapsed="false">
      <c r="A188" s="193" t="s">
        <v>210</v>
      </c>
      <c r="B188" s="175"/>
      <c r="C188" s="175"/>
      <c r="D188" s="175"/>
      <c r="E188" s="176"/>
      <c r="F188" s="69"/>
      <c r="K188" s="133"/>
    </row>
    <row r="189" customFormat="false" ht="17.35" hidden="false" customHeight="false" outlineLevel="0" collapsed="false">
      <c r="A189" s="177" t="s">
        <v>211</v>
      </c>
      <c r="B189" s="124" t="s">
        <v>202</v>
      </c>
      <c r="C189" s="194" t="n">
        <f aca="false">IF(Квартирная!B19="BC-45",0.64,0)</f>
        <v>0</v>
      </c>
      <c r="D189" s="195" t="n">
        <f aca="false">Управление!E66</f>
        <v>214</v>
      </c>
      <c r="E189" s="196" t="n">
        <f aca="false">D189*C189</f>
        <v>0</v>
      </c>
      <c r="F189" s="197" t="s">
        <v>212</v>
      </c>
      <c r="K189" s="133"/>
    </row>
    <row r="190" customFormat="false" ht="17.35" hidden="false" customHeight="false" outlineLevel="0" collapsed="false">
      <c r="A190" s="198" t="str">
        <f aca="false">Квартирная!B23</f>
        <v>Английский дуб фог</v>
      </c>
      <c r="B190" s="143" t="s">
        <v>119</v>
      </c>
      <c r="C190" s="142" t="n">
        <f aca="false">IF(F176="Стандарт",3.5,4.55)</f>
        <v>3.5</v>
      </c>
      <c r="D190" s="199" t="n">
        <f aca="false">ifs(A190="Нет",0,A190=Управление!I97,Управление!J97,A190=Управление!I98,Управление!J98,A190=Управление!I99,Управление!J99,A190=Управление!I100,Управление!J100,A190=Управление!I101,Управление!J101,A190=Управление!I102,Управление!J102,A190=Управление!I103,Управление!J103,A190=Управление!I104,Управление!J104,A190=Управление!I105,Управление!J105,A190=Управление!I106,Управление!J106,A190=Управление!I107,Управление!J107,A190=Управление!I108,Управление!J108,A190=Управление!I109,Управление!J109,A190=Управление!I110,Управление!J110,A190=Управление!I111,Управление!J111,A190=Управление!I112,Управление!J112,A190=Управление!I113,Управление!J113,A190=Управление!I114,Управление!J114,A190=Управление!I115,Управление!J115,A190=Управление!I116,Управление!J116,A190=Управление!I117,Управление!J117,A190=Управление!I118,Управление!J118,A190=Управление!I119,Управление!J119,A190=Управление!I120,Управление!J120,A190=Управление!I121,Управление!J121,A190=Управление!I122,Управление!J122,A190=Управление!I123,Управление!J123,A190=Управление!I124,Управление!J124,A190=Управление!I125,Управление!J125,A190=Управление!I126,Управление!J126,A190=Управление!I127,Управление!J127,A190=Управление!I128,Управление!J128,A190=Управление!I129,Управление!J129,A190=Управление!I130,Управление!J130,A190=Управление!I131,Управление!J131,A190=Управление!I132,Управление!J132,A190=Управление!I133,Управление!J133,A190=Управление!I134,Управление!J134,A190=Управление!I135,Управление!J135,A190=Управление!I136,Управление!J136,A190=Управление!I137,Управление!J137,A190=Управление!I138,Управление!J138,A190=Управление!I139,Управление!J139,A190=Управление!I140,Управление!J140)</f>
        <v>140</v>
      </c>
      <c r="E190" s="200" t="n">
        <f aca="false">D190*C190</f>
        <v>490</v>
      </c>
      <c r="F190" s="197" t="s">
        <v>212</v>
      </c>
      <c r="K190" s="133"/>
    </row>
    <row r="191" customFormat="false" ht="17.35" hidden="false" customHeight="false" outlineLevel="0" collapsed="false">
      <c r="A191" s="212" t="s">
        <v>303</v>
      </c>
      <c r="B191" s="211" t="s">
        <v>82</v>
      </c>
      <c r="C191" s="213" t="n">
        <f aca="false">IF(Квартирная!B19="BC-45",1,0)</f>
        <v>0</v>
      </c>
      <c r="D191" s="211" t="n">
        <v>25</v>
      </c>
      <c r="E191" s="208" t="n">
        <f aca="false">C191*D191</f>
        <v>0</v>
      </c>
      <c r="F191" s="197" t="s">
        <v>212</v>
      </c>
      <c r="K191" s="133"/>
    </row>
    <row r="192" customFormat="false" ht="17.35" hidden="false" customHeight="false" outlineLevel="0" collapsed="false">
      <c r="A192" s="193" t="s">
        <v>210</v>
      </c>
      <c r="B192" s="175"/>
      <c r="C192" s="175"/>
      <c r="D192" s="175"/>
      <c r="E192" s="176"/>
      <c r="F192" s="69"/>
      <c r="K192" s="133"/>
    </row>
    <row r="193" customFormat="false" ht="17.35" hidden="false" customHeight="false" outlineLevel="0" collapsed="false">
      <c r="A193" s="177" t="s">
        <v>211</v>
      </c>
      <c r="B193" s="124" t="s">
        <v>202</v>
      </c>
      <c r="C193" s="194" t="n">
        <f aca="false">IF(Квартирная!B19="BC-24",0.64,0)</f>
        <v>0</v>
      </c>
      <c r="D193" s="195" t="n">
        <f aca="false">Управление!E63</f>
        <v>154.589372</v>
      </c>
      <c r="E193" s="196" t="n">
        <f aca="false">D193*C193</f>
        <v>0</v>
      </c>
      <c r="F193" s="197" t="s">
        <v>214</v>
      </c>
      <c r="K193" s="133"/>
    </row>
    <row r="194" customFormat="false" ht="17.35" hidden="false" customHeight="false" outlineLevel="0" collapsed="false">
      <c r="A194" s="198" t="str">
        <f aca="false">Квартирная!B23</f>
        <v>Английский дуб фог</v>
      </c>
      <c r="B194" s="143" t="s">
        <v>119</v>
      </c>
      <c r="C194" s="142" t="n">
        <f aca="false">IF(F176="Стандарт",3.5,4.9)</f>
        <v>3.5</v>
      </c>
      <c r="D194" s="199" t="n">
        <f aca="false">ifs(A194="Нет",0,A194=Управление!I97,Управление!J97,A194=Управление!I98,Управление!J98,A194=Управление!I99,Управление!J99,A194=Управление!I100,Управление!J100,A194=Управление!I101,Управление!J101,A194=Управление!I102,Управление!J102,A194=Управление!I103,Управление!J103,A194=Управление!I104,Управление!J104,A194=Управление!I105,Управление!J105,A194=Управление!I106,Управление!J106,A194=Управление!I107,Управление!J107,A194=Управление!I108,Управление!J108,A194=Управление!I109,Управление!J109,A194=Управление!I110,Управление!J110,A194=Управление!I111,Управление!J111,A194=Управление!I112,Управление!J112,A194=Управление!I113,Управление!J113,A194=Управление!I114,Управление!J114,A194=Управление!I115,Управление!J115,A194=Управление!I116,Управление!J116,A194=Управление!I117,Управление!J117,A194=Управление!I118,Управление!J118,A194=Управление!I119,Управление!J119,A194=Управление!I120,Управление!J120,A194=Управление!I121,Управление!J121,A194=Управление!I122,Управление!J122,A194=Управление!I123,Управление!J123,A194=Управление!I124,Управление!J124,A194=Управление!I125,Управление!J125,A194=Управление!I126,Управление!J126,A194=Управление!I127,Управление!J127,A194=Управление!I128,Управление!J128,A194=Управление!I129,Управление!J129,A194=Управление!I130,Управление!J130,A194=Управление!I131,Управление!J131,A194=Управление!I132,Управление!J132,A194=Управление!I133,Управление!J133,A194=Управление!I134,Управление!J134,A194=Управление!I135,Управление!J135,A194=Управление!I136,Управление!J136,A194=Управление!I137,Управление!J137,A194=Управление!I138,Управление!J138,A194=Управление!I139,Управление!J139,A194=Управление!I140,Управление!J140)</f>
        <v>140</v>
      </c>
      <c r="E194" s="200" t="n">
        <f aca="false">D194*C194</f>
        <v>490</v>
      </c>
      <c r="F194" s="197" t="s">
        <v>214</v>
      </c>
      <c r="K194" s="133"/>
    </row>
    <row r="195" customFormat="false" ht="17.35" hidden="false" customHeight="false" outlineLevel="0" collapsed="false">
      <c r="A195" s="203" t="s">
        <v>213</v>
      </c>
      <c r="B195" s="199" t="s">
        <v>82</v>
      </c>
      <c r="C195" s="116" t="n">
        <f aca="false">IF(Квартирная!B19="BC-24",1,0)</f>
        <v>0</v>
      </c>
      <c r="D195" s="199" t="n">
        <v>25</v>
      </c>
      <c r="E195" s="200" t="n">
        <f aca="false">C195*D195</f>
        <v>0</v>
      </c>
      <c r="F195" s="197" t="s">
        <v>214</v>
      </c>
      <c r="K195" s="133"/>
    </row>
    <row r="196" customFormat="false" ht="17.35" hidden="false" customHeight="false" outlineLevel="0" collapsed="false">
      <c r="A196" s="204" t="s">
        <v>201</v>
      </c>
      <c r="B196" s="205" t="s">
        <v>202</v>
      </c>
      <c r="C196" s="206" t="n">
        <f aca="false">IF(F176="Стандарт",1.932,2.89)</f>
        <v>1.932</v>
      </c>
      <c r="D196" s="207" t="n">
        <f aca="false">Управление!E64</f>
        <v>250.6901311</v>
      </c>
      <c r="E196" s="208" t="n">
        <f aca="false">D196*C196</f>
        <v>484.3333333</v>
      </c>
      <c r="F196" s="197" t="s">
        <v>214</v>
      </c>
      <c r="K196" s="133"/>
    </row>
    <row r="197" customFormat="false" ht="17.35" hidden="false" customHeight="false" outlineLevel="0" collapsed="false">
      <c r="A197" s="193" t="s">
        <v>210</v>
      </c>
      <c r="B197" s="175"/>
      <c r="C197" s="175"/>
      <c r="D197" s="175"/>
      <c r="E197" s="176"/>
      <c r="F197" s="69"/>
      <c r="K197" s="133"/>
    </row>
    <row r="198" customFormat="false" ht="17.35" hidden="false" customHeight="false" outlineLevel="0" collapsed="false">
      <c r="A198" s="198" t="str">
        <f aca="false">Квартирная!B23</f>
        <v>Английский дуб фог</v>
      </c>
      <c r="B198" s="143" t="s">
        <v>119</v>
      </c>
      <c r="C198" s="142" t="n">
        <f aca="false">IF(F176="Стандарт",3.5,4.55)</f>
        <v>3.5</v>
      </c>
      <c r="D198" s="195" t="n">
        <f aca="false">ifs(A198="Нет",0,A198=Управление!I97,Управление!J97,A198=Управление!I98,Управление!J98,A198=Управление!I99,Управление!J99,A198=Управление!I100,Управление!J100,A198=Управление!I101,Управление!J101,A198=Управление!I102,Управление!J102,A198=Управление!I103,Управление!J103,A198=Управление!I104,Управление!J104,A198=Управление!I105,Управление!J105,A198=Управление!I106,Управление!J106,A198=Управление!I107,Управление!J107,A198=Управление!I108,Управление!J108,A198=Управление!I109,Управление!J109,A198=Управление!I110,Управление!J110,A198=Управление!I111,Управление!J111,A198=Управление!I112,Управление!J112,A198=Управление!I113,Управление!J113,A198=Управление!I114,Управление!J114,A198=Управление!I115,Управление!J115,A198=Управление!I116,Управление!J116,A198=Управление!I117,Управление!J117,A198=Управление!I118,Управление!J118,A198=Управление!I119,Управление!J119,A198=Управление!I120,Управление!J120,A198=Управление!I121,Управление!J121,A198=Управление!I122,Управление!J122,A198=Управление!I123,Управление!J123,A198=Управление!I124,Управление!J124,A198=Управление!I125,Управление!J125,A198=Управление!I126,Управление!J126,A198=Управление!I127,Управление!J127,A198=Управление!I128,Управление!J128,A198=Управление!I129,Управление!J129,A198=Управление!I130,Управление!J130,A198=Управление!I131,Управление!J131,A198=Управление!I132,Управление!J132,A198=Управление!I133,Управление!J133,A198=Управление!I134,Управление!J134,A198=Управление!I135,Управление!J135,A198=Управление!I136,Управление!J136,A198=Управление!I137,Управление!J137,A198=Управление!I138,Управление!J138,A198=Управление!I139,Управление!J139,A198=Управление!I140,Управление!J140)</f>
        <v>140</v>
      </c>
      <c r="E198" s="196" t="n">
        <f aca="false">D198*C198</f>
        <v>490</v>
      </c>
      <c r="F198" s="197" t="s">
        <v>216</v>
      </c>
      <c r="K198" s="133"/>
    </row>
    <row r="199" customFormat="false" ht="17.35" hidden="false" customHeight="false" outlineLevel="0" collapsed="false">
      <c r="A199" s="177" t="s">
        <v>211</v>
      </c>
      <c r="B199" s="124" t="s">
        <v>202</v>
      </c>
      <c r="C199" s="194" t="n">
        <f aca="false">IF(Квартирная!B19="BC-13",0.966,0)</f>
        <v>0</v>
      </c>
      <c r="D199" s="195" t="n">
        <f aca="false">Управление!E63</f>
        <v>154.589372</v>
      </c>
      <c r="E199" s="196" t="n">
        <f aca="false">D199*C199</f>
        <v>0</v>
      </c>
      <c r="F199" s="197" t="s">
        <v>216</v>
      </c>
      <c r="K199" s="133"/>
    </row>
    <row r="200" customFormat="false" ht="17.35" hidden="false" customHeight="false" outlineLevel="0" collapsed="false">
      <c r="A200" s="203" t="s">
        <v>217</v>
      </c>
      <c r="B200" s="236" t="s">
        <v>49</v>
      </c>
      <c r="C200" s="194" t="n">
        <f aca="false">IF(Квартирная!B19="BC-13",0.1,0)</f>
        <v>0</v>
      </c>
      <c r="D200" s="236" t="n">
        <f aca="false">Управление!D79</f>
        <v>430</v>
      </c>
      <c r="E200" s="196" t="n">
        <f aca="false">C200*D200</f>
        <v>0</v>
      </c>
      <c r="F200" s="197" t="s">
        <v>216</v>
      </c>
      <c r="K200" s="133"/>
    </row>
    <row r="201" customFormat="false" ht="17.35" hidden="false" customHeight="false" outlineLevel="0" collapsed="false">
      <c r="A201" s="212" t="s">
        <v>213</v>
      </c>
      <c r="B201" s="237" t="s">
        <v>82</v>
      </c>
      <c r="C201" s="332" t="n">
        <f aca="false">IF(Квартирная!B19="BC-13",1,0)</f>
        <v>0</v>
      </c>
      <c r="D201" s="211" t="n">
        <v>25</v>
      </c>
      <c r="E201" s="208" t="n">
        <f aca="false">C201*D201</f>
        <v>0</v>
      </c>
      <c r="F201" s="197" t="s">
        <v>216</v>
      </c>
      <c r="K201" s="133"/>
    </row>
    <row r="202" customFormat="false" ht="17.35" hidden="false" customHeight="false" outlineLevel="0" collapsed="false">
      <c r="A202" s="174" t="s">
        <v>210</v>
      </c>
      <c r="B202" s="333"/>
      <c r="C202" s="334"/>
      <c r="D202" s="334"/>
      <c r="E202" s="335"/>
      <c r="F202" s="317"/>
      <c r="K202" s="133"/>
    </row>
    <row r="203" customFormat="false" ht="17.35" hidden="false" customHeight="false" outlineLevel="0" collapsed="false">
      <c r="A203" s="177" t="s">
        <v>201</v>
      </c>
      <c r="B203" s="124" t="s">
        <v>202</v>
      </c>
      <c r="C203" s="336" t="n">
        <f aca="false">IF(F176="Стандарт",1.932,2.89)</f>
        <v>1.932</v>
      </c>
      <c r="D203" s="195" t="n">
        <f aca="false">Управление!E64</f>
        <v>250.6901311</v>
      </c>
      <c r="E203" s="196" t="n">
        <f aca="false">D203*C203</f>
        <v>484.3333332852</v>
      </c>
      <c r="F203" s="197" t="s">
        <v>218</v>
      </c>
      <c r="K203" s="133"/>
    </row>
    <row r="204" customFormat="false" ht="17.35" hidden="false" customHeight="false" outlineLevel="0" collapsed="false">
      <c r="A204" s="177" t="s">
        <v>211</v>
      </c>
      <c r="B204" s="124" t="s">
        <v>202</v>
      </c>
      <c r="C204" s="194" t="n">
        <f aca="false">IF(Квартирная!B19="BC-22",0.29,0)</f>
        <v>0</v>
      </c>
      <c r="D204" s="195" t="n">
        <f aca="false">Управление!E66</f>
        <v>214</v>
      </c>
      <c r="E204" s="196" t="n">
        <f aca="false">D204*C204</f>
        <v>0</v>
      </c>
      <c r="F204" s="197" t="s">
        <v>218</v>
      </c>
      <c r="K204" s="133"/>
    </row>
    <row r="205" customFormat="false" ht="17.35" hidden="false" customHeight="false" outlineLevel="0" collapsed="false">
      <c r="A205" s="235" t="str">
        <f aca="false">Квартирная!B23</f>
        <v>Английский дуб фог</v>
      </c>
      <c r="B205" s="124" t="s">
        <v>119</v>
      </c>
      <c r="C205" s="336" t="n">
        <f aca="false">IF(F176="Стандарт",3.5,4.9)</f>
        <v>3.5</v>
      </c>
      <c r="D205" s="194" t="n">
        <f aca="false">ifs(A205="Нет",0,A205=Управление!I97,Управление!J97,A205=Управление!I98,Управление!J98,A205=Управление!I99,Управление!J99,A205=Управление!I100,Управление!J100,A205=Управление!I101,Управление!J101,A205=Управление!I102,Управление!J102,A205=Управление!I103,Управление!J103,A205=Управление!I104,Управление!J104,A205=Управление!I105,Управление!J105,A205=Управление!I106,Управление!J106,A205=Управление!I107,Управление!J107,A205=Управление!I108,Управление!J108,A205=Управление!I109,Управление!J109,A205=Управление!I110,Управление!J110,A205=Управление!I111,Управление!J111,A205=Управление!I112,Управление!J112,A205=Управление!I113,Управление!J113,A205=Управление!I114,Управление!J114,A205=Управление!I115,Управление!J115,A205=Управление!I116,Управление!J116,A205=Управление!I117,Управление!J117,A205=Управление!I118,Управление!J118,A205=Управление!I119,Управление!J119,A205=Управление!I120,Управление!J120,A205=Управление!I121,Управление!J121,A205=Управление!I122,Управление!J122,A205=Управление!I123,Управление!J123,A205=Управление!I124,Управление!J124,A205=Управление!I125,Управление!J125,A205=Управление!I126,Управление!J126,A205=Управление!I127,Управление!J127,A205=Управление!I128,Управление!J128,A205=Управление!I129,Управление!J129,A205=Управление!I130,Управление!J130,A205=Управление!I131,Управление!J131,A205=Управление!I132,Управление!J132,A205=Управление!I133,Управление!J133,A205=Управление!I134,Управление!J134,A205=Управление!I135,Управление!J135,A205=Управление!I136,Управление!J136,A205=Управление!I137,Управление!J137,A205=Управление!I138,Управление!J138,A205=Управление!I139,Управление!J139,A205=Управление!I140,Управление!J140)</f>
        <v>140</v>
      </c>
      <c r="E205" s="196" t="n">
        <f aca="false">C205*D205</f>
        <v>490</v>
      </c>
      <c r="F205" s="197" t="s">
        <v>218</v>
      </c>
      <c r="K205" s="133"/>
    </row>
    <row r="206" customFormat="false" ht="17.35" hidden="false" customHeight="false" outlineLevel="0" collapsed="false">
      <c r="A206" s="203" t="s">
        <v>217</v>
      </c>
      <c r="B206" s="236" t="s">
        <v>49</v>
      </c>
      <c r="C206" s="194" t="n">
        <f aca="false">IF(Квартирная!B19="BC-22",0.05,0)</f>
        <v>0</v>
      </c>
      <c r="D206" s="194" t="n">
        <f aca="false">Управление!D79</f>
        <v>430</v>
      </c>
      <c r="E206" s="196" t="n">
        <f aca="false">C206*D206</f>
        <v>0</v>
      </c>
      <c r="F206" s="197" t="s">
        <v>218</v>
      </c>
      <c r="K206" s="133"/>
    </row>
    <row r="207" customFormat="false" ht="17.35" hidden="false" customHeight="false" outlineLevel="0" collapsed="false">
      <c r="A207" s="203" t="s">
        <v>219</v>
      </c>
      <c r="B207" s="236" t="s">
        <v>82</v>
      </c>
      <c r="C207" s="194" t="n">
        <f aca="false">IF(Квартирная!B19="BC-22",1,0)</f>
        <v>0</v>
      </c>
      <c r="D207" s="194" t="n">
        <v>13.1</v>
      </c>
      <c r="E207" s="196" t="n">
        <f aca="false">C207*D207</f>
        <v>0</v>
      </c>
      <c r="F207" s="197" t="s">
        <v>218</v>
      </c>
      <c r="K207" s="133"/>
    </row>
    <row r="208" customFormat="false" ht="17.35" hidden="false" customHeight="false" outlineLevel="0" collapsed="false">
      <c r="A208" s="203" t="s">
        <v>220</v>
      </c>
      <c r="B208" s="236" t="s">
        <v>82</v>
      </c>
      <c r="C208" s="194" t="n">
        <f aca="false">IF(Квартирная!B19="BC-22",1,0)</f>
        <v>0</v>
      </c>
      <c r="D208" s="194" t="n">
        <v>2.5</v>
      </c>
      <c r="E208" s="196" t="n">
        <f aca="false">C208*D208</f>
        <v>0</v>
      </c>
      <c r="F208" s="197" t="s">
        <v>218</v>
      </c>
      <c r="K208" s="133"/>
    </row>
    <row r="209" customFormat="false" ht="17.35" hidden="false" customHeight="false" outlineLevel="0" collapsed="false">
      <c r="A209" s="212" t="s">
        <v>213</v>
      </c>
      <c r="B209" s="237" t="s">
        <v>82</v>
      </c>
      <c r="C209" s="332" t="n">
        <f aca="false">IF(Квартирная!B19="BC-22",1,0)</f>
        <v>0</v>
      </c>
      <c r="D209" s="332" t="n">
        <v>25</v>
      </c>
      <c r="E209" s="337" t="n">
        <f aca="false">C209*D209</f>
        <v>0</v>
      </c>
      <c r="F209" s="197" t="s">
        <v>218</v>
      </c>
      <c r="K209" s="133"/>
    </row>
    <row r="210" customFormat="false" ht="17.35" hidden="false" customHeight="false" outlineLevel="0" collapsed="false">
      <c r="A210" s="174" t="s">
        <v>210</v>
      </c>
      <c r="B210" s="333"/>
      <c r="C210" s="334"/>
      <c r="D210" s="334"/>
      <c r="E210" s="335"/>
      <c r="F210" s="317"/>
      <c r="K210" s="133"/>
    </row>
    <row r="211" customFormat="false" ht="17.35" hidden="false" customHeight="false" outlineLevel="0" collapsed="false">
      <c r="A211" s="177" t="s">
        <v>211</v>
      </c>
      <c r="B211" s="124" t="s">
        <v>202</v>
      </c>
      <c r="C211" s="194" t="n">
        <f aca="false">IF(Квартирная!B19="BC-6",0.645,0)</f>
        <v>0.645</v>
      </c>
      <c r="D211" s="195" t="n">
        <f aca="false">Управление!E63</f>
        <v>154.589372</v>
      </c>
      <c r="E211" s="196" t="n">
        <f aca="false">D211*C211</f>
        <v>99.71014493</v>
      </c>
      <c r="F211" s="197" t="s">
        <v>221</v>
      </c>
      <c r="K211" s="133"/>
    </row>
    <row r="212" customFormat="false" ht="17.35" hidden="false" customHeight="false" outlineLevel="0" collapsed="false">
      <c r="A212" s="235" t="s">
        <v>222</v>
      </c>
      <c r="B212" s="124" t="s">
        <v>82</v>
      </c>
      <c r="C212" s="336" t="n">
        <f aca="false">IF(AND(Квартирная!B19="BC-6",F176="Стандарт"),0.0612,0.0669)</f>
        <v>0.0612</v>
      </c>
      <c r="D212" s="338" t="n">
        <f aca="false">Управление!E80</f>
        <v>1400</v>
      </c>
      <c r="E212" s="196" t="n">
        <f aca="false">C212*D212</f>
        <v>85.68</v>
      </c>
      <c r="F212" s="197" t="s">
        <v>221</v>
      </c>
      <c r="K212" s="133"/>
    </row>
    <row r="213" customFormat="false" ht="17.35" hidden="false" customHeight="false" outlineLevel="0" collapsed="false">
      <c r="A213" s="235" t="s">
        <v>223</v>
      </c>
      <c r="B213" s="124"/>
      <c r="C213" s="336" t="n">
        <f aca="false">IF(F176="Стандарт",4.14,4.52)</f>
        <v>4.14</v>
      </c>
      <c r="D213" s="339" t="n">
        <f aca="false">Управление!C88</f>
        <v>60</v>
      </c>
      <c r="E213" s="196" t="n">
        <f aca="false">C213*D213</f>
        <v>248.4</v>
      </c>
      <c r="F213" s="197"/>
      <c r="K213" s="133"/>
    </row>
    <row r="214" customFormat="false" ht="17.35" hidden="false" customHeight="false" outlineLevel="0" collapsed="false">
      <c r="A214" s="235" t="str">
        <f aca="false">Квартирная!B23</f>
        <v>Английский дуб фог</v>
      </c>
      <c r="B214" s="124" t="s">
        <v>119</v>
      </c>
      <c r="C214" s="336" t="n">
        <f aca="false">IF(F176="Стандарт",3.5,4.9)</f>
        <v>3.5</v>
      </c>
      <c r="D214" s="194" t="n">
        <f aca="false">ifs(A214="Нет",0,A214=Управление!I97,Управление!J97,A214=Управление!I98,Управление!J98,A214=Управление!I99,Управление!J99,A214=Управление!I100,Управление!J100,A214=Управление!I101,Управление!J101,A214=Управление!I102,Управление!J102,A214=Управление!I103,Управление!J103,A214=Управление!I104,Управление!J104,A214=Управление!I105,Управление!J105,A214=Управление!I106,Управление!J106,A214=Управление!I107,Управление!J107,A214=Управление!I108,Управление!J108,A214=Управление!I109,Управление!J109,A214=Управление!I110,Управление!J110,A214=Управление!I111,Управление!J111,A214=Управление!I112,Управление!J112,A214=Управление!I113,Управление!J113,A214=Управление!I114,Управление!J114,A214=Управление!I115,Управление!J115,A214=Управление!I116,Управление!J116,A214=Управление!I117,Управление!J117,A214=Управление!I118,Управление!J118,A214=Управление!I119,Управление!J119,A214=Управление!I120,Управление!J120,A214=Управление!I121,Управление!J121,A214=Управление!I122,Управление!J122,A214=Управление!I123,Управление!J123,A214=Управление!I124,Управление!J124,A214=Управление!I125,Управление!J125,A214=Управление!I126,Управление!J126,A214=Управление!I127,Управление!J127,A214=Управление!I128,Управление!J128,A214=Управление!I129,Управление!J129,A214=Управление!I130,Управление!J130,A214=Управление!I131,Управление!J131,A214=Управление!I132,Управление!J132,A214=Управление!I133,Управление!J133,A214=Управление!I134,Управление!J134,A214=Управление!I135,Управление!J135,A214=Управление!I136,Управление!J136,A214=Управление!I137,Управление!J137,A214=Управление!I138,Управление!J138,A214=Управление!I139,Управление!J139,A214=Управление!I140,Управление!J140)</f>
        <v>140</v>
      </c>
      <c r="E214" s="196" t="n">
        <f aca="false">C214*D214</f>
        <v>490</v>
      </c>
      <c r="F214" s="197" t="s">
        <v>221</v>
      </c>
      <c r="K214" s="133"/>
    </row>
    <row r="215" customFormat="false" ht="17.35" hidden="false" customHeight="false" outlineLevel="0" collapsed="false">
      <c r="A215" s="203" t="s">
        <v>217</v>
      </c>
      <c r="B215" s="236" t="s">
        <v>49</v>
      </c>
      <c r="C215" s="194" t="n">
        <f aca="false">IF(Квартирная!B19="BC-6",0.1,0)</f>
        <v>0.1</v>
      </c>
      <c r="D215" s="194" t="n">
        <f aca="false">Управление!D79</f>
        <v>430</v>
      </c>
      <c r="E215" s="196" t="n">
        <f aca="false">C215*D215</f>
        <v>43</v>
      </c>
      <c r="F215" s="197" t="s">
        <v>221</v>
      </c>
      <c r="K215" s="133"/>
    </row>
    <row r="216" customFormat="false" ht="17.35" hidden="false" customHeight="false" outlineLevel="0" collapsed="false">
      <c r="A216" s="212" t="s">
        <v>225</v>
      </c>
      <c r="B216" s="237" t="s">
        <v>82</v>
      </c>
      <c r="C216" s="332" t="n">
        <f aca="false">IF(Квартирная!B19="BC-6",1,0)</f>
        <v>1</v>
      </c>
      <c r="D216" s="332" t="n">
        <v>2.1</v>
      </c>
      <c r="E216" s="337" t="n">
        <f aca="false">C216*D216</f>
        <v>2.1</v>
      </c>
      <c r="F216" s="197" t="s">
        <v>221</v>
      </c>
      <c r="K216" s="133"/>
    </row>
    <row r="217" customFormat="false" ht="17.35" hidden="false" customHeight="false" outlineLevel="0" collapsed="false">
      <c r="A217" s="174" t="s">
        <v>210</v>
      </c>
      <c r="B217" s="333"/>
      <c r="C217" s="334"/>
      <c r="D217" s="334"/>
      <c r="E217" s="335"/>
      <c r="F217" s="317"/>
      <c r="K217" s="133"/>
    </row>
    <row r="218" customFormat="false" ht="17.35" hidden="false" customHeight="false" outlineLevel="0" collapsed="false">
      <c r="A218" s="235" t="s">
        <v>222</v>
      </c>
      <c r="B218" s="124" t="s">
        <v>82</v>
      </c>
      <c r="C218" s="336" t="n">
        <f aca="false">IF(AND(Квартирная!B19="BC-19",F176="Стандарт"),0.07344,0.08028)</f>
        <v>0.08028</v>
      </c>
      <c r="D218" s="338" t="n">
        <f aca="false">Управление!E80</f>
        <v>1400</v>
      </c>
      <c r="E218" s="340" t="n">
        <f aca="false">C218*D218</f>
        <v>112.392</v>
      </c>
      <c r="F218" s="218" t="s">
        <v>227</v>
      </c>
      <c r="K218" s="133"/>
    </row>
    <row r="219" customFormat="false" ht="17.35" hidden="false" customHeight="false" outlineLevel="0" collapsed="false">
      <c r="A219" s="203" t="s">
        <v>217</v>
      </c>
      <c r="B219" s="236" t="s">
        <v>49</v>
      </c>
      <c r="C219" s="194" t="n">
        <f aca="false">IF(Квартирная!B19="BC-19",0.1,0)</f>
        <v>0</v>
      </c>
      <c r="D219" s="194" t="n">
        <f aca="false">Управление!D79</f>
        <v>430</v>
      </c>
      <c r="E219" s="340" t="n">
        <f aca="false">C219*D219</f>
        <v>0</v>
      </c>
      <c r="F219" s="218" t="s">
        <v>227</v>
      </c>
      <c r="K219" s="133"/>
    </row>
    <row r="220" customFormat="false" ht="17.35" hidden="false" customHeight="false" outlineLevel="0" collapsed="false">
      <c r="A220" s="198" t="s">
        <v>223</v>
      </c>
      <c r="B220" s="143" t="s">
        <v>224</v>
      </c>
      <c r="C220" s="116" t="n">
        <f aca="false">IF(F176="Стандарт",4.152,4.532)</f>
        <v>4.152</v>
      </c>
      <c r="D220" s="341" t="n">
        <f aca="false">Управление!C88</f>
        <v>60</v>
      </c>
      <c r="E220" s="217" t="n">
        <f aca="false">C220*D220</f>
        <v>249.12</v>
      </c>
      <c r="F220" s="218" t="s">
        <v>227</v>
      </c>
      <c r="K220" s="133"/>
    </row>
    <row r="221" customFormat="false" ht="17.35" hidden="false" customHeight="false" outlineLevel="0" collapsed="false">
      <c r="A221" s="177"/>
      <c r="B221" s="342"/>
      <c r="C221" s="343"/>
      <c r="D221" s="343"/>
      <c r="E221" s="344"/>
      <c r="F221" s="218" t="s">
        <v>227</v>
      </c>
      <c r="K221" s="133"/>
    </row>
    <row r="222" customFormat="false" ht="17.35" hidden="false" customHeight="false" outlineLevel="0" collapsed="false">
      <c r="A222" s="204"/>
      <c r="B222" s="345"/>
      <c r="C222" s="346"/>
      <c r="D222" s="346"/>
      <c r="E222" s="347"/>
      <c r="F222" s="218" t="s">
        <v>227</v>
      </c>
      <c r="K222" s="133"/>
    </row>
    <row r="223" customFormat="false" ht="17.35" hidden="false" customHeight="false" outlineLevel="0" collapsed="false">
      <c r="A223" s="174" t="s">
        <v>210</v>
      </c>
      <c r="B223" s="333"/>
      <c r="C223" s="334"/>
      <c r="D223" s="334"/>
      <c r="E223" s="335"/>
      <c r="F223" s="91"/>
      <c r="K223" s="133"/>
    </row>
    <row r="224" customFormat="false" ht="17.35" hidden="false" customHeight="false" outlineLevel="0" collapsed="false">
      <c r="A224" s="235" t="s">
        <v>226</v>
      </c>
      <c r="B224" s="124" t="s">
        <v>82</v>
      </c>
      <c r="C224" s="336" t="n">
        <f aca="false">IF(AND(Квартирная!B19="BC-19",F176="Стандарт"),0.0612,0.0669)</f>
        <v>0.0669</v>
      </c>
      <c r="D224" s="338" t="n">
        <f aca="false">Управление!E80</f>
        <v>1400</v>
      </c>
      <c r="E224" s="196" t="n">
        <f aca="false">C224*D224</f>
        <v>93.66</v>
      </c>
      <c r="F224" s="218" t="s">
        <v>228</v>
      </c>
      <c r="K224" s="133"/>
    </row>
    <row r="225" customFormat="false" ht="17.35" hidden="false" customHeight="false" outlineLevel="0" collapsed="false">
      <c r="A225" s="203" t="s">
        <v>217</v>
      </c>
      <c r="B225" s="236" t="s">
        <v>49</v>
      </c>
      <c r="C225" s="194" t="n">
        <f aca="false">IF(Квартирная!B19="BC-38",0.1,0)</f>
        <v>0</v>
      </c>
      <c r="D225" s="194" t="n">
        <f aca="false">Управление!D79</f>
        <v>430</v>
      </c>
      <c r="E225" s="196" t="n">
        <f aca="false">C225*D225</f>
        <v>0</v>
      </c>
      <c r="F225" s="218" t="s">
        <v>228</v>
      </c>
      <c r="K225" s="133"/>
    </row>
    <row r="226" customFormat="false" ht="17.35" hidden="false" customHeight="false" outlineLevel="0" collapsed="false">
      <c r="A226" s="198" t="s">
        <v>223</v>
      </c>
      <c r="B226" s="143" t="s">
        <v>224</v>
      </c>
      <c r="C226" s="116" t="n">
        <f aca="false">IF(F176="Стандарт",4.14,4.52)</f>
        <v>4.14</v>
      </c>
      <c r="D226" s="341" t="n">
        <f aca="false">Управление!C88</f>
        <v>60</v>
      </c>
      <c r="E226" s="217"/>
      <c r="F226" s="218" t="s">
        <v>228</v>
      </c>
      <c r="K226" s="133"/>
    </row>
    <row r="227" customFormat="false" ht="17.35" hidden="false" customHeight="false" outlineLevel="0" collapsed="false">
      <c r="A227" s="177"/>
      <c r="B227" s="342"/>
      <c r="C227" s="343"/>
      <c r="D227" s="343"/>
      <c r="E227" s="344"/>
      <c r="F227" s="218" t="s">
        <v>228</v>
      </c>
      <c r="K227" s="133"/>
    </row>
    <row r="228" customFormat="false" ht="17.35" hidden="false" customHeight="false" outlineLevel="0" collapsed="false">
      <c r="A228" s="204"/>
      <c r="B228" s="345"/>
      <c r="C228" s="346"/>
      <c r="D228" s="346"/>
      <c r="E228" s="347"/>
      <c r="F228" s="218" t="s">
        <v>228</v>
      </c>
      <c r="K228" s="133"/>
    </row>
    <row r="229" customFormat="false" ht="17.35" hidden="false" customHeight="false" outlineLevel="0" collapsed="false">
      <c r="A229" s="174" t="s">
        <v>210</v>
      </c>
      <c r="B229" s="333"/>
      <c r="C229" s="334"/>
      <c r="D229" s="334"/>
      <c r="E229" s="335"/>
      <c r="F229" s="91"/>
      <c r="K229" s="133"/>
    </row>
    <row r="230" customFormat="false" ht="17.35" hidden="false" customHeight="false" outlineLevel="0" collapsed="false">
      <c r="A230" s="235" t="s">
        <v>226</v>
      </c>
      <c r="B230" s="124" t="s">
        <v>82</v>
      </c>
      <c r="C230" s="336" t="n">
        <f aca="false">IF(AND(Квартирная!B19="ВС-17",F176="Стандарт"),0.153,0.16725)</f>
        <v>0.16725</v>
      </c>
      <c r="D230" s="338" t="n">
        <f aca="false">Управление!E80</f>
        <v>1400</v>
      </c>
      <c r="E230" s="196" t="n">
        <f aca="false">C230*D230</f>
        <v>234.15</v>
      </c>
      <c r="F230" s="218" t="s">
        <v>229</v>
      </c>
      <c r="K230" s="133"/>
    </row>
    <row r="231" customFormat="false" ht="17.35" hidden="false" customHeight="false" outlineLevel="0" collapsed="false">
      <c r="A231" s="203" t="s">
        <v>217</v>
      </c>
      <c r="B231" s="236" t="s">
        <v>49</v>
      </c>
      <c r="C231" s="194" t="n">
        <f aca="false">IF(Квартирная!B19="ВС-17",0.3,0)</f>
        <v>0</v>
      </c>
      <c r="D231" s="194" t="n">
        <f aca="false">Управление!D79</f>
        <v>430</v>
      </c>
      <c r="E231" s="196" t="n">
        <f aca="false">C231*D231</f>
        <v>0</v>
      </c>
      <c r="F231" s="218" t="s">
        <v>229</v>
      </c>
      <c r="K231" s="133"/>
    </row>
    <row r="232" customFormat="false" ht="17.35" hidden="false" customHeight="false" outlineLevel="0" collapsed="false">
      <c r="A232" s="198" t="s">
        <v>223</v>
      </c>
      <c r="B232" s="143" t="s">
        <v>224</v>
      </c>
      <c r="C232" s="116" t="n">
        <f aca="false">IF(F176="Стандарт",12.39,13.53)</f>
        <v>12.39</v>
      </c>
      <c r="D232" s="341" t="n">
        <f aca="false">Управление!C89</f>
        <v>40</v>
      </c>
      <c r="E232" s="217" t="n">
        <f aca="false">C232*D232</f>
        <v>495.6</v>
      </c>
      <c r="F232" s="218" t="s">
        <v>229</v>
      </c>
      <c r="K232" s="133"/>
    </row>
    <row r="233" customFormat="false" ht="17.35" hidden="false" customHeight="false" outlineLevel="0" collapsed="false">
      <c r="A233" s="177"/>
      <c r="B233" s="342"/>
      <c r="C233" s="343"/>
      <c r="D233" s="343"/>
      <c r="E233" s="344"/>
      <c r="F233" s="218" t="s">
        <v>229</v>
      </c>
      <c r="K233" s="133"/>
    </row>
    <row r="234" customFormat="false" ht="17.35" hidden="false" customHeight="false" outlineLevel="0" collapsed="false">
      <c r="A234" s="204"/>
      <c r="B234" s="345"/>
      <c r="C234" s="346"/>
      <c r="D234" s="346"/>
      <c r="E234" s="347"/>
      <c r="F234" s="218" t="s">
        <v>229</v>
      </c>
      <c r="K234" s="133"/>
    </row>
    <row r="235" customFormat="false" ht="17.35" hidden="false" customHeight="false" outlineLevel="0" collapsed="false">
      <c r="A235" s="174" t="s">
        <v>210</v>
      </c>
      <c r="B235" s="333"/>
      <c r="C235" s="334"/>
      <c r="D235" s="334"/>
      <c r="E235" s="335"/>
      <c r="F235" s="96"/>
      <c r="K235" s="133"/>
    </row>
    <row r="236" customFormat="false" ht="17.35" hidden="false" customHeight="false" outlineLevel="0" collapsed="false">
      <c r="A236" s="235" t="s">
        <v>226</v>
      </c>
      <c r="B236" s="124" t="s">
        <v>82</v>
      </c>
      <c r="C236" s="336" t="n">
        <f aca="false">IF(AND(Квартирная!B19="BC-44",F176="Стандарт"),0.102,0.1115)</f>
        <v>0.1115</v>
      </c>
      <c r="D236" s="338" t="n">
        <f aca="false">Управление!E80</f>
        <v>1400</v>
      </c>
      <c r="E236" s="340" t="n">
        <f aca="false">C236*D236</f>
        <v>156.1</v>
      </c>
      <c r="F236" s="218" t="s">
        <v>230</v>
      </c>
      <c r="K236" s="133"/>
    </row>
    <row r="237" customFormat="false" ht="17.35" hidden="false" customHeight="false" outlineLevel="0" collapsed="false">
      <c r="A237" s="203" t="s">
        <v>217</v>
      </c>
      <c r="B237" s="236" t="s">
        <v>49</v>
      </c>
      <c r="C237" s="194" t="n">
        <f aca="false">IF(Квартирная!B19="BC-44",0.1,0)</f>
        <v>0</v>
      </c>
      <c r="D237" s="194" t="n">
        <f aca="false">Управление!D79</f>
        <v>430</v>
      </c>
      <c r="E237" s="196" t="n">
        <f aca="false">C237*D237</f>
        <v>0</v>
      </c>
      <c r="F237" s="218" t="s">
        <v>230</v>
      </c>
      <c r="K237" s="133"/>
    </row>
    <row r="238" customFormat="false" ht="17.35" hidden="false" customHeight="false" outlineLevel="0" collapsed="false">
      <c r="A238" s="198" t="s">
        <v>223</v>
      </c>
      <c r="B238" s="143" t="s">
        <v>224</v>
      </c>
      <c r="C238" s="116" t="n">
        <f aca="false">IF(F176="Стандарт",4.18,4.56)</f>
        <v>4.18</v>
      </c>
      <c r="D238" s="341" t="n">
        <f aca="false">Управление!C88</f>
        <v>60</v>
      </c>
      <c r="E238" s="217" t="n">
        <f aca="false">C238*D238</f>
        <v>250.8</v>
      </c>
      <c r="F238" s="218" t="s">
        <v>230</v>
      </c>
      <c r="K238" s="133"/>
    </row>
    <row r="239" customFormat="false" ht="17.35" hidden="false" customHeight="false" outlineLevel="0" collapsed="false">
      <c r="A239" s="177"/>
      <c r="B239" s="342"/>
      <c r="C239" s="116"/>
      <c r="D239" s="116"/>
      <c r="E239" s="200"/>
      <c r="F239" s="218" t="s">
        <v>230</v>
      </c>
      <c r="K239" s="133"/>
    </row>
    <row r="240" customFormat="false" ht="17.35" hidden="false" customHeight="false" outlineLevel="0" collapsed="false">
      <c r="A240" s="204"/>
      <c r="B240" s="345"/>
      <c r="C240" s="213"/>
      <c r="D240" s="213"/>
      <c r="E240" s="208"/>
      <c r="F240" s="218" t="s">
        <v>230</v>
      </c>
      <c r="K240" s="133"/>
    </row>
    <row r="241" customFormat="false" ht="17.35" hidden="false" customHeight="false" outlineLevel="0" collapsed="false">
      <c r="A241" s="348" t="s">
        <v>231</v>
      </c>
      <c r="B241" s="349"/>
      <c r="C241" s="350"/>
      <c r="D241" s="350"/>
      <c r="E241" s="351"/>
      <c r="K241" s="133"/>
    </row>
    <row r="242" customFormat="false" ht="17.35" hidden="false" customHeight="false" outlineLevel="0" collapsed="false">
      <c r="A242" s="352" t="s">
        <v>232</v>
      </c>
      <c r="B242" s="353" t="s">
        <v>82</v>
      </c>
      <c r="C242" s="354" t="n">
        <f aca="false">IF(OR(Квартирная!B19="BC-6",Квартирная!B19="BC-13",Квартирная!B19="ВС-17",Квартирная!B19="BC-19",Квартирная!B19="BC-22",Квартирная!B19="BC-24",Квартирная!B19="BC-38",Квартирная!B19="BC-44",Квартирная!B19="BC-45",Квартирная!B19="Kombi",0,Квартирная!B19="Forta",0,Квартирная!B19="Verso",0,Квартирная!B19="Stark",0,),0,1)</f>
        <v>0</v>
      </c>
      <c r="D242" s="355" t="n">
        <f aca="false">SUM(E178:E187)</f>
        <v>2695.393333</v>
      </c>
      <c r="E242" s="356" t="n">
        <f aca="false">D242*C242</f>
        <v>0</v>
      </c>
      <c r="K242" s="133"/>
    </row>
    <row r="243" customFormat="false" ht="17.35" hidden="false" customHeight="false" outlineLevel="0" collapsed="false">
      <c r="A243" s="352" t="s">
        <v>233</v>
      </c>
      <c r="B243" s="353" t="s">
        <v>82</v>
      </c>
      <c r="C243" s="354" t="n">
        <f aca="false">IF(Квартирная!B19="BC-6",1,0)</f>
        <v>1</v>
      </c>
      <c r="D243" s="355" t="n">
        <f aca="false">SUM(E211:E216,E178:E187)</f>
        <v>3664.283478</v>
      </c>
      <c r="E243" s="356" t="n">
        <f aca="false">D243*C243</f>
        <v>3664.283478</v>
      </c>
      <c r="K243" s="133"/>
    </row>
    <row r="244" customFormat="false" ht="17.35" hidden="false" customHeight="false" outlineLevel="0" collapsed="false">
      <c r="A244" s="352" t="s">
        <v>234</v>
      </c>
      <c r="B244" s="353" t="s">
        <v>82</v>
      </c>
      <c r="C244" s="354" t="n">
        <f aca="false">IF(Квартирная!B19="BC-13",1,0)</f>
        <v>0</v>
      </c>
      <c r="D244" s="355" t="n">
        <f aca="false">SUM(E198:E201,E178:E187)</f>
        <v>3185.393333</v>
      </c>
      <c r="E244" s="356" t="n">
        <f aca="false">D244*C244</f>
        <v>0</v>
      </c>
      <c r="K244" s="133"/>
    </row>
    <row r="245" customFormat="false" ht="17.35" hidden="false" customHeight="false" outlineLevel="0" collapsed="false">
      <c r="A245" s="352" t="s">
        <v>235</v>
      </c>
      <c r="B245" s="353" t="s">
        <v>82</v>
      </c>
      <c r="C245" s="354" t="n">
        <f aca="false">IF(Квартирная!B19="ВС-17",1,0)</f>
        <v>0</v>
      </c>
      <c r="D245" s="357" t="n">
        <f aca="false">SUM(E230:E234,E178:E187)</f>
        <v>3425.143333</v>
      </c>
      <c r="E245" s="356" t="n">
        <f aca="false">D245*C245</f>
        <v>0</v>
      </c>
      <c r="K245" s="133"/>
    </row>
    <row r="246" customFormat="false" ht="17.35" hidden="false" customHeight="false" outlineLevel="0" collapsed="false">
      <c r="A246" s="352" t="s">
        <v>236</v>
      </c>
      <c r="B246" s="353" t="s">
        <v>82</v>
      </c>
      <c r="C246" s="354" t="n">
        <f aca="false">IF(Квартирная!B19="BC-19",1,0)</f>
        <v>0</v>
      </c>
      <c r="D246" s="357" t="n">
        <f aca="false">SUM(E218:E222,E178:E187)</f>
        <v>3056.905333</v>
      </c>
      <c r="E246" s="356" t="n">
        <f aca="false">D246*C246</f>
        <v>0</v>
      </c>
      <c r="K246" s="133"/>
    </row>
    <row r="247" customFormat="false" ht="17.35" hidden="false" customHeight="false" outlineLevel="0" collapsed="false">
      <c r="A247" s="352" t="s">
        <v>237</v>
      </c>
      <c r="B247" s="353" t="s">
        <v>82</v>
      </c>
      <c r="C247" s="354" t="n">
        <f aca="false">IF(Квартирная!B19="BC-22",1,0)</f>
        <v>0</v>
      </c>
      <c r="D247" s="355" t="n">
        <f aca="false">SUM(E203:E209,E179:E187)</f>
        <v>3185.393333</v>
      </c>
      <c r="E247" s="356" t="n">
        <f aca="false">D247*C247</f>
        <v>0</v>
      </c>
      <c r="K247" s="133"/>
    </row>
    <row r="248" customFormat="false" ht="17.35" hidden="false" customHeight="false" outlineLevel="0" collapsed="false">
      <c r="A248" s="352" t="s">
        <v>238</v>
      </c>
      <c r="B248" s="353" t="s">
        <v>82</v>
      </c>
      <c r="C248" s="354" t="n">
        <f aca="false">IF(Квартирная!B19="BC-24",1,0)</f>
        <v>0</v>
      </c>
      <c r="D248" s="355" t="n">
        <f aca="false">SUM(E193:E196,E179:E187)</f>
        <v>3185.393333</v>
      </c>
      <c r="E248" s="356" t="n">
        <f aca="false">D248*C248</f>
        <v>0</v>
      </c>
      <c r="K248" s="133"/>
    </row>
    <row r="249" customFormat="false" ht="17.35" hidden="false" customHeight="false" outlineLevel="0" collapsed="false">
      <c r="A249" s="352" t="s">
        <v>239</v>
      </c>
      <c r="B249" s="353" t="s">
        <v>82</v>
      </c>
      <c r="C249" s="354" t="n">
        <f aca="false">IF(Квартирная!B19="BC-38",1,0)</f>
        <v>0</v>
      </c>
      <c r="D249" s="357" t="n">
        <f aca="false">SUM(E224:E228,E178:E187)</f>
        <v>2789.053333</v>
      </c>
      <c r="E249" s="356" t="n">
        <f aca="false">D249*C249</f>
        <v>0</v>
      </c>
      <c r="K249" s="133"/>
    </row>
    <row r="250" customFormat="false" ht="17.35" hidden="false" customHeight="false" outlineLevel="0" collapsed="false">
      <c r="A250" s="352" t="s">
        <v>240</v>
      </c>
      <c r="B250" s="353" t="s">
        <v>82</v>
      </c>
      <c r="C250" s="354" t="n">
        <f aca="false">IF(Квартирная!B19="BC-44",1,0)</f>
        <v>0</v>
      </c>
      <c r="D250" s="357" t="n">
        <f aca="false">SUM(E236:E240,E178:E187)</f>
        <v>3102.293333</v>
      </c>
      <c r="E250" s="356" t="n">
        <f aca="false">D250*C250</f>
        <v>0</v>
      </c>
      <c r="K250" s="133"/>
    </row>
    <row r="251" customFormat="false" ht="17.35" hidden="false" customHeight="false" outlineLevel="0" collapsed="false">
      <c r="A251" s="358" t="s">
        <v>241</v>
      </c>
      <c r="B251" s="359" t="s">
        <v>82</v>
      </c>
      <c r="C251" s="360" t="n">
        <f aca="false">IF(Квартирная!B19="BC-45",1,0)</f>
        <v>0</v>
      </c>
      <c r="D251" s="361" t="n">
        <f aca="false">SUM(E189:E191,E178:E187)</f>
        <v>3185.393333</v>
      </c>
      <c r="E251" s="362" t="n">
        <f aca="false">D251*C251</f>
        <v>0</v>
      </c>
      <c r="K251" s="133"/>
    </row>
    <row r="252" customFormat="false" ht="17.35" hidden="false" customHeight="false" outlineLevel="0" collapsed="false">
      <c r="A252" s="174" t="s">
        <v>242</v>
      </c>
      <c r="B252" s="333"/>
      <c r="C252" s="334"/>
      <c r="D252" s="334"/>
      <c r="E252" s="335"/>
      <c r="K252" s="133"/>
    </row>
    <row r="253" customFormat="false" ht="17.35" hidden="false" customHeight="false" outlineLevel="0" collapsed="false">
      <c r="A253" s="177" t="s">
        <v>243</v>
      </c>
      <c r="B253" s="124" t="s">
        <v>202</v>
      </c>
      <c r="C253" s="336" t="n">
        <f aca="false">IF(F253="Стандарт",1.932,2.89)</f>
        <v>1.932</v>
      </c>
      <c r="D253" s="195" t="n">
        <f aca="false">IF(OR(Квартирная!C19='Внутренняя отделка'!B13,Квартирная!C19='Внутренняя отделка'!C13,Квартирная!C19='Внутренняя отделка'!D13,Квартирная!C19='Внутренняя отделка'!E13),Управление!E78,Управление!E64)</f>
        <v>250.6901311</v>
      </c>
      <c r="E253" s="196" t="n">
        <f aca="false">D253*C253</f>
        <v>484.3333332852</v>
      </c>
      <c r="F253" s="324" t="str">
        <f aca="false">Comfort!F250</f>
        <v>Стандарт</v>
      </c>
      <c r="K253" s="133"/>
    </row>
    <row r="254" customFormat="false" ht="17.35" hidden="false" customHeight="false" outlineLevel="0" collapsed="false">
      <c r="A254" s="180" t="s">
        <v>203</v>
      </c>
      <c r="B254" s="122" t="s">
        <v>29</v>
      </c>
      <c r="C254" s="194" t="n">
        <v>0.15</v>
      </c>
      <c r="D254" s="194" t="n">
        <f aca="false">Управление!G65</f>
        <v>1000</v>
      </c>
      <c r="E254" s="196" t="n">
        <f aca="false">D254*C254</f>
        <v>150</v>
      </c>
      <c r="K254" s="133"/>
    </row>
    <row r="255" customFormat="false" ht="17.35" hidden="false" customHeight="false" outlineLevel="0" collapsed="false">
      <c r="A255" s="183" t="s">
        <v>204</v>
      </c>
      <c r="B255" s="122" t="s">
        <v>119</v>
      </c>
      <c r="C255" s="194" t="n">
        <v>0.005</v>
      </c>
      <c r="D255" s="195" t="n">
        <f aca="false">Управление!E66</f>
        <v>214</v>
      </c>
      <c r="E255" s="196" t="n">
        <f aca="false">D255*C255</f>
        <v>1.07</v>
      </c>
      <c r="K255" s="133"/>
    </row>
    <row r="256" customFormat="false" ht="17.35" hidden="false" customHeight="false" outlineLevel="0" collapsed="false">
      <c r="A256" s="183" t="s">
        <v>205</v>
      </c>
      <c r="B256" s="122" t="s">
        <v>119</v>
      </c>
      <c r="C256" s="194" t="n">
        <v>0.05</v>
      </c>
      <c r="D256" s="195" t="n">
        <f aca="false">Управление!E67</f>
        <v>60</v>
      </c>
      <c r="E256" s="196" t="n">
        <f aca="false">D256*C256</f>
        <v>3</v>
      </c>
      <c r="K256" s="133"/>
    </row>
    <row r="257" customFormat="false" ht="17.35" hidden="false" customHeight="false" outlineLevel="0" collapsed="false">
      <c r="A257" s="180" t="s">
        <v>206</v>
      </c>
      <c r="B257" s="122" t="s">
        <v>49</v>
      </c>
      <c r="C257" s="194" t="n">
        <v>0.018</v>
      </c>
      <c r="D257" s="194" t="n">
        <f aca="false">Управление!D68</f>
        <v>55</v>
      </c>
      <c r="E257" s="196" t="n">
        <f aca="false">D257*C257</f>
        <v>0.99</v>
      </c>
      <c r="K257" s="133"/>
    </row>
    <row r="258" customFormat="false" ht="17.35" hidden="false" customHeight="false" outlineLevel="0" collapsed="false">
      <c r="A258" s="180" t="s">
        <v>107</v>
      </c>
      <c r="B258" s="122" t="s">
        <v>82</v>
      </c>
      <c r="C258" s="194" t="n">
        <v>1</v>
      </c>
      <c r="D258" s="194" t="n">
        <v>20</v>
      </c>
      <c r="E258" s="196" t="n">
        <f aca="false">D258*C258</f>
        <v>20</v>
      </c>
      <c r="K258" s="133"/>
    </row>
    <row r="259" customFormat="false" ht="17.35" hidden="false" customHeight="false" outlineLevel="0" collapsed="false">
      <c r="A259" s="180" t="s">
        <v>207</v>
      </c>
      <c r="B259" s="122" t="s">
        <v>82</v>
      </c>
      <c r="C259" s="194" t="n">
        <v>1</v>
      </c>
      <c r="D259" s="194" t="n">
        <f aca="false">Управление!B70</f>
        <v>734</v>
      </c>
      <c r="E259" s="196" t="n">
        <f aca="false">D259*C259</f>
        <v>734</v>
      </c>
      <c r="K259" s="133"/>
    </row>
    <row r="260" customFormat="false" ht="17.35" hidden="false" customHeight="false" outlineLevel="0" collapsed="false">
      <c r="A260" s="180" t="s">
        <v>208</v>
      </c>
      <c r="B260" s="122" t="s">
        <v>82</v>
      </c>
      <c r="C260" s="194" t="n">
        <v>1</v>
      </c>
      <c r="D260" s="194" t="n">
        <f aca="false">Управление!B71</f>
        <v>65</v>
      </c>
      <c r="E260" s="196" t="n">
        <f aca="false">D260*C260</f>
        <v>65</v>
      </c>
      <c r="K260" s="133"/>
    </row>
    <row r="261" customFormat="false" ht="17.35" hidden="false" customHeight="false" outlineLevel="0" collapsed="false">
      <c r="A261" s="184" t="s">
        <v>209</v>
      </c>
      <c r="B261" s="363" t="s">
        <v>82</v>
      </c>
      <c r="C261" s="194" t="n">
        <v>1</v>
      </c>
      <c r="D261" s="194" t="n">
        <f aca="false">ifs(Квартирная!C19='Внутренняя отделка'!B3,700,Квартирная!C19='Внутренняя отделка'!C3,700,Квартирная!C19='Внутренняя отделка'!D3,700,Квартирная!C19='Внутренняя отделка'!E3,700,Квартирная!C19='Внутренняя отделка'!F3,500,Квартирная!C19='Внутренняя отделка'!G3,700,Квартирная!C19='Внутренняя отделка'!H3,500,Квартирная!C19='Внутренняя отделка'!I3,700,Квартирная!C19='Внутренняя отделка'!J3,700,Квартирная!C19='Внутренняя отделка'!K3,700,Квартирная!C19='Внутренняя отделка'!L3,700,Квартирная!C19='Внутренняя отделка'!M3,700,Квартирная!C19='Внутренняя отделка'!N3,700,Квартирная!C19='Внутренняя отделка'!B8,500,Квартирная!C19='Внутренняя отделка'!C8,500,Квартирная!C19='Внутренняя отделка'!D8,500,Квартирная!C19='Внутренняя отделка'!E8,700,Квартирная!C19='Внутренняя отделка'!F8,700,Квартирная!C19='Внутренняя отделка'!G8,700,Квартирная!C19='Внутренняя отделка'!H8,500,Квартирная!C19='Внутренняя отделка'!I8,500,Квартирная!C19='Внутренняя отделка'!J8,900,Квартирная!C19='Внутренняя отделка'!K8,700,Квартирная!C19='Внутренняя отделка'!B13,900,Квартирная!C19='Внутренняя отделка'!C13,900,Квартирная!C19='Внутренняя отделка'!D13,900,Квартирная!C19='Внутренняя отделка'!E13,900,Квартирная!C19='Внутренняя отделка'!L8,500,Квартирная!C19='Внутренняя отделка'!M8,0)</f>
        <v>700</v>
      </c>
      <c r="E261" s="196" t="n">
        <f aca="false">D261*C261</f>
        <v>700</v>
      </c>
      <c r="K261" s="133"/>
    </row>
    <row r="262" customFormat="false" ht="17.35" hidden="false" customHeight="false" outlineLevel="0" collapsed="false">
      <c r="A262" s="364" t="str">
        <f aca="false">Квартирная!C21</f>
        <v>Астана Эш Уайт</v>
      </c>
      <c r="B262" s="365" t="s">
        <v>119</v>
      </c>
      <c r="C262" s="366" t="n">
        <f aca="false">IF(F253="Стандарт",3.5,4.55)</f>
        <v>3.5</v>
      </c>
      <c r="D262" s="367" t="n">
        <f aca="false">ifs(A262="Нет",0,A262=Управление!I97,Управление!J97,A262=Управление!I98,Управление!J98,A262=Управление!I99,Управление!J99,A262=Управление!I100,Управление!J100,A262=Управление!I101,Управление!J101,A262=Управление!I102,Управление!J102,A262=Управление!I103,Управление!J103,A262=Управление!I104,Управление!J104,A262=Управление!I105,Управление!J105,A262=Управление!I106,Управление!J106,A262=Управление!I107,Управление!J107,A262=Управление!I108,Управление!J108,A262=Управление!I109,Управление!J109,A262=Управление!I110,Управление!J110,A262=Управление!I111,Управление!J111,A262=Управление!I112,Управление!J112,A262=Управление!I113,Управление!J113,A262=Управление!I114,Управление!J114,A262=Управление!I115,Управление!J115,A262=Управление!I116,Управление!J116,A262=Управление!I117,Управление!J117,A262=Управление!I118,Управление!J118,A262=Управление!I119,Управление!J119,A262=Управление!I120,Управление!J120,A262=Управление!I121,Управление!J121,A262=Управление!I122,Управление!J122,A262=Управление!I123,Управление!J123,A262=Управление!I124,Управление!J124,A262=Управление!I125,Управление!J125,A262=Управление!I126,Управление!J126,A262=Управление!I127,Управление!J127,A262=Управление!I128,Управление!J128,A262=Управление!I129,Управление!J129,A262=Управление!I130,Управление!J130,A262=Управление!I131,Управление!J131,A262=Управление!I132,Управление!J132,A262=Управление!I133,Управление!J133,A262=Управление!I134,Управление!J134,A262=Управление!I135,Управление!J135,A262=Управление!I136,Управление!J136,A262=Управление!I137,Управление!J137,A262=Управление!I138,Управление!J138,A262=Управление!I139,Управление!J139,A262=Управление!I140,Управление!J140)</f>
        <v>132</v>
      </c>
      <c r="E262" s="196" t="n">
        <f aca="false">D262*C262</f>
        <v>462</v>
      </c>
      <c r="K262" s="133"/>
    </row>
    <row r="263" customFormat="false" ht="17.35" hidden="false" customHeight="false" outlineLevel="0" collapsed="false">
      <c r="A263" s="235" t="s">
        <v>244</v>
      </c>
      <c r="B263" s="236" t="s">
        <v>119</v>
      </c>
      <c r="C263" s="194" t="n">
        <f aca="false">IF(AND(Квартирная!C19="Ф-30",F253="Стандарт"),0.12084,0.12864)</f>
        <v>0.12864</v>
      </c>
      <c r="D263" s="368" t="n">
        <f aca="false">IF(AND(Квартирная!C19="Ф-30",F253="Стандарт"),Управление!E80,0)</f>
        <v>0</v>
      </c>
      <c r="E263" s="196" t="n">
        <f aca="false">D263*C263</f>
        <v>0</v>
      </c>
      <c r="K263" s="133"/>
    </row>
    <row r="264" customFormat="false" ht="17.35" hidden="false" customHeight="false" outlineLevel="0" collapsed="false">
      <c r="A264" s="235" t="s">
        <v>223</v>
      </c>
      <c r="B264" s="236" t="s">
        <v>224</v>
      </c>
      <c r="C264" s="194" t="n">
        <f aca="false">IF(AND(Квартирная!C19="Ф-30",F253="Стандарт"),8.176,8.696)</f>
        <v>8.696</v>
      </c>
      <c r="D264" s="155" t="n">
        <f aca="false">IF(AND(Квартирная!C19="Ф-30",F253="Стандарт"),Управление!C88,0)</f>
        <v>0</v>
      </c>
      <c r="E264" s="196" t="n">
        <f aca="false">D264*C264</f>
        <v>0</v>
      </c>
      <c r="K264" s="133"/>
    </row>
    <row r="265" customFormat="false" ht="17.35" hidden="false" customHeight="false" outlineLevel="0" collapsed="false">
      <c r="A265" s="235" t="s">
        <v>245</v>
      </c>
      <c r="B265" s="236" t="s">
        <v>119</v>
      </c>
      <c r="C265" s="194" t="n">
        <f aca="false">IF(AND(Квартирная!C19="Ф-32",F253="Стандарт"),0.116812,0.124352)</f>
        <v>0.124352</v>
      </c>
      <c r="D265" s="368" t="n">
        <f aca="false">IF(AND(Квартирная!C19="Ф-32",F253="Стандарт"),Управление!E80,0)</f>
        <v>0</v>
      </c>
      <c r="E265" s="196" t="n">
        <f aca="false">D265*C265</f>
        <v>0</v>
      </c>
      <c r="K265" s="133"/>
    </row>
    <row r="266" customFormat="false" ht="17.35" hidden="false" customHeight="false" outlineLevel="0" collapsed="false">
      <c r="A266" s="235" t="s">
        <v>223</v>
      </c>
      <c r="B266" s="236" t="s">
        <v>224</v>
      </c>
      <c r="C266" s="194" t="n">
        <f aca="false">IF(AND(Квартирная!C19="Ф-32",F253="Стандарт"),4.144,4.404)</f>
        <v>4.404</v>
      </c>
      <c r="D266" s="155" t="n">
        <f aca="false">IF(AND(Квартирная!C19="Ф-32",F253="Стандарт"),Управление!C88,0)</f>
        <v>0</v>
      </c>
      <c r="E266" s="196" t="n">
        <f aca="false">D266*C266</f>
        <v>0</v>
      </c>
      <c r="K266" s="133"/>
    </row>
    <row r="267" customFormat="false" ht="17.35" hidden="false" customHeight="false" outlineLevel="0" collapsed="false">
      <c r="A267" s="235" t="s">
        <v>246</v>
      </c>
      <c r="B267" s="236" t="s">
        <v>119</v>
      </c>
      <c r="C267" s="194" t="n">
        <f aca="false">IF(AND(Квартирная!C19="Ф-79",F253="Стандарт"),0.06042,0.06432)</f>
        <v>0.06432</v>
      </c>
      <c r="D267" s="155" t="n">
        <f aca="false">IF(AND(Квартирная!C19="Ф-79",F253="Стандарт"),Управление!E80,0)</f>
        <v>0</v>
      </c>
      <c r="E267" s="196" t="n">
        <f aca="false">D267*C267</f>
        <v>0</v>
      </c>
      <c r="K267" s="133"/>
    </row>
    <row r="268" customFormat="false" ht="17.35" hidden="false" customHeight="false" outlineLevel="0" collapsed="false">
      <c r="A268" s="235" t="s">
        <v>223</v>
      </c>
      <c r="B268" s="236" t="s">
        <v>224</v>
      </c>
      <c r="C268" s="194" t="n">
        <f aca="false">IF(AND(Квартирная!C19="Ф-79",F253="Стандарт"),4.088,4.348)</f>
        <v>4.348</v>
      </c>
      <c r="D268" s="155" t="n">
        <f aca="false">IF(AND(Квартирная!C19="Ф-79",F253="Стандарт"),Управление!C88,0)</f>
        <v>0</v>
      </c>
      <c r="E268" s="196" t="n">
        <f aca="false">D268*C268</f>
        <v>0</v>
      </c>
      <c r="K268" s="133"/>
    </row>
    <row r="269" customFormat="false" ht="17.35" hidden="false" customHeight="false" outlineLevel="0" collapsed="false">
      <c r="A269" s="203" t="s">
        <v>217</v>
      </c>
      <c r="B269" s="236" t="s">
        <v>49</v>
      </c>
      <c r="C269" s="194" t="n">
        <f aca="false">ifs(Квартирная!C19='Внутренняя отделка'!B3,0,Квартирная!C19='Внутренняя отделка'!C3,0,Квартирная!C19='Внутренняя отделка'!D3,0,Квартирная!C19='Внутренняя отделка'!E3,0,Квартирная!C19='Внутренняя отделка'!G3,0,Квартирная!C19='Внутренняя отделка'!H3,0,Квартирная!C19='Внутренняя отделка'!I3,0,Квартирная!C19='Внутренняя отделка'!J3,0,Квартирная!C19='Внутренняя отделка'!K3,0,Квартирная!C19='Внутренняя отделка'!L3,0,Квартирная!C19='Внутренняя отделка'!M3,0,Квартирная!C19='Внутренняя отделка'!N3,0,Квартирная!C19='Внутренняя отделка'!B8,0,Квартирная!C19='Внутренняя отделка'!C8,0,Квартирная!C19='Внутренняя отделка'!D8,0,Квартирная!C19='Внутренняя отделка'!E8,0,Квартирная!C19='Внутренняя отделка'!G8,0.05,Квартирная!C19='Внутренняя отделка'!H8,0.05,Квартирная!C19='Внутренняя отделка'!I8,0.05,Квартирная!C19='Внутренняя отделка'!K8,0.05,Квартирная!C19='Внутренняя отделка'!B13,0.08,Квартирная!C19='Внутренняя отделка'!C13,0.15,Квартирная!C19='Внутренняя отделка'!D13,0.15,Квартирная!C19='Внутренняя отделка'!E13,0,Квартирная!C19='Внутренняя отделка'!F8,0,Квартирная!C19='Внутренняя отделка'!F3,0,Квартирная!C19='Внутренняя отделка'!J8,0,Квартирная!C19='Внутренняя отделка'!L8,0,Квартирная!C19='Внутренняя отделка'!M8,0)</f>
        <v>0</v>
      </c>
      <c r="D269" s="194" t="n">
        <f aca="false">Управление!D79</f>
        <v>430</v>
      </c>
      <c r="E269" s="196" t="n">
        <f aca="false">D269*C269</f>
        <v>0</v>
      </c>
      <c r="K269" s="133"/>
    </row>
    <row r="270" customFormat="false" ht="17.35" hidden="false" customHeight="false" outlineLevel="0" collapsed="false">
      <c r="A270" s="201" t="s">
        <v>247</v>
      </c>
      <c r="B270" s="369" t="s">
        <v>82</v>
      </c>
      <c r="C270" s="367" t="n">
        <f aca="false">IF(Квартирная!C19='Внутренняя отделка'!E13,0.1,0)</f>
        <v>0</v>
      </c>
      <c r="D270" s="367" t="n">
        <f aca="false">Управление!B91</f>
        <v>260</v>
      </c>
      <c r="E270" s="196" t="n">
        <f aca="false">D270*C270</f>
        <v>0</v>
      </c>
      <c r="K270" s="133"/>
    </row>
    <row r="271" customFormat="false" ht="17.35" hidden="false" customHeight="false" outlineLevel="0" collapsed="false">
      <c r="A271" s="201" t="s">
        <v>248</v>
      </c>
      <c r="B271" s="369" t="s">
        <v>224</v>
      </c>
      <c r="C271" s="367" t="n">
        <f aca="false">IF(AND(Квартирная!C19="ФЗ-1",F253="Стандарт"),4.476,4.736)</f>
        <v>4.736</v>
      </c>
      <c r="D271" s="367" t="n">
        <f aca="false">IF(AND(Квартирная!C19="ФЗ-1",F253="Стандарт"),Управление!C90,0)</f>
        <v>0</v>
      </c>
      <c r="E271" s="340" t="n">
        <f aca="false">D271*C271</f>
        <v>0</v>
      </c>
      <c r="K271" s="133"/>
    </row>
    <row r="272" customFormat="false" ht="17.35" hidden="false" customHeight="false" outlineLevel="0" collapsed="false">
      <c r="A272" s="201" t="s">
        <v>249</v>
      </c>
      <c r="B272" s="369" t="s">
        <v>119</v>
      </c>
      <c r="C272" s="367" t="n">
        <f aca="false">IF(AND(Квартирная!C19="ФЗ-1",F253="Стандарт"),0.451136,0.480256)</f>
        <v>0.480256</v>
      </c>
      <c r="D272" s="367" t="n">
        <f aca="false">IF(AND(Квартирная!C19="ФЗ-1",F253="Стандарт"),Управление!E81,0)</f>
        <v>0</v>
      </c>
      <c r="E272" s="340" t="n">
        <f aca="false">D272*C272</f>
        <v>0</v>
      </c>
      <c r="K272" s="133"/>
    </row>
    <row r="273" customFormat="false" ht="17.35" hidden="false" customHeight="false" outlineLevel="0" collapsed="false">
      <c r="A273" s="201" t="s">
        <v>250</v>
      </c>
      <c r="B273" s="369" t="s">
        <v>119</v>
      </c>
      <c r="C273" s="367" t="n">
        <f aca="false">IF(AND(Квартирная!C19="ФЗ-6",F253="Стандарт"),1.28896,1.37216)</f>
        <v>1.37216</v>
      </c>
      <c r="D273" s="367" t="n">
        <f aca="false">IF(AND(Квартирная!C19="ФЗ-6",F253="Стандарт"),Управление!E81,0)</f>
        <v>0</v>
      </c>
      <c r="E273" s="340" t="n">
        <f aca="false">D273*C273</f>
        <v>0</v>
      </c>
      <c r="K273" s="133"/>
    </row>
    <row r="274" customFormat="false" ht="17.35" hidden="false" customHeight="false" outlineLevel="0" collapsed="false">
      <c r="A274" s="235" t="s">
        <v>223</v>
      </c>
      <c r="B274" s="236" t="s">
        <v>224</v>
      </c>
      <c r="C274" s="194" t="n">
        <f aca="false">IF(AND(Квартирная!C19="ФЗ-6",F253="Стандарт"),5.308,5.568)</f>
        <v>5.568</v>
      </c>
      <c r="D274" s="155" t="n">
        <f aca="false">IF(AND(Квартирная!C19="ФЗ-6",F253="Стандарт"),Управление!C88,0)</f>
        <v>0</v>
      </c>
      <c r="E274" s="340" t="n">
        <f aca="false">D274*C274</f>
        <v>0</v>
      </c>
      <c r="K274" s="133"/>
    </row>
    <row r="275" customFormat="false" ht="17.35" hidden="false" customHeight="false" outlineLevel="0" collapsed="false">
      <c r="A275" s="201" t="s">
        <v>251</v>
      </c>
      <c r="B275" s="369" t="s">
        <v>119</v>
      </c>
      <c r="C275" s="367" t="n">
        <f aca="false">IF(AND(Квартирная!C19="ФЗ-7",F253="Стандарт"),1.583004,1.685184)</f>
        <v>1.685184</v>
      </c>
      <c r="D275" s="367" t="n">
        <f aca="false">IF(AND(Квартирная!C19="ФЗ-7",F253="Стандарт"),Управление!E81,0)</f>
        <v>0</v>
      </c>
      <c r="E275" s="196" t="n">
        <f aca="false">D275*C275</f>
        <v>0</v>
      </c>
      <c r="K275" s="133"/>
    </row>
    <row r="276" customFormat="false" ht="17.35" hidden="false" customHeight="false" outlineLevel="0" collapsed="false">
      <c r="A276" s="235" t="s">
        <v>223</v>
      </c>
      <c r="B276" s="236" t="s">
        <v>224</v>
      </c>
      <c r="C276" s="194" t="n">
        <f aca="false">IF(AND(Квартирная!C19="ФЗ-7",F253="Стандарт"),5.6,5.86)</f>
        <v>5.86</v>
      </c>
      <c r="D276" s="155" t="n">
        <f aca="false">IF(AND(Квартирная!C19="ФЗ-7",F253="Стандарт"),Управление!C88,0)</f>
        <v>0</v>
      </c>
      <c r="E276" s="340" t="n">
        <f aca="false">D276*C276</f>
        <v>0</v>
      </c>
      <c r="K276" s="133"/>
    </row>
    <row r="277" customFormat="false" ht="17.35" hidden="false" customHeight="false" outlineLevel="0" collapsed="false">
      <c r="A277" s="212" t="s">
        <v>304</v>
      </c>
      <c r="B277" s="237" t="s">
        <v>119</v>
      </c>
      <c r="C277" s="332" t="n">
        <f aca="false">IF(AND(Квартирная!C19="ФЗ-8",F253="Стандарт"),1.2573,1.33985)</f>
        <v>1.33985</v>
      </c>
      <c r="D277" s="332" t="n">
        <f aca="false">IF(AND(Квартирная!C19="ФЗ-8",F253="Стандарт"),Управление!E81,0)</f>
        <v>0</v>
      </c>
      <c r="E277" s="196" t="n">
        <f aca="false">D277*C277</f>
        <v>0</v>
      </c>
      <c r="K277" s="133"/>
    </row>
    <row r="278" customFormat="false" ht="17.35" hidden="false" customHeight="false" outlineLevel="0" collapsed="false">
      <c r="A278" s="174" t="s">
        <v>253</v>
      </c>
      <c r="B278" s="333"/>
      <c r="C278" s="334"/>
      <c r="D278" s="334"/>
      <c r="E278" s="335"/>
      <c r="K278" s="133"/>
    </row>
    <row r="279" customFormat="false" ht="17.35" hidden="false" customHeight="false" outlineLevel="0" collapsed="false">
      <c r="A279" s="177" t="s">
        <v>201</v>
      </c>
      <c r="B279" s="124" t="s">
        <v>202</v>
      </c>
      <c r="C279" s="336" t="n">
        <f aca="false">IF(F176="Стандарт",0.82,1)</f>
        <v>0.82</v>
      </c>
      <c r="D279" s="195" t="n">
        <f aca="false">Управление!E64</f>
        <v>250.6901311</v>
      </c>
      <c r="E279" s="196" t="n">
        <f aca="false">D279*C279</f>
        <v>205.565907502</v>
      </c>
      <c r="K279" s="133"/>
    </row>
    <row r="280" customFormat="false" ht="17.35" hidden="false" customHeight="false" outlineLevel="0" collapsed="false">
      <c r="A280" s="364" t="str">
        <f aca="false">IF(Квартирная!B25="Как основной", Квартирная!B21, Квартирная!B25)</f>
        <v>Астана Эш Уайт</v>
      </c>
      <c r="B280" s="365" t="s">
        <v>119</v>
      </c>
      <c r="C280" s="366" t="n">
        <f aca="false">IF(F176="Стандарт",3.5,4.55)</f>
        <v>3.5</v>
      </c>
      <c r="D280" s="367" t="n">
        <f aca="false">ifs(A280="Нет",0,A280=Управление!I97,Управление!J97,A280=Управление!I98,Управление!J98,A280=Управление!I99,Управление!J99,A280=Управление!I100,Управление!J100,A280=Управление!I101,Управление!J101,A280=Управление!I102,Управление!J102,A280=Управление!I103,Управление!J103,A280=Управление!I104,Управление!J104,A280=Управление!I105,Управление!J105,A280=Управление!I106,Управление!J106,A280=Управление!I107,Управление!J107,A280=Управление!I108,Управление!J108,A280=Управление!I109,Управление!J109,A280=Управление!I110,Управление!J110,A280=Управление!I111,Управление!J111,A280=Управление!I112,Управление!J112,A280=Управление!I113,Управление!J113,A280=Управление!I114,Управление!J114,A280=Управление!I115,Управление!J115,A280=Управление!I116,Управление!J116,A280=Управление!I117,Управление!J117,A280=Управление!I118,Управление!J118,A280=Управление!I119,Управление!J119,A280=Управление!I120,Управление!J120,A280=Управление!I121,Управление!J121,A280=Управление!I122,Управление!J122,A280=Управление!I123,Управление!J123,A280=Управление!I124,Управление!J124,A280=Управление!I125,Управление!J125,A280=Управление!I126,Управление!J126,A280=Управление!I127,Управление!J127,A280=Управление!I128,Управление!J128,A280=Управление!I129,Управление!J129,A280=Управление!I130,Управление!J130,A280=Управление!I131,Управление!J131,A280=Управление!I132,Управление!J132,A280=Управление!I133,Управление!J133,A280=Управление!I134,Управление!J134,A280=Управление!I135,Управление!J135,A280=Управление!I136,Управление!J136,A280=Управление!I137,Управление!J137,A280=Управление!I138,Управление!J138,A280=Управление!I139,Управление!J139,A280=Управление!I140,Управление!J140)</f>
        <v>132</v>
      </c>
      <c r="E280" s="196" t="n">
        <f aca="false">D280*C280</f>
        <v>462</v>
      </c>
      <c r="K280" s="133"/>
    </row>
    <row r="281" customFormat="false" ht="17.35" hidden="false" customHeight="false" outlineLevel="0" collapsed="false">
      <c r="A281" s="255" t="s">
        <v>203</v>
      </c>
      <c r="B281" s="122" t="s">
        <v>29</v>
      </c>
      <c r="C281" s="257" t="n">
        <v>0.15</v>
      </c>
      <c r="D281" s="257" t="n">
        <f aca="false">Управление!G65</f>
        <v>1000</v>
      </c>
      <c r="E281" s="370" t="n">
        <f aca="false">D281*C281</f>
        <v>150</v>
      </c>
      <c r="K281" s="133"/>
    </row>
    <row r="282" customFormat="false" ht="17.35" hidden="false" customHeight="false" outlineLevel="0" collapsed="false">
      <c r="A282" s="371" t="s">
        <v>204</v>
      </c>
      <c r="B282" s="122" t="s">
        <v>119</v>
      </c>
      <c r="C282" s="257" t="n">
        <v>0.005</v>
      </c>
      <c r="D282" s="372" t="n">
        <f aca="false">Управление!E66</f>
        <v>214</v>
      </c>
      <c r="E282" s="370" t="n">
        <f aca="false">D282*C282</f>
        <v>1.07</v>
      </c>
      <c r="K282" s="133"/>
    </row>
    <row r="283" customFormat="false" ht="17.35" hidden="false" customHeight="false" outlineLevel="0" collapsed="false">
      <c r="A283" s="371" t="s">
        <v>205</v>
      </c>
      <c r="B283" s="122" t="s">
        <v>119</v>
      </c>
      <c r="C283" s="257" t="n">
        <v>0.05</v>
      </c>
      <c r="D283" s="372" t="n">
        <f aca="false">Управление!E67</f>
        <v>60</v>
      </c>
      <c r="E283" s="370" t="n">
        <f aca="false">D283*C283</f>
        <v>3</v>
      </c>
      <c r="K283" s="133"/>
    </row>
    <row r="284" customFormat="false" ht="17.35" hidden="false" customHeight="false" outlineLevel="0" collapsed="false">
      <c r="A284" s="255" t="s">
        <v>206</v>
      </c>
      <c r="B284" s="122" t="s">
        <v>49</v>
      </c>
      <c r="C284" s="257" t="n">
        <v>0.018</v>
      </c>
      <c r="D284" s="257" t="n">
        <f aca="false">Управление!D68</f>
        <v>55</v>
      </c>
      <c r="E284" s="370" t="n">
        <f aca="false">D284*C284</f>
        <v>0.99</v>
      </c>
      <c r="K284" s="133"/>
    </row>
    <row r="285" customFormat="false" ht="17.35" hidden="false" customHeight="false" outlineLevel="0" collapsed="false">
      <c r="A285" s="255" t="s">
        <v>107</v>
      </c>
      <c r="B285" s="122" t="s">
        <v>82</v>
      </c>
      <c r="C285" s="257" t="n">
        <v>1</v>
      </c>
      <c r="D285" s="257" t="n">
        <v>20</v>
      </c>
      <c r="E285" s="370" t="n">
        <f aca="false">D285*C285</f>
        <v>20</v>
      </c>
      <c r="K285" s="133"/>
    </row>
    <row r="286" customFormat="false" ht="17.35" hidden="false" customHeight="false" outlineLevel="0" collapsed="false">
      <c r="A286" s="255" t="s">
        <v>207</v>
      </c>
      <c r="B286" s="122" t="s">
        <v>82</v>
      </c>
      <c r="C286" s="257" t="n">
        <v>1</v>
      </c>
      <c r="D286" s="257" t="n">
        <f aca="false">Управление!B70</f>
        <v>734</v>
      </c>
      <c r="E286" s="370" t="n">
        <f aca="false">D286*C286</f>
        <v>734</v>
      </c>
      <c r="K286" s="133"/>
    </row>
    <row r="287" customFormat="false" ht="17.35" hidden="false" customHeight="false" outlineLevel="0" collapsed="false">
      <c r="A287" s="255" t="s">
        <v>254</v>
      </c>
      <c r="B287" s="122" t="s">
        <v>82</v>
      </c>
      <c r="C287" s="257" t="n">
        <v>1</v>
      </c>
      <c r="D287" s="257" t="n">
        <v>75</v>
      </c>
      <c r="E287" s="370" t="n">
        <f aca="false">D287*C287</f>
        <v>75</v>
      </c>
      <c r="K287" s="133"/>
    </row>
    <row r="288" customFormat="false" ht="17.35" hidden="false" customHeight="false" outlineLevel="0" collapsed="false">
      <c r="A288" s="244" t="s">
        <v>209</v>
      </c>
      <c r="B288" s="373" t="s">
        <v>82</v>
      </c>
      <c r="C288" s="332" t="n">
        <v>1</v>
      </c>
      <c r="D288" s="332" t="n">
        <f aca="false">ifs(Квартирная!B19="BC-45",500,Квартирная!B19="BC-24",400,Квартирная!B19="BC-13",400,Квартирная!B19="Kombi",0,Квартирная!B19="Verso",0,Квартирная!B19="Forta",0,Квартирная!B19="Stark",0,Квартирная!B19="BC-6",300,Квартирная!B19="BC-22",300,Квартирная!B19="BC-41",300,Квартирная!B19="BC-46",300,Квартирная!B19="BC-47",300,Квартирная!B19="BC-32",300,Квартирная!B19="BC-48",300,Квартирная!B19="BC-42",300,Квартирная!B19="BC-49",300,Квартирная!B19="BC-50",300,Квартирная!B19="BC-43",300,Квартирная!B19="BC-51",300,Квартирная!B19="НФ-6",300,Квартирная!B19="BC-52",300,Квартирная!B19="BC-34",300,Квартирная!B19="BC-30",300,Квартирная!B19="BC-44",300,Квартирная!B19="BC-19",300,Квартирная!B19="BC-38",300,Квартирная!B19="ВС-17",300)</f>
        <v>300</v>
      </c>
      <c r="E288" s="337" t="n">
        <f aca="false">D288*C288</f>
        <v>300</v>
      </c>
      <c r="K288" s="133"/>
    </row>
    <row r="289" customFormat="false" ht="18.55" hidden="false" customHeight="false" outlineLevel="0" collapsed="false">
      <c r="A289" s="246" t="s">
        <v>255</v>
      </c>
      <c r="B289" s="247"/>
      <c r="C289" s="248"/>
      <c r="D289" s="248"/>
      <c r="E289" s="249"/>
      <c r="K289" s="133"/>
    </row>
    <row r="290" customFormat="false" ht="17.35" hidden="false" customHeight="false" outlineLevel="0" collapsed="false">
      <c r="A290" s="250" t="s">
        <v>256</v>
      </c>
      <c r="B290" s="251"/>
      <c r="C290" s="374" t="n">
        <f aca="false">IF(Квартирная!B10&gt;2250,6.86875,6.0445)</f>
        <v>6.0445</v>
      </c>
      <c r="D290" s="253" t="n">
        <f aca="false">IF(Квартирная!B19="Verso",Управление!G3,0)</f>
        <v>0</v>
      </c>
      <c r="E290" s="299" t="n">
        <f aca="false">C290*D290</f>
        <v>0</v>
      </c>
      <c r="K290" s="133"/>
    </row>
    <row r="291" customFormat="false" ht="17.35" hidden="false" customHeight="false" outlineLevel="0" collapsed="false">
      <c r="A291" s="255" t="str">
        <f aca="false">Квартирная!B29</f>
        <v>Антик медь</v>
      </c>
      <c r="B291" s="256"/>
      <c r="C291" s="257" t="n">
        <f aca="false">IF(Квартирная!B19="Verso",1,0)</f>
        <v>0</v>
      </c>
      <c r="D291" s="257" t="n">
        <f aca="false">ifs(A291="Нет",0,A291=Управление!I4,Управление!J4,A291=Управление!I5,Управление!J5,A291=Управление!I6,Управление!J6,A291=Управление!I7,Управление!J7,A291=Управление!I8,Управление!J8,A291=Управление!I9,Управление!J9,A291=Управление!I10,Управление!J10,A291=Управление!I11,Управление!J11,A291=Управление!I12,Управление!J12,A291=Управление!I13,Управление!J13,A291=Управление!I14,Управление!J14,A291=Управление!I15,Управление!J15,A291=Управление!I16,Управление!J16,A291=Управление!I17,Управление!J17,A291=Управление!I18,Управление!J18,A291=Управление!I19,Управление!J19,A291=Управление!I20,Управление!J20,A291=Управление!I21,Управление!J21,A291=Управление!I22,Управление!J22,A291=Управление!I23,Управление!J23,A291=Управление!I24,Управление!J24)</f>
        <v>390</v>
      </c>
      <c r="E291" s="375" t="n">
        <f aca="false">C291*D291</f>
        <v>0</v>
      </c>
      <c r="K291" s="133"/>
    </row>
    <row r="292" customFormat="false" ht="17.35" hidden="false" customHeight="false" outlineLevel="0" collapsed="false">
      <c r="A292" s="255" t="str">
        <f aca="false">Квартирная!C29</f>
        <v>Нет</v>
      </c>
      <c r="B292" s="256"/>
      <c r="C292" s="257" t="n">
        <f aca="false">IF(Квартирная!B19="Verso",1,0)</f>
        <v>0</v>
      </c>
      <c r="D292" s="257" t="n">
        <f aca="false">ifs(A292="Нет",0,A292=Управление!I4,Управление!J4,A292=Управление!I5,Управление!J5,A292=Управление!I6,Управление!J6,A292=Управление!I7,Управление!J7,A292=Управление!I8,Управление!J8,A292=Управление!I9,Управление!J9,A292=Управление!I10,Управление!J10,A292=Управление!I11,Управление!J11,A292=Управление!I12,Управление!J12,A292=Управление!I13,Управление!J13,A292=Управление!I14,Управление!J14,A292=Управление!I15,Управление!J15,A292=Управление!I16,Управление!J16,A292=Управление!I17,Управление!J17,A292=Управление!I18,Управление!J18,A292=Управление!I19,Управление!J19,A292=Управление!I20,Управление!J20,A292=Управление!I21,Управление!J21,A292=Управление!I22,Управление!J22,A292=Управление!I23,Управление!J23,A292=Управление!I24,Управление!J24)</f>
        <v>0</v>
      </c>
      <c r="E292" s="375" t="n">
        <f aca="false">C292*D292</f>
        <v>0</v>
      </c>
      <c r="K292" s="133"/>
    </row>
    <row r="293" customFormat="false" ht="17.35" hidden="false" customHeight="false" outlineLevel="0" collapsed="false">
      <c r="A293" s="260" t="s">
        <v>257</v>
      </c>
      <c r="B293" s="261"/>
      <c r="C293" s="262" t="n">
        <f aca="false">IF(Квартирная!B19="Verso",25,0)</f>
        <v>0</v>
      </c>
      <c r="D293" s="263" t="n">
        <f aca="false">Управление!B86</f>
        <v>2.52</v>
      </c>
      <c r="E293" s="376" t="n">
        <f aca="false">C293*D293</f>
        <v>0</v>
      </c>
      <c r="K293" s="133"/>
    </row>
    <row r="294" customFormat="false" ht="18.55" hidden="false" customHeight="false" outlineLevel="0" collapsed="false">
      <c r="A294" s="265" t="s">
        <v>258</v>
      </c>
      <c r="B294" s="266"/>
      <c r="C294" s="267"/>
      <c r="D294" s="267"/>
      <c r="E294" s="268"/>
      <c r="K294" s="133"/>
    </row>
    <row r="295" customFormat="false" ht="17.35" hidden="false" customHeight="false" outlineLevel="0" collapsed="false">
      <c r="A295" s="250" t="s">
        <v>259</v>
      </c>
      <c r="B295" s="269" t="s">
        <v>82</v>
      </c>
      <c r="C295" s="377" t="n">
        <f aca="false">IF(Квартирная!B19="Forta",1.2,0)</f>
        <v>0</v>
      </c>
      <c r="D295" s="253" t="n">
        <f aca="false">Управление!G82</f>
        <v>187</v>
      </c>
      <c r="E295" s="299" t="n">
        <f aca="false">D295*C295</f>
        <v>0</v>
      </c>
      <c r="K295" s="133"/>
    </row>
    <row r="296" customFormat="false" ht="17.35" hidden="false" customHeight="false" outlineLevel="0" collapsed="false">
      <c r="A296" s="255" t="s">
        <v>260</v>
      </c>
      <c r="B296" s="271" t="s">
        <v>305</v>
      </c>
      <c r="C296" s="272" t="n">
        <f aca="false">IF(Квартирная!B19="Forta",2.15875,0)</f>
        <v>0</v>
      </c>
      <c r="D296" s="273" t="n">
        <f aca="false">Управление!G3</f>
        <v>84</v>
      </c>
      <c r="E296" s="375" t="n">
        <f aca="false">D296*C296</f>
        <v>0</v>
      </c>
      <c r="K296" s="133"/>
    </row>
    <row r="297" customFormat="false" ht="17.35" hidden="false" customHeight="false" outlineLevel="0" collapsed="false">
      <c r="A297" s="255" t="str">
        <f aca="false">Квартирная!C29</f>
        <v>Нет</v>
      </c>
      <c r="B297" s="271" t="s">
        <v>29</v>
      </c>
      <c r="C297" s="257" t="n">
        <f aca="false">IF(Квартирная!B19="Forta",0.1,0)</f>
        <v>0</v>
      </c>
      <c r="D297" s="257" t="n">
        <f aca="false">ifs(A297="Нет",0,A297=Управление!I4,Управление!J4,A297=Управление!I5,Управление!J5,A297=Управление!I6,Управление!J6,A297=Управление!I7,Управление!J7,A297=Управление!I8,Управление!J8,A297=Управление!I9,Управление!J9,A297=Управление!I10,Управление!J10,A297=Управление!I11,Управление!J11,A297=Управление!I12,Управление!J12,A297=Управление!I13,Управление!J13,A297=Управление!I14,Управление!J14,A297=Управление!I15,Управление!J15,A297=Управление!I16,Управление!J16,A297=Управление!I17,Управление!J17,A297=Управление!I18,Управление!J18,A297=Управление!I19,Управление!J19,A297=Управление!I20,Управление!J20,A297=Управление!I21,Управление!J21,A297=Управление!I22,Управление!J22,A297=Управление!I23,Управление!J23,A297=Управление!I24,Управление!J24)</f>
        <v>0</v>
      </c>
      <c r="E297" s="378" t="n">
        <f aca="false">D297*C297</f>
        <v>0</v>
      </c>
      <c r="K297" s="133"/>
    </row>
    <row r="298" customFormat="false" ht="17.35" hidden="false" customHeight="false" outlineLevel="0" collapsed="false">
      <c r="A298" s="275" t="s">
        <v>261</v>
      </c>
      <c r="B298" s="276" t="s">
        <v>82</v>
      </c>
      <c r="C298" s="277" t="n">
        <f aca="false">IF(Квартирная!B19="Forta",12,0)</f>
        <v>0</v>
      </c>
      <c r="D298" s="277" t="n">
        <f aca="false">Управление!B85</f>
        <v>1.93</v>
      </c>
      <c r="E298" s="375" t="n">
        <f aca="false">D298*C298</f>
        <v>0</v>
      </c>
      <c r="K298" s="133"/>
    </row>
    <row r="299" customFormat="false" ht="17.35" hidden="false" customHeight="false" outlineLevel="0" collapsed="false">
      <c r="A299" s="275" t="s">
        <v>262</v>
      </c>
      <c r="B299" s="276" t="s">
        <v>82</v>
      </c>
      <c r="C299" s="277" t="n">
        <f aca="false">IF(Квартирная!B19="Forta",12,0)</f>
        <v>0</v>
      </c>
      <c r="D299" s="277" t="n">
        <f aca="false">Управление!B83</f>
        <v>0.59</v>
      </c>
      <c r="E299" s="375" t="n">
        <f aca="false">D299*C299</f>
        <v>0</v>
      </c>
      <c r="K299" s="133"/>
    </row>
    <row r="300" customFormat="false" ht="17.35" hidden="false" customHeight="false" outlineLevel="0" collapsed="false">
      <c r="A300" s="278" t="s">
        <v>263</v>
      </c>
      <c r="B300" s="279" t="s">
        <v>82</v>
      </c>
      <c r="C300" s="263" t="n">
        <f aca="false">IF(Квартирная!B19="Forta",12,0)</f>
        <v>0</v>
      </c>
      <c r="D300" s="262" t="n">
        <f aca="false">Управление!B84</f>
        <v>1.61</v>
      </c>
      <c r="E300" s="376" t="n">
        <f aca="false">D300*C300</f>
        <v>0</v>
      </c>
      <c r="F300" s="69" t="str">
        <f aca="false">IF(Квартирная!B10&lt;=2110,"Стандарт","Нестандарт")</f>
        <v>Стандарт</v>
      </c>
      <c r="K300" s="133"/>
    </row>
    <row r="301" customFormat="false" ht="18.55" hidden="false" customHeight="false" outlineLevel="0" collapsed="false">
      <c r="A301" s="265" t="s">
        <v>264</v>
      </c>
      <c r="B301" s="266"/>
      <c r="C301" s="267"/>
      <c r="D301" s="267"/>
      <c r="E301" s="268"/>
      <c r="F301" s="69" t="str">
        <f aca="false">IF(Квартирная!B11&lt;=1010,"Стандарт","Нестандарт")</f>
        <v>Стандарт</v>
      </c>
      <c r="K301" s="133"/>
    </row>
    <row r="302" customFormat="false" ht="17.35" hidden="false" customHeight="false" outlineLevel="0" collapsed="false">
      <c r="A302" s="250" t="s">
        <v>265</v>
      </c>
      <c r="B302" s="251"/>
      <c r="C302" s="374" t="n">
        <f aca="false">IF(Квартирная!B19="Stark",6.04,0)</f>
        <v>0</v>
      </c>
      <c r="D302" s="280" t="n">
        <f aca="false">Управление!G3</f>
        <v>84</v>
      </c>
      <c r="E302" s="299" t="n">
        <f aca="false">C302*D302</f>
        <v>0</v>
      </c>
      <c r="F302" s="286" t="str">
        <f aca="false">IF(AND(F11="Стандарт",F12="Стандарт"),"Стандарт","Нестандарт")</f>
        <v>Стандарт</v>
      </c>
      <c r="K302" s="133"/>
    </row>
    <row r="303" customFormat="false" ht="17.35" hidden="false" customHeight="false" outlineLevel="0" collapsed="false">
      <c r="A303" s="255" t="str">
        <f aca="false">Квартирная!C29</f>
        <v>Нет</v>
      </c>
      <c r="B303" s="256"/>
      <c r="C303" s="257" t="n">
        <v>0.3</v>
      </c>
      <c r="D303" s="277" t="n">
        <f aca="false">ifs(A303="Нет",0,A303=Управление!I4,Управление!J4,A303=Управление!I5,Управление!J5,A303=Управление!I6,Управление!J6,A303=Управление!I7,Управление!J7,A303=Управление!I8,Управление!J8,A303=Управление!I9,Управление!J9,A303=Управление!I10,Управление!J10,A303=Управление!I11,Управление!J11,A303=Управление!I12,Управление!J12,A303=Управление!I13,Управление!J13,A303=Управление!I14,Управление!J14,A303=Управление!I15,Управление!J15,A303=Управление!I16,Управление!J16,A303=Управление!I17,Управление!J17,A303=Управление!I18,Управление!J18,A303=Управление!I19,Управление!J19,A303=Управление!I20,Управление!J20,A303=Управление!I21,Управление!J21,A303=Управление!I22,Управление!J22,A303=Управление!I23,Управление!J23,A303=Управление!I24,Управление!J24)</f>
        <v>0</v>
      </c>
      <c r="E303" s="375" t="n">
        <f aca="false">C303*D303</f>
        <v>0</v>
      </c>
      <c r="F303" s="379" t="str">
        <f aca="false">IF(OR(Квартирная!B19='Наружная отделка'!B3,Квартирная!B19='Наружная отделка'!C3,Квартирная!B19='Наружная отделка'!D3,Квартирная!B19='Наружная отделка'!E3),"Металл","МДФ")</f>
        <v>МДФ</v>
      </c>
      <c r="K303" s="133"/>
    </row>
    <row r="304" customFormat="false" ht="17.35" hidden="false" customHeight="false" outlineLevel="0" collapsed="false">
      <c r="A304" s="260" t="s">
        <v>257</v>
      </c>
      <c r="B304" s="281"/>
      <c r="C304" s="282" t="n">
        <f aca="false">IF(Квартирная!B19="Stark",38,0)</f>
        <v>0</v>
      </c>
      <c r="D304" s="283" t="n">
        <f aca="false">Управление!B87</f>
        <v>2.52</v>
      </c>
      <c r="E304" s="380" t="n">
        <f aca="false">C304*D304</f>
        <v>0</v>
      </c>
      <c r="K304" s="133"/>
    </row>
    <row r="305" customFormat="false" ht="17.35" hidden="false" customHeight="false" outlineLevel="0" collapsed="false">
      <c r="A305" s="285" t="s">
        <v>266</v>
      </c>
      <c r="B305" s="220"/>
      <c r="C305" s="221"/>
      <c r="D305" s="220"/>
      <c r="E305" s="222"/>
      <c r="K305" s="133"/>
    </row>
    <row r="306" customFormat="false" ht="17.35" hidden="false" customHeight="false" outlineLevel="0" collapsed="false">
      <c r="A306" s="287" t="s">
        <v>267</v>
      </c>
      <c r="B306" s="103" t="s">
        <v>82</v>
      </c>
      <c r="C306" s="113" t="n">
        <f aca="false">IF(Квартирная!B14="Absolut",1,0)</f>
        <v>1</v>
      </c>
      <c r="D306" s="103" t="n">
        <f aca="false">IF(F303="Металл",Управление!J144,Управление!J145)</f>
        <v>2435</v>
      </c>
      <c r="E306" s="381" t="n">
        <f aca="false">D306*C306</f>
        <v>2435</v>
      </c>
      <c r="K306" s="133"/>
    </row>
    <row r="307" customFormat="false" ht="17.35" hidden="false" customHeight="false" outlineLevel="0" collapsed="false">
      <c r="A307" s="287" t="s">
        <v>268</v>
      </c>
      <c r="B307" s="103" t="s">
        <v>82</v>
      </c>
      <c r="C307" s="113" t="n">
        <f aca="false">IF(AND(Квартирная!B14="Absolut",Квартирная!A29="Цинкогрунтование"),1,0)</f>
        <v>1</v>
      </c>
      <c r="D307" s="103" t="n">
        <f aca="false">Управление!J146+Управление!J157</f>
        <v>730</v>
      </c>
      <c r="E307" s="381" t="n">
        <f aca="false">D307*C307</f>
        <v>730</v>
      </c>
      <c r="K307" s="133"/>
    </row>
    <row r="308" customFormat="false" ht="17.35" hidden="false" customHeight="false" outlineLevel="0" collapsed="false">
      <c r="A308" s="288" t="s">
        <v>269</v>
      </c>
      <c r="B308" s="289" t="s">
        <v>82</v>
      </c>
      <c r="C308" s="290" t="n">
        <f aca="false">IF(AND(Квартирная!B14="Absolut",Квартирная!B54="Порог шлифованный. Цвет: Хром"),1,0)</f>
        <v>0</v>
      </c>
      <c r="D308" s="289" t="n">
        <f aca="false">Управление!J147+Управление!J154</f>
        <v>614</v>
      </c>
      <c r="E308" s="382" t="n">
        <f aca="false">D308*C308</f>
        <v>0</v>
      </c>
      <c r="K308" s="133"/>
    </row>
    <row r="309" customFormat="false" ht="17.35" hidden="false" customHeight="false" outlineLevel="0" collapsed="false">
      <c r="A309" s="287" t="s">
        <v>38</v>
      </c>
      <c r="B309" s="103" t="s">
        <v>82</v>
      </c>
      <c r="C309" s="113" t="n">
        <f aca="false">IF(AND(Квартирная!B14="Absolut",Квартирная!B15="Закрытый [Утеплённый]"),1,0)</f>
        <v>0</v>
      </c>
      <c r="D309" s="103" t="n">
        <f aca="false">Управление!J149+Управление!J155</f>
        <v>141</v>
      </c>
      <c r="E309" s="382" t="n">
        <f aca="false">D309*C309</f>
        <v>0</v>
      </c>
      <c r="K309" s="133"/>
    </row>
    <row r="310" customFormat="false" ht="17.35" hidden="false" customHeight="false" outlineLevel="0" collapsed="false">
      <c r="A310" s="287" t="s">
        <v>255</v>
      </c>
      <c r="B310" s="103" t="s">
        <v>82</v>
      </c>
      <c r="C310" s="113" t="n">
        <f aca="false">IF(AND(Квартирная!B14="Absolut",Квартирная!B19="Verso"),1,0)</f>
        <v>0</v>
      </c>
      <c r="D310" s="103" t="n">
        <f aca="false">Управление!J150</f>
        <v>505</v>
      </c>
      <c r="E310" s="382" t="n">
        <f aca="false">D310*C310</f>
        <v>0</v>
      </c>
      <c r="K310" s="133"/>
    </row>
    <row r="311" customFormat="false" ht="17.35" hidden="false" customHeight="false" outlineLevel="0" collapsed="false">
      <c r="A311" s="287" t="s">
        <v>258</v>
      </c>
      <c r="B311" s="103" t="s">
        <v>82</v>
      </c>
      <c r="C311" s="113" t="n">
        <f aca="false">IF(AND(Квартирная!B14="Absolut",Квартирная!B19="Forta"),1,0)</f>
        <v>0</v>
      </c>
      <c r="D311" s="103" t="n">
        <f aca="false">Управление!J151</f>
        <v>289</v>
      </c>
      <c r="E311" s="382" t="n">
        <f aca="false">D311*C311</f>
        <v>0</v>
      </c>
      <c r="K311" s="133"/>
    </row>
    <row r="312" customFormat="false" ht="17.35" hidden="false" customHeight="false" outlineLevel="0" collapsed="false">
      <c r="A312" s="287" t="s">
        <v>264</v>
      </c>
      <c r="B312" s="103" t="s">
        <v>82</v>
      </c>
      <c r="C312" s="113" t="n">
        <f aca="false">IF(AND(Квартирная!B14="Absolut",Квартирная!B19="Stark"),1,0)</f>
        <v>0</v>
      </c>
      <c r="D312" s="103" t="n">
        <f aca="false">Управление!J152</f>
        <v>400</v>
      </c>
      <c r="E312" s="382" t="n">
        <f aca="false">D312*C312</f>
        <v>0</v>
      </c>
      <c r="K312" s="133"/>
    </row>
    <row r="313" customFormat="false" ht="17.35" hidden="false" customHeight="false" outlineLevel="0" collapsed="false">
      <c r="A313" s="287"/>
      <c r="B313" s="103"/>
      <c r="C313" s="113"/>
      <c r="D313" s="103" t="s">
        <v>270</v>
      </c>
      <c r="E313" s="381" t="n">
        <f aca="false">SUM(E306:E312)</f>
        <v>3165</v>
      </c>
      <c r="K313" s="133"/>
    </row>
    <row r="314" customFormat="false" ht="17.35" hidden="false" customHeight="false" outlineLevel="0" collapsed="false">
      <c r="A314" s="292"/>
      <c r="B314" s="293"/>
      <c r="C314" s="294"/>
      <c r="D314" s="293" t="s">
        <v>271</v>
      </c>
      <c r="E314" s="383" t="n">
        <f aca="false">IF(F302="Стандарт",E313,E313*1.05)</f>
        <v>3165</v>
      </c>
      <c r="K314" s="133"/>
    </row>
    <row r="315" customFormat="false" ht="17.35" hidden="false" customHeight="false" outlineLevel="0" collapsed="false">
      <c r="A315" s="285" t="s">
        <v>272</v>
      </c>
      <c r="B315" s="220"/>
      <c r="C315" s="221"/>
      <c r="D315" s="220"/>
      <c r="E315" s="222"/>
      <c r="K315" s="133"/>
    </row>
    <row r="316" customFormat="false" ht="17.35" hidden="false" customHeight="false" outlineLevel="0" collapsed="false">
      <c r="A316" s="292" t="s">
        <v>58</v>
      </c>
      <c r="B316" s="293" t="s">
        <v>29</v>
      </c>
      <c r="C316" s="294" t="n">
        <v>1.6318</v>
      </c>
      <c r="D316" s="293" t="n">
        <f aca="false">Управление!G82</f>
        <v>187</v>
      </c>
      <c r="E316" s="383" t="n">
        <f aca="false">D316*C316</f>
        <v>305.1466</v>
      </c>
      <c r="K316" s="133"/>
    </row>
    <row r="317" customFormat="false" ht="17.35" hidden="false" customHeight="false" outlineLevel="0" collapsed="false">
      <c r="A317" s="285" t="s">
        <v>273</v>
      </c>
      <c r="B317" s="269"/>
      <c r="C317" s="298"/>
      <c r="D317" s="298"/>
      <c r="E317" s="299"/>
      <c r="K317" s="133"/>
    </row>
    <row r="318" customFormat="false" ht="17.35" hidden="false" customHeight="false" outlineLevel="0" collapsed="false">
      <c r="A318" s="300" t="s">
        <v>274</v>
      </c>
      <c r="B318" s="271" t="s">
        <v>82</v>
      </c>
      <c r="C318" s="257" t="n">
        <v>1</v>
      </c>
      <c r="D318" s="257" t="n">
        <f aca="false">IF(Квартирная!B32=Управление!I159,Управление!J159,0)</f>
        <v>0</v>
      </c>
      <c r="E318" s="258" t="n">
        <f aca="false">D318*C318</f>
        <v>0</v>
      </c>
      <c r="K318" s="133"/>
    </row>
    <row r="319" customFormat="false" ht="17.35" hidden="false" customHeight="false" outlineLevel="0" collapsed="false">
      <c r="A319" s="300" t="s">
        <v>275</v>
      </c>
      <c r="B319" s="271" t="s">
        <v>82</v>
      </c>
      <c r="C319" s="257" t="n">
        <v>1</v>
      </c>
      <c r="D319" s="257" t="n">
        <f aca="false">IF(Квартирная!B32=Управление!I160,Управление!J160,0)</f>
        <v>0</v>
      </c>
      <c r="E319" s="258" t="n">
        <f aca="false">D319*C319</f>
        <v>0</v>
      </c>
      <c r="K319" s="133"/>
    </row>
    <row r="320" customFormat="false" ht="17.35" hidden="false" customHeight="false" outlineLevel="0" collapsed="false">
      <c r="A320" s="300" t="s">
        <v>276</v>
      </c>
      <c r="B320" s="271" t="s">
        <v>82</v>
      </c>
      <c r="C320" s="257" t="n">
        <v>1</v>
      </c>
      <c r="D320" s="257" t="n">
        <f aca="false">IF(Квартирная!B32=Управление!I161,Управление!J161,0)</f>
        <v>0</v>
      </c>
      <c r="E320" s="258" t="n">
        <f aca="false">C320*D320</f>
        <v>0</v>
      </c>
      <c r="K320" s="133"/>
    </row>
    <row r="321" customFormat="false" ht="17.35" hidden="false" customHeight="false" outlineLevel="0" collapsed="false">
      <c r="A321" s="301" t="s">
        <v>277</v>
      </c>
      <c r="B321" s="302" t="s">
        <v>82</v>
      </c>
      <c r="C321" s="262" t="n">
        <v>1</v>
      </c>
      <c r="D321" s="262" t="n">
        <f aca="false">IF(Квартирная!B32=Управление!I163,Управление!J163,0)</f>
        <v>0</v>
      </c>
      <c r="E321" s="264" t="n">
        <f aca="false">D321*C321</f>
        <v>0</v>
      </c>
      <c r="K321" s="133"/>
    </row>
    <row r="322" customFormat="false" ht="17.35" hidden="false" customHeight="false" outlineLevel="0" collapsed="false">
      <c r="A322" s="285" t="s">
        <v>278</v>
      </c>
      <c r="B322" s="269"/>
      <c r="C322" s="298"/>
      <c r="D322" s="298"/>
      <c r="E322" s="299"/>
      <c r="K322" s="133"/>
    </row>
    <row r="323" customFormat="false" ht="17.35" hidden="false" customHeight="false" outlineLevel="0" collapsed="false">
      <c r="A323" s="300" t="s">
        <v>306</v>
      </c>
      <c r="B323" s="271" t="s">
        <v>82</v>
      </c>
      <c r="C323" s="257" t="n">
        <f aca="false">IF(D323&gt;0,1,0)</f>
        <v>0</v>
      </c>
      <c r="D323" s="257" t="n">
        <f aca="false">IF(OR(Квартирная!B32="Гардиан 32.21",Квартирная!B32=A319,Квартирная!B32=A320,Квартирная!B32=A321),Управление!J162,0)</f>
        <v>0</v>
      </c>
      <c r="E323" s="258" t="n">
        <f aca="false">D323*C323</f>
        <v>0</v>
      </c>
      <c r="K323" s="133"/>
    </row>
    <row r="324" customFormat="false" ht="17.35" hidden="false" customHeight="false" outlineLevel="0" collapsed="false">
      <c r="A324" s="300" t="s">
        <v>280</v>
      </c>
      <c r="B324" s="271" t="s">
        <v>82</v>
      </c>
      <c r="C324" s="257" t="n">
        <f aca="false">IF(D324&gt;0,1,0)</f>
        <v>0</v>
      </c>
      <c r="D324" s="257" t="n">
        <f aca="false">IF(AND(Квартирная!B43="Бугельная", OR(Квартирная!C43="Стандартный размер", Квартирная!C43="1600мм х 60мм")), Управление!J164, 0)</f>
        <v>0</v>
      </c>
      <c r="E324" s="258" t="n">
        <f aca="false">D324*C324</f>
        <v>0</v>
      </c>
      <c r="K324" s="133"/>
    </row>
    <row r="325" customFormat="false" ht="17.35" hidden="false" customHeight="false" outlineLevel="0" collapsed="false">
      <c r="A325" s="301" t="s">
        <v>281</v>
      </c>
      <c r="B325" s="302" t="s">
        <v>82</v>
      </c>
      <c r="C325" s="257" t="n">
        <f aca="false">IF(D325&gt;0,1,0)</f>
        <v>0</v>
      </c>
      <c r="D325" s="262" t="n">
        <f aca="false">IF(AND(Квартирная!B43="Бугельная",Квартирная!C43="1800мм х 60мм"),Управление!J165,0)</f>
        <v>0</v>
      </c>
      <c r="E325" s="264" t="n">
        <f aca="false">D325*C325</f>
        <v>0</v>
      </c>
      <c r="K325" s="133"/>
    </row>
    <row r="326" customFormat="false" ht="17.35" hidden="false" customHeight="false" outlineLevel="0" collapsed="false">
      <c r="A326" s="285" t="s">
        <v>282</v>
      </c>
      <c r="B326" s="269"/>
      <c r="C326" s="298"/>
      <c r="D326" s="298"/>
      <c r="E326" s="299"/>
      <c r="K326" s="133"/>
    </row>
    <row r="327" customFormat="false" ht="17.35" hidden="false" customHeight="false" outlineLevel="0" collapsed="false">
      <c r="A327" s="300" t="s">
        <v>283</v>
      </c>
      <c r="B327" s="103" t="s">
        <v>82</v>
      </c>
      <c r="C327" s="113" t="n">
        <f aca="false">IF(AND(OR(Квартирная!A32="Специальный",Квартирная!A32="Цилиндровый"),Квартирная!B41="Золото"),1,0)</f>
        <v>0</v>
      </c>
      <c r="D327" s="113" t="n">
        <f aca="false">Управление!J167</f>
        <v>100</v>
      </c>
      <c r="E327" s="307" t="n">
        <f aca="false">D327*C327</f>
        <v>0</v>
      </c>
      <c r="K327" s="133"/>
    </row>
    <row r="328" customFormat="false" ht="17.35" hidden="false" customHeight="false" outlineLevel="0" collapsed="false">
      <c r="A328" s="300" t="s">
        <v>284</v>
      </c>
      <c r="B328" s="103" t="s">
        <v>82</v>
      </c>
      <c r="C328" s="113" t="n">
        <f aca="false">IF(AND(OR(Квартирная!A32="Специальный",Квартирная!A32="Цилиндровый"),Квартирная!B41="Чёрная"),1,0)</f>
        <v>0</v>
      </c>
      <c r="D328" s="113" t="n">
        <f aca="false">Управление!J168</f>
        <v>57</v>
      </c>
      <c r="E328" s="307" t="n">
        <f aca="false">D328*C328</f>
        <v>0</v>
      </c>
      <c r="K328" s="133"/>
    </row>
    <row r="329" customFormat="false" ht="17.35" hidden="false" customHeight="false" outlineLevel="0" collapsed="false">
      <c r="A329" s="300" t="s">
        <v>285</v>
      </c>
      <c r="B329" s="103" t="s">
        <v>82</v>
      </c>
      <c r="C329" s="113" t="n">
        <f aca="false">IF(AND(OR(Квартирная!A32="Специальный",Квартирная!A32="Цилиндровый"),Квартирная!B41="Хром",Квартирная!C41="Квадратное"),1,0)</f>
        <v>1</v>
      </c>
      <c r="D329" s="113" t="n">
        <f aca="false">Управление!J169</f>
        <v>60</v>
      </c>
      <c r="E329" s="307" t="n">
        <f aca="false">D329*C329</f>
        <v>60</v>
      </c>
      <c r="K329" s="133"/>
    </row>
    <row r="330" customFormat="false" ht="17.35" hidden="false" customHeight="false" outlineLevel="0" collapsed="false">
      <c r="A330" s="300" t="s">
        <v>286</v>
      </c>
      <c r="B330" s="103" t="s">
        <v>82</v>
      </c>
      <c r="C330" s="113" t="n">
        <f aca="false">IF(AND(OR(Квартирная!A32="Специальный",Квартирная!A32="Цилиндровый"),Квартирная!B41="Бронза"),1,0)</f>
        <v>0</v>
      </c>
      <c r="D330" s="113" t="n">
        <f aca="false">Управление!J170</f>
        <v>100</v>
      </c>
      <c r="E330" s="307" t="n">
        <f aca="false">D330*C330</f>
        <v>0</v>
      </c>
      <c r="K330" s="133"/>
    </row>
    <row r="331" customFormat="false" ht="17.35" hidden="false" customHeight="false" outlineLevel="0" collapsed="false">
      <c r="A331" s="260" t="s">
        <v>287</v>
      </c>
      <c r="B331" s="308" t="s">
        <v>82</v>
      </c>
      <c r="C331" s="294" t="n">
        <f aca="false">IF(AND(OR(Квартирная!A32="Специальный",Квартирная!A32="Цилиндровый"),Квартирная!B41="Хром",Квартирная!C41="Овальное"),1,0)</f>
        <v>0</v>
      </c>
      <c r="D331" s="293" t="n">
        <f aca="false">Управление!J171</f>
        <v>74</v>
      </c>
      <c r="E331" s="295" t="n">
        <f aca="false">D331*C331</f>
        <v>0</v>
      </c>
      <c r="K331" s="133"/>
    </row>
    <row r="332" customFormat="false" ht="17.35" hidden="false" customHeight="false" outlineLevel="0" collapsed="false">
      <c r="A332" s="285" t="s">
        <v>288</v>
      </c>
      <c r="B332" s="269"/>
      <c r="C332" s="298"/>
      <c r="D332" s="298"/>
      <c r="E332" s="299"/>
      <c r="K332" s="133"/>
    </row>
    <row r="333" customFormat="false" ht="17.35" hidden="false" customHeight="false" outlineLevel="0" collapsed="false">
      <c r="A333" s="300" t="s">
        <v>283</v>
      </c>
      <c r="B333" s="103" t="s">
        <v>82</v>
      </c>
      <c r="C333" s="113" t="n">
        <f aca="false">IF(AND(OR(Квартирная!A34="Специальный",Квартирная!A34="Цилиндровый"),Квартирная!B41="Золото"),1,0)</f>
        <v>0</v>
      </c>
      <c r="D333" s="113" t="n">
        <f aca="false">Управление!J167</f>
        <v>100</v>
      </c>
      <c r="E333" s="307" t="n">
        <f aca="false">D333*C333</f>
        <v>0</v>
      </c>
      <c r="K333" s="133"/>
    </row>
    <row r="334" customFormat="false" ht="17.35" hidden="false" customHeight="false" outlineLevel="0" collapsed="false">
      <c r="A334" s="300" t="s">
        <v>284</v>
      </c>
      <c r="B334" s="103" t="s">
        <v>82</v>
      </c>
      <c r="C334" s="113" t="n">
        <f aca="false">IF(AND(OR(Квартирная!A34="Специальный",Квартирная!A34="Цилиндровый"),Квартирная!B41="Чёрная"),1,0)</f>
        <v>0</v>
      </c>
      <c r="D334" s="113" t="n">
        <f aca="false">Управление!J168</f>
        <v>57</v>
      </c>
      <c r="E334" s="307" t="n">
        <f aca="false">D334*C334</f>
        <v>0</v>
      </c>
      <c r="K334" s="133"/>
    </row>
    <row r="335" customFormat="false" ht="17.35" hidden="false" customHeight="false" outlineLevel="0" collapsed="false">
      <c r="A335" s="300" t="s">
        <v>285</v>
      </c>
      <c r="B335" s="103" t="s">
        <v>82</v>
      </c>
      <c r="C335" s="113" t="n">
        <f aca="false">IF(AND(OR(Квартирная!A34="Специальный",Квартирная!A34="Цилиндровый"),Квартирная!B41="Хром",Квартирная!C41="Квадратное"),1,0)</f>
        <v>0</v>
      </c>
      <c r="D335" s="113" t="n">
        <f aca="false">Управление!J169</f>
        <v>60</v>
      </c>
      <c r="E335" s="307" t="n">
        <f aca="false">D335*C335</f>
        <v>0</v>
      </c>
      <c r="K335" s="133"/>
    </row>
    <row r="336" customFormat="false" ht="17.35" hidden="false" customHeight="false" outlineLevel="0" collapsed="false">
      <c r="A336" s="300" t="s">
        <v>286</v>
      </c>
      <c r="B336" s="103" t="s">
        <v>82</v>
      </c>
      <c r="C336" s="113" t="n">
        <f aca="false">IF(AND(OR(Квартирная!A34="Специальный",Квартирная!A34="Цилиндровый"),Квартирная!B41="Бронза"),1,0)</f>
        <v>0</v>
      </c>
      <c r="D336" s="113" t="n">
        <f aca="false">Управление!J170</f>
        <v>100</v>
      </c>
      <c r="E336" s="307" t="n">
        <f aca="false">D336*C336</f>
        <v>0</v>
      </c>
      <c r="K336" s="133"/>
    </row>
    <row r="337" customFormat="false" ht="17.35" hidden="false" customHeight="false" outlineLevel="0" collapsed="false">
      <c r="A337" s="260" t="s">
        <v>287</v>
      </c>
      <c r="B337" s="308" t="s">
        <v>82</v>
      </c>
      <c r="C337" s="294" t="n">
        <f aca="false">IF(AND(OR(Квартирная!A34="Специальный",Квартирная!A34="Цилиндровый"),Квартирная!B41="Хром",Квартирная!C41="Овальное"),1,0)</f>
        <v>0</v>
      </c>
      <c r="D337" s="293" t="n">
        <f aca="false">Управление!J171</f>
        <v>74</v>
      </c>
      <c r="E337" s="295" t="n">
        <f aca="false">D337*C337</f>
        <v>0</v>
      </c>
      <c r="K337" s="133"/>
    </row>
    <row r="338" customFormat="false" ht="15" hidden="false" customHeight="false" outlineLevel="0" collapsed="false">
      <c r="C338" s="310"/>
      <c r="D338" s="310"/>
      <c r="E338" s="310"/>
      <c r="K338" s="133"/>
    </row>
    <row r="339" customFormat="false" ht="15" hidden="false" customHeight="false" outlineLevel="0" collapsed="false">
      <c r="C339" s="310"/>
      <c r="D339" s="310"/>
      <c r="E339" s="310"/>
      <c r="K339" s="133"/>
    </row>
    <row r="340" customFormat="false" ht="15" hidden="false" customHeight="false" outlineLevel="0" collapsed="false">
      <c r="C340" s="310"/>
      <c r="D340" s="310"/>
      <c r="E340" s="310"/>
      <c r="K340" s="133"/>
    </row>
    <row r="341" customFormat="false" ht="15" hidden="false" customHeight="false" outlineLevel="0" collapsed="false">
      <c r="C341" s="310"/>
      <c r="D341" s="310"/>
      <c r="E341" s="310"/>
      <c r="K341" s="133"/>
    </row>
    <row r="342" customFormat="false" ht="15" hidden="false" customHeight="false" outlineLevel="0" collapsed="false">
      <c r="C342" s="310"/>
      <c r="D342" s="310"/>
      <c r="E342" s="310"/>
      <c r="K342" s="133"/>
    </row>
    <row r="343" customFormat="false" ht="15" hidden="false" customHeight="false" outlineLevel="0" collapsed="false">
      <c r="C343" s="310"/>
      <c r="D343" s="310"/>
      <c r="E343" s="310"/>
      <c r="K343" s="133"/>
    </row>
    <row r="344" customFormat="false" ht="15" hidden="false" customHeight="false" outlineLevel="0" collapsed="false">
      <c r="C344" s="310"/>
      <c r="D344" s="310"/>
      <c r="E344" s="310"/>
      <c r="K344" s="133"/>
    </row>
    <row r="345" customFormat="false" ht="15" hidden="false" customHeight="false" outlineLevel="0" collapsed="false">
      <c r="C345" s="310"/>
      <c r="D345" s="310"/>
      <c r="E345" s="310"/>
      <c r="K345" s="133"/>
    </row>
    <row r="346" customFormat="false" ht="15" hidden="false" customHeight="false" outlineLevel="0" collapsed="false">
      <c r="C346" s="310"/>
      <c r="D346" s="310"/>
      <c r="E346" s="310"/>
      <c r="K346" s="133"/>
    </row>
    <row r="347" customFormat="false" ht="15" hidden="false" customHeight="false" outlineLevel="0" collapsed="false">
      <c r="C347" s="310"/>
      <c r="D347" s="310"/>
      <c r="E347" s="310"/>
      <c r="K347" s="133"/>
    </row>
    <row r="348" customFormat="false" ht="15" hidden="false" customHeight="false" outlineLevel="0" collapsed="false">
      <c r="C348" s="310"/>
      <c r="D348" s="310"/>
      <c r="E348" s="310"/>
      <c r="K348" s="133"/>
    </row>
    <row r="349" customFormat="false" ht="15" hidden="false" customHeight="false" outlineLevel="0" collapsed="false">
      <c r="C349" s="310"/>
      <c r="D349" s="310"/>
      <c r="E349" s="310"/>
      <c r="K349" s="133"/>
    </row>
    <row r="350" customFormat="false" ht="15" hidden="false" customHeight="false" outlineLevel="0" collapsed="false">
      <c r="C350" s="310"/>
      <c r="D350" s="310"/>
      <c r="E350" s="310"/>
      <c r="K350" s="133"/>
    </row>
    <row r="351" customFormat="false" ht="15" hidden="false" customHeight="false" outlineLevel="0" collapsed="false">
      <c r="C351" s="310"/>
      <c r="D351" s="310"/>
      <c r="E351" s="310"/>
      <c r="K351" s="133"/>
    </row>
    <row r="352" customFormat="false" ht="15" hidden="false" customHeight="false" outlineLevel="0" collapsed="false">
      <c r="C352" s="310"/>
      <c r="D352" s="310"/>
      <c r="E352" s="310"/>
      <c r="K352" s="133"/>
    </row>
    <row r="353" customFormat="false" ht="15" hidden="false" customHeight="false" outlineLevel="0" collapsed="false">
      <c r="C353" s="310"/>
      <c r="D353" s="310"/>
      <c r="E353" s="310"/>
      <c r="K353" s="133"/>
    </row>
    <row r="354" customFormat="false" ht="15" hidden="false" customHeight="false" outlineLevel="0" collapsed="false">
      <c r="C354" s="310"/>
      <c r="D354" s="310"/>
      <c r="E354" s="310"/>
      <c r="K354" s="133"/>
    </row>
    <row r="355" customFormat="false" ht="15" hidden="false" customHeight="false" outlineLevel="0" collapsed="false">
      <c r="C355" s="310"/>
      <c r="D355" s="310"/>
      <c r="E355" s="310"/>
      <c r="K355" s="133"/>
    </row>
    <row r="356" customFormat="false" ht="15" hidden="false" customHeight="false" outlineLevel="0" collapsed="false">
      <c r="C356" s="310"/>
      <c r="D356" s="310"/>
      <c r="E356" s="310"/>
      <c r="K356" s="133"/>
    </row>
    <row r="357" customFormat="false" ht="15" hidden="false" customHeight="false" outlineLevel="0" collapsed="false">
      <c r="C357" s="310"/>
      <c r="D357" s="310"/>
      <c r="E357" s="310"/>
      <c r="K357" s="133"/>
    </row>
    <row r="358" customFormat="false" ht="15" hidden="false" customHeight="false" outlineLevel="0" collapsed="false">
      <c r="C358" s="310"/>
      <c r="D358" s="310"/>
      <c r="E358" s="310"/>
      <c r="K358" s="133"/>
    </row>
    <row r="359" customFormat="false" ht="15" hidden="false" customHeight="false" outlineLevel="0" collapsed="false">
      <c r="C359" s="310"/>
      <c r="D359" s="310"/>
      <c r="E359" s="310"/>
      <c r="K359" s="133"/>
    </row>
    <row r="360" customFormat="false" ht="15" hidden="false" customHeight="false" outlineLevel="0" collapsed="false">
      <c r="C360" s="310"/>
      <c r="D360" s="310"/>
      <c r="E360" s="310"/>
      <c r="K360" s="133"/>
    </row>
    <row r="361" customFormat="false" ht="15" hidden="false" customHeight="false" outlineLevel="0" collapsed="false">
      <c r="C361" s="310"/>
      <c r="D361" s="310"/>
      <c r="E361" s="310"/>
      <c r="K361" s="133"/>
    </row>
    <row r="362" customFormat="false" ht="15" hidden="false" customHeight="false" outlineLevel="0" collapsed="false">
      <c r="C362" s="310"/>
      <c r="D362" s="310"/>
      <c r="E362" s="310"/>
      <c r="K362" s="133"/>
    </row>
    <row r="363" customFormat="false" ht="15" hidden="false" customHeight="false" outlineLevel="0" collapsed="false">
      <c r="C363" s="310"/>
      <c r="D363" s="310"/>
      <c r="E363" s="310"/>
      <c r="K363" s="133"/>
    </row>
    <row r="364" customFormat="false" ht="15" hidden="false" customHeight="false" outlineLevel="0" collapsed="false">
      <c r="C364" s="310"/>
      <c r="D364" s="310"/>
      <c r="E364" s="310"/>
      <c r="K364" s="133"/>
    </row>
    <row r="365" customFormat="false" ht="15" hidden="false" customHeight="false" outlineLevel="0" collapsed="false">
      <c r="C365" s="310"/>
      <c r="D365" s="310"/>
      <c r="E365" s="310"/>
      <c r="K365" s="133"/>
    </row>
    <row r="366" customFormat="false" ht="15" hidden="false" customHeight="false" outlineLevel="0" collapsed="false">
      <c r="C366" s="310"/>
      <c r="D366" s="310"/>
      <c r="E366" s="310"/>
      <c r="K366" s="133"/>
    </row>
    <row r="367" customFormat="false" ht="15" hidden="false" customHeight="false" outlineLevel="0" collapsed="false">
      <c r="C367" s="310"/>
      <c r="D367" s="310"/>
      <c r="E367" s="310"/>
      <c r="K367" s="133"/>
    </row>
    <row r="368" customFormat="false" ht="15" hidden="false" customHeight="false" outlineLevel="0" collapsed="false">
      <c r="C368" s="310"/>
      <c r="D368" s="310"/>
      <c r="E368" s="310"/>
      <c r="K368" s="133"/>
    </row>
    <row r="369" customFormat="false" ht="15" hidden="false" customHeight="false" outlineLevel="0" collapsed="false">
      <c r="C369" s="310"/>
      <c r="D369" s="310"/>
      <c r="E369" s="310"/>
      <c r="K369" s="133"/>
    </row>
    <row r="370" customFormat="false" ht="15" hidden="false" customHeight="false" outlineLevel="0" collapsed="false">
      <c r="C370" s="310"/>
      <c r="D370" s="310"/>
      <c r="E370" s="310"/>
      <c r="K370" s="133"/>
    </row>
    <row r="371" customFormat="false" ht="15" hidden="false" customHeight="false" outlineLevel="0" collapsed="false">
      <c r="C371" s="310"/>
      <c r="D371" s="310"/>
      <c r="E371" s="310"/>
      <c r="K371" s="133"/>
    </row>
    <row r="372" customFormat="false" ht="15" hidden="false" customHeight="false" outlineLevel="0" collapsed="false">
      <c r="C372" s="310"/>
      <c r="D372" s="310"/>
      <c r="E372" s="310"/>
      <c r="K372" s="133"/>
    </row>
    <row r="373" customFormat="false" ht="15" hidden="false" customHeight="false" outlineLevel="0" collapsed="false">
      <c r="C373" s="310"/>
      <c r="D373" s="310"/>
      <c r="E373" s="310"/>
      <c r="K373" s="133"/>
    </row>
    <row r="374" customFormat="false" ht="15" hidden="false" customHeight="false" outlineLevel="0" collapsed="false">
      <c r="C374" s="310"/>
      <c r="D374" s="310"/>
      <c r="E374" s="310"/>
      <c r="K374" s="133"/>
    </row>
    <row r="375" customFormat="false" ht="15" hidden="false" customHeight="false" outlineLevel="0" collapsed="false">
      <c r="C375" s="310"/>
      <c r="D375" s="310"/>
      <c r="E375" s="310"/>
      <c r="K375" s="133"/>
    </row>
    <row r="376" customFormat="false" ht="15" hidden="false" customHeight="false" outlineLevel="0" collapsed="false">
      <c r="C376" s="310"/>
      <c r="D376" s="310"/>
      <c r="E376" s="310"/>
      <c r="K376" s="133"/>
    </row>
    <row r="377" customFormat="false" ht="15" hidden="false" customHeight="false" outlineLevel="0" collapsed="false">
      <c r="C377" s="310"/>
      <c r="D377" s="310"/>
      <c r="E377" s="310"/>
      <c r="K377" s="133"/>
    </row>
    <row r="378" customFormat="false" ht="15" hidden="false" customHeight="false" outlineLevel="0" collapsed="false">
      <c r="C378" s="310"/>
      <c r="D378" s="310"/>
      <c r="E378" s="310"/>
      <c r="K378" s="133"/>
    </row>
    <row r="379" customFormat="false" ht="15" hidden="false" customHeight="false" outlineLevel="0" collapsed="false">
      <c r="C379" s="310"/>
      <c r="D379" s="310"/>
      <c r="E379" s="310"/>
      <c r="K379" s="133"/>
    </row>
    <row r="380" customFormat="false" ht="15" hidden="false" customHeight="false" outlineLevel="0" collapsed="false">
      <c r="C380" s="310"/>
      <c r="D380" s="310"/>
      <c r="E380" s="310"/>
      <c r="K380" s="133"/>
    </row>
    <row r="381" customFormat="false" ht="15" hidden="false" customHeight="false" outlineLevel="0" collapsed="false">
      <c r="C381" s="310"/>
      <c r="D381" s="310"/>
      <c r="E381" s="310"/>
      <c r="K381" s="133"/>
    </row>
    <row r="382" customFormat="false" ht="15" hidden="false" customHeight="false" outlineLevel="0" collapsed="false">
      <c r="C382" s="310"/>
      <c r="D382" s="310"/>
      <c r="E382" s="310"/>
      <c r="K382" s="133"/>
    </row>
    <row r="383" customFormat="false" ht="15" hidden="false" customHeight="false" outlineLevel="0" collapsed="false">
      <c r="C383" s="310"/>
      <c r="D383" s="310"/>
      <c r="E383" s="310"/>
      <c r="K383" s="133"/>
    </row>
    <row r="384" customFormat="false" ht="15" hidden="false" customHeight="false" outlineLevel="0" collapsed="false">
      <c r="C384" s="310"/>
      <c r="D384" s="310"/>
      <c r="E384" s="310"/>
      <c r="K384" s="133"/>
    </row>
    <row r="385" customFormat="false" ht="15" hidden="false" customHeight="false" outlineLevel="0" collapsed="false">
      <c r="C385" s="310"/>
      <c r="D385" s="310"/>
      <c r="E385" s="310"/>
      <c r="K385" s="133"/>
    </row>
    <row r="386" customFormat="false" ht="15" hidden="false" customHeight="false" outlineLevel="0" collapsed="false">
      <c r="C386" s="310"/>
      <c r="D386" s="310"/>
      <c r="E386" s="310"/>
      <c r="K386" s="133"/>
    </row>
    <row r="387" customFormat="false" ht="15" hidden="false" customHeight="false" outlineLevel="0" collapsed="false">
      <c r="C387" s="310"/>
      <c r="D387" s="310"/>
      <c r="E387" s="310"/>
      <c r="K387" s="133"/>
    </row>
    <row r="388" customFormat="false" ht="15" hidden="false" customHeight="false" outlineLevel="0" collapsed="false">
      <c r="C388" s="310"/>
      <c r="D388" s="310"/>
      <c r="E388" s="310"/>
      <c r="K388" s="133"/>
    </row>
    <row r="389" customFormat="false" ht="15" hidden="false" customHeight="false" outlineLevel="0" collapsed="false">
      <c r="C389" s="310"/>
      <c r="D389" s="310"/>
      <c r="E389" s="310"/>
      <c r="K389" s="133"/>
    </row>
    <row r="390" customFormat="false" ht="15" hidden="false" customHeight="false" outlineLevel="0" collapsed="false">
      <c r="C390" s="310"/>
      <c r="D390" s="310"/>
      <c r="E390" s="310"/>
      <c r="K390" s="133"/>
    </row>
    <row r="391" customFormat="false" ht="15" hidden="false" customHeight="false" outlineLevel="0" collapsed="false">
      <c r="C391" s="310"/>
      <c r="D391" s="310"/>
      <c r="E391" s="310"/>
      <c r="K391" s="133"/>
    </row>
    <row r="392" customFormat="false" ht="15" hidden="false" customHeight="false" outlineLevel="0" collapsed="false">
      <c r="C392" s="310"/>
      <c r="D392" s="310"/>
      <c r="E392" s="310"/>
      <c r="K392" s="133"/>
    </row>
    <row r="393" customFormat="false" ht="15" hidden="false" customHeight="false" outlineLevel="0" collapsed="false">
      <c r="C393" s="310"/>
      <c r="D393" s="310"/>
      <c r="E393" s="310"/>
      <c r="K393" s="133"/>
    </row>
    <row r="394" customFormat="false" ht="15" hidden="false" customHeight="false" outlineLevel="0" collapsed="false">
      <c r="C394" s="310"/>
      <c r="D394" s="310"/>
      <c r="E394" s="310"/>
      <c r="K394" s="133"/>
    </row>
    <row r="395" customFormat="false" ht="15" hidden="false" customHeight="false" outlineLevel="0" collapsed="false">
      <c r="C395" s="310"/>
      <c r="D395" s="310"/>
      <c r="E395" s="310"/>
      <c r="K395" s="133"/>
    </row>
    <row r="396" customFormat="false" ht="15" hidden="false" customHeight="false" outlineLevel="0" collapsed="false">
      <c r="C396" s="310"/>
      <c r="D396" s="310"/>
      <c r="E396" s="310"/>
      <c r="K396" s="133"/>
    </row>
    <row r="397" customFormat="false" ht="15" hidden="false" customHeight="false" outlineLevel="0" collapsed="false">
      <c r="C397" s="310"/>
      <c r="D397" s="310"/>
      <c r="E397" s="310"/>
      <c r="K397" s="133"/>
    </row>
    <row r="398" customFormat="false" ht="15" hidden="false" customHeight="false" outlineLevel="0" collapsed="false">
      <c r="C398" s="310"/>
      <c r="D398" s="310"/>
      <c r="E398" s="310"/>
      <c r="K398" s="133"/>
    </row>
    <row r="399" customFormat="false" ht="15" hidden="false" customHeight="false" outlineLevel="0" collapsed="false">
      <c r="C399" s="310"/>
      <c r="D399" s="310"/>
      <c r="E399" s="310"/>
      <c r="K399" s="133"/>
    </row>
    <row r="400" customFormat="false" ht="15" hidden="false" customHeight="false" outlineLevel="0" collapsed="false">
      <c r="C400" s="310"/>
      <c r="D400" s="310"/>
      <c r="E400" s="310"/>
      <c r="K400" s="133"/>
    </row>
    <row r="401" customFormat="false" ht="15" hidden="false" customHeight="false" outlineLevel="0" collapsed="false">
      <c r="C401" s="310"/>
      <c r="D401" s="310"/>
      <c r="E401" s="310"/>
      <c r="K401" s="133"/>
    </row>
    <row r="402" customFormat="false" ht="15" hidden="false" customHeight="false" outlineLevel="0" collapsed="false">
      <c r="C402" s="310"/>
      <c r="D402" s="310"/>
      <c r="E402" s="310"/>
      <c r="K402" s="133"/>
    </row>
    <row r="403" customFormat="false" ht="15" hidden="false" customHeight="false" outlineLevel="0" collapsed="false">
      <c r="C403" s="310"/>
      <c r="D403" s="310"/>
      <c r="E403" s="310"/>
      <c r="K403" s="133"/>
    </row>
    <row r="404" customFormat="false" ht="15" hidden="false" customHeight="false" outlineLevel="0" collapsed="false">
      <c r="C404" s="310"/>
      <c r="D404" s="310"/>
      <c r="E404" s="310"/>
      <c r="K404" s="133"/>
    </row>
    <row r="405" customFormat="false" ht="15" hidden="false" customHeight="false" outlineLevel="0" collapsed="false">
      <c r="C405" s="310"/>
      <c r="D405" s="310"/>
      <c r="E405" s="310"/>
      <c r="K405" s="133"/>
    </row>
    <row r="406" customFormat="false" ht="15" hidden="false" customHeight="false" outlineLevel="0" collapsed="false">
      <c r="C406" s="310"/>
      <c r="D406" s="310"/>
      <c r="E406" s="310"/>
      <c r="K406" s="133"/>
    </row>
    <row r="407" customFormat="false" ht="15" hidden="false" customHeight="false" outlineLevel="0" collapsed="false">
      <c r="C407" s="310"/>
      <c r="D407" s="310"/>
      <c r="E407" s="310"/>
      <c r="K407" s="133"/>
    </row>
    <row r="408" customFormat="false" ht="15" hidden="false" customHeight="false" outlineLevel="0" collapsed="false">
      <c r="C408" s="310"/>
      <c r="D408" s="310"/>
      <c r="E408" s="310"/>
      <c r="K408" s="133"/>
    </row>
    <row r="409" customFormat="false" ht="15" hidden="false" customHeight="false" outlineLevel="0" collapsed="false">
      <c r="C409" s="310"/>
      <c r="D409" s="310"/>
      <c r="E409" s="310"/>
      <c r="K409" s="133"/>
    </row>
    <row r="410" customFormat="false" ht="15" hidden="false" customHeight="false" outlineLevel="0" collapsed="false">
      <c r="C410" s="310"/>
      <c r="D410" s="310"/>
      <c r="E410" s="310"/>
      <c r="K410" s="133"/>
    </row>
    <row r="411" customFormat="false" ht="15" hidden="false" customHeight="false" outlineLevel="0" collapsed="false">
      <c r="C411" s="310"/>
      <c r="D411" s="310"/>
      <c r="E411" s="310"/>
      <c r="K411" s="133"/>
    </row>
    <row r="412" customFormat="false" ht="15" hidden="false" customHeight="false" outlineLevel="0" collapsed="false">
      <c r="C412" s="310"/>
      <c r="D412" s="310"/>
      <c r="E412" s="310"/>
      <c r="K412" s="133"/>
    </row>
    <row r="413" customFormat="false" ht="15" hidden="false" customHeight="false" outlineLevel="0" collapsed="false">
      <c r="C413" s="310"/>
      <c r="D413" s="310"/>
      <c r="E413" s="310"/>
      <c r="K413" s="133"/>
    </row>
    <row r="414" customFormat="false" ht="15" hidden="false" customHeight="false" outlineLevel="0" collapsed="false">
      <c r="C414" s="310"/>
      <c r="D414" s="310"/>
      <c r="E414" s="310"/>
      <c r="K414" s="133"/>
    </row>
    <row r="415" customFormat="false" ht="15" hidden="false" customHeight="false" outlineLevel="0" collapsed="false">
      <c r="C415" s="310"/>
      <c r="D415" s="310"/>
      <c r="E415" s="310"/>
      <c r="K415" s="133"/>
    </row>
    <row r="416" customFormat="false" ht="15" hidden="false" customHeight="false" outlineLevel="0" collapsed="false">
      <c r="C416" s="310"/>
      <c r="D416" s="310"/>
      <c r="E416" s="310"/>
      <c r="K416" s="133"/>
    </row>
    <row r="417" customFormat="false" ht="15" hidden="false" customHeight="false" outlineLevel="0" collapsed="false">
      <c r="C417" s="310"/>
      <c r="D417" s="310"/>
      <c r="E417" s="310"/>
      <c r="K417" s="133"/>
    </row>
    <row r="418" customFormat="false" ht="15" hidden="false" customHeight="false" outlineLevel="0" collapsed="false">
      <c r="C418" s="310"/>
      <c r="D418" s="310"/>
      <c r="E418" s="310"/>
      <c r="K418" s="133"/>
    </row>
    <row r="419" customFormat="false" ht="15" hidden="false" customHeight="false" outlineLevel="0" collapsed="false">
      <c r="C419" s="310"/>
      <c r="D419" s="310"/>
      <c r="E419" s="310"/>
      <c r="K419" s="133"/>
    </row>
    <row r="420" customFormat="false" ht="15" hidden="false" customHeight="false" outlineLevel="0" collapsed="false">
      <c r="C420" s="310"/>
      <c r="D420" s="310"/>
      <c r="E420" s="310"/>
      <c r="K420" s="133"/>
    </row>
    <row r="421" customFormat="false" ht="15" hidden="false" customHeight="false" outlineLevel="0" collapsed="false">
      <c r="C421" s="310"/>
      <c r="D421" s="310"/>
      <c r="E421" s="310"/>
      <c r="K421" s="133"/>
    </row>
    <row r="422" customFormat="false" ht="15" hidden="false" customHeight="false" outlineLevel="0" collapsed="false">
      <c r="C422" s="310"/>
      <c r="D422" s="310"/>
      <c r="E422" s="310"/>
      <c r="K422" s="133"/>
    </row>
    <row r="423" customFormat="false" ht="15" hidden="false" customHeight="false" outlineLevel="0" collapsed="false">
      <c r="C423" s="310"/>
      <c r="D423" s="310"/>
      <c r="E423" s="310"/>
      <c r="K423" s="133"/>
    </row>
    <row r="424" customFormat="false" ht="15" hidden="false" customHeight="false" outlineLevel="0" collapsed="false">
      <c r="C424" s="310"/>
      <c r="D424" s="310"/>
      <c r="E424" s="310"/>
      <c r="K424" s="133"/>
    </row>
    <row r="425" customFormat="false" ht="15" hidden="false" customHeight="false" outlineLevel="0" collapsed="false">
      <c r="C425" s="310"/>
      <c r="D425" s="310"/>
      <c r="E425" s="310"/>
      <c r="K425" s="133"/>
    </row>
    <row r="426" customFormat="false" ht="15" hidden="false" customHeight="false" outlineLevel="0" collapsed="false">
      <c r="C426" s="310"/>
      <c r="D426" s="310"/>
      <c r="E426" s="310"/>
      <c r="K426" s="133"/>
    </row>
    <row r="427" customFormat="false" ht="15" hidden="false" customHeight="false" outlineLevel="0" collapsed="false">
      <c r="C427" s="310"/>
      <c r="D427" s="310"/>
      <c r="E427" s="310"/>
      <c r="K427" s="133"/>
    </row>
    <row r="428" customFormat="false" ht="15" hidden="false" customHeight="false" outlineLevel="0" collapsed="false">
      <c r="C428" s="310"/>
      <c r="D428" s="310"/>
      <c r="E428" s="310"/>
      <c r="K428" s="133"/>
    </row>
    <row r="429" customFormat="false" ht="15" hidden="false" customHeight="false" outlineLevel="0" collapsed="false">
      <c r="C429" s="310"/>
      <c r="D429" s="310"/>
      <c r="E429" s="310"/>
      <c r="K429" s="133"/>
    </row>
    <row r="430" customFormat="false" ht="15" hidden="false" customHeight="false" outlineLevel="0" collapsed="false">
      <c r="C430" s="310"/>
      <c r="D430" s="310"/>
      <c r="E430" s="310"/>
      <c r="K430" s="133"/>
    </row>
    <row r="431" customFormat="false" ht="15" hidden="false" customHeight="false" outlineLevel="0" collapsed="false">
      <c r="C431" s="310"/>
      <c r="D431" s="310"/>
      <c r="E431" s="310"/>
      <c r="K431" s="133"/>
    </row>
    <row r="432" customFormat="false" ht="15" hidden="false" customHeight="false" outlineLevel="0" collapsed="false">
      <c r="C432" s="310"/>
      <c r="D432" s="310"/>
      <c r="E432" s="310"/>
      <c r="K432" s="133"/>
    </row>
    <row r="433" customFormat="false" ht="15" hidden="false" customHeight="false" outlineLevel="0" collapsed="false">
      <c r="C433" s="310"/>
      <c r="D433" s="310"/>
      <c r="E433" s="310"/>
      <c r="K433" s="133"/>
    </row>
    <row r="434" customFormat="false" ht="15" hidden="false" customHeight="false" outlineLevel="0" collapsed="false">
      <c r="C434" s="310"/>
      <c r="D434" s="310"/>
      <c r="E434" s="310"/>
      <c r="K434" s="133"/>
    </row>
    <row r="435" customFormat="false" ht="15" hidden="false" customHeight="false" outlineLevel="0" collapsed="false">
      <c r="C435" s="310"/>
      <c r="D435" s="310"/>
      <c r="E435" s="310"/>
      <c r="K435" s="133"/>
    </row>
    <row r="436" customFormat="false" ht="15" hidden="false" customHeight="false" outlineLevel="0" collapsed="false">
      <c r="C436" s="310"/>
      <c r="D436" s="310"/>
      <c r="E436" s="310"/>
      <c r="K436" s="133"/>
    </row>
    <row r="437" customFormat="false" ht="15" hidden="false" customHeight="false" outlineLevel="0" collapsed="false">
      <c r="C437" s="310"/>
      <c r="D437" s="310"/>
      <c r="E437" s="310"/>
      <c r="K437" s="133"/>
    </row>
    <row r="438" customFormat="false" ht="15" hidden="false" customHeight="false" outlineLevel="0" collapsed="false">
      <c r="C438" s="310"/>
      <c r="D438" s="310"/>
      <c r="E438" s="310"/>
      <c r="K438" s="133"/>
    </row>
    <row r="439" customFormat="false" ht="15" hidden="false" customHeight="false" outlineLevel="0" collapsed="false">
      <c r="C439" s="310"/>
      <c r="D439" s="310"/>
      <c r="E439" s="310"/>
      <c r="K439" s="133"/>
    </row>
    <row r="440" customFormat="false" ht="15" hidden="false" customHeight="false" outlineLevel="0" collapsed="false">
      <c r="C440" s="310"/>
      <c r="D440" s="310"/>
      <c r="E440" s="310"/>
      <c r="K440" s="133"/>
    </row>
    <row r="441" customFormat="false" ht="15" hidden="false" customHeight="false" outlineLevel="0" collapsed="false">
      <c r="C441" s="310"/>
      <c r="D441" s="310"/>
      <c r="E441" s="310"/>
      <c r="K441" s="133"/>
    </row>
    <row r="442" customFormat="false" ht="15" hidden="false" customHeight="false" outlineLevel="0" collapsed="false">
      <c r="C442" s="310"/>
      <c r="D442" s="310"/>
      <c r="E442" s="310"/>
      <c r="K442" s="133"/>
    </row>
    <row r="443" customFormat="false" ht="15" hidden="false" customHeight="false" outlineLevel="0" collapsed="false">
      <c r="C443" s="310"/>
      <c r="D443" s="310"/>
      <c r="E443" s="310"/>
      <c r="K443" s="133"/>
    </row>
    <row r="444" customFormat="false" ht="15" hidden="false" customHeight="false" outlineLevel="0" collapsed="false">
      <c r="C444" s="310"/>
      <c r="D444" s="310"/>
      <c r="E444" s="310"/>
      <c r="K444" s="133"/>
    </row>
    <row r="445" customFormat="false" ht="15" hidden="false" customHeight="false" outlineLevel="0" collapsed="false">
      <c r="C445" s="310"/>
      <c r="D445" s="310"/>
      <c r="E445" s="310"/>
      <c r="K445" s="133"/>
    </row>
    <row r="446" customFormat="false" ht="15" hidden="false" customHeight="false" outlineLevel="0" collapsed="false">
      <c r="C446" s="310"/>
      <c r="D446" s="310"/>
      <c r="E446" s="310"/>
      <c r="K446" s="133"/>
    </row>
    <row r="447" customFormat="false" ht="15" hidden="false" customHeight="false" outlineLevel="0" collapsed="false">
      <c r="C447" s="310"/>
      <c r="D447" s="310"/>
      <c r="E447" s="310"/>
      <c r="K447" s="133"/>
    </row>
    <row r="448" customFormat="false" ht="15" hidden="false" customHeight="false" outlineLevel="0" collapsed="false">
      <c r="C448" s="310"/>
      <c r="D448" s="310"/>
      <c r="E448" s="310"/>
      <c r="K448" s="133"/>
    </row>
    <row r="449" customFormat="false" ht="15" hidden="false" customHeight="false" outlineLevel="0" collapsed="false">
      <c r="C449" s="310"/>
      <c r="D449" s="310"/>
      <c r="E449" s="310"/>
      <c r="K449" s="133"/>
    </row>
    <row r="450" customFormat="false" ht="15" hidden="false" customHeight="false" outlineLevel="0" collapsed="false">
      <c r="C450" s="310"/>
      <c r="D450" s="310"/>
      <c r="E450" s="310"/>
      <c r="K450" s="133"/>
    </row>
    <row r="451" customFormat="false" ht="15" hidden="false" customHeight="false" outlineLevel="0" collapsed="false">
      <c r="C451" s="310"/>
      <c r="D451" s="310"/>
      <c r="E451" s="310"/>
      <c r="K451" s="133"/>
    </row>
    <row r="452" customFormat="false" ht="15" hidden="false" customHeight="false" outlineLevel="0" collapsed="false">
      <c r="C452" s="310"/>
      <c r="D452" s="310"/>
      <c r="E452" s="310"/>
      <c r="K452" s="133"/>
    </row>
    <row r="453" customFormat="false" ht="15" hidden="false" customHeight="false" outlineLevel="0" collapsed="false">
      <c r="C453" s="310"/>
      <c r="D453" s="310"/>
      <c r="E453" s="310"/>
      <c r="K453" s="133"/>
    </row>
    <row r="454" customFormat="false" ht="15" hidden="false" customHeight="false" outlineLevel="0" collapsed="false">
      <c r="C454" s="310"/>
      <c r="D454" s="310"/>
      <c r="E454" s="310"/>
      <c r="K454" s="133"/>
    </row>
    <row r="455" customFormat="false" ht="15" hidden="false" customHeight="false" outlineLevel="0" collapsed="false">
      <c r="C455" s="310"/>
      <c r="D455" s="310"/>
      <c r="E455" s="310"/>
      <c r="K455" s="133"/>
    </row>
    <row r="456" customFormat="false" ht="15" hidden="false" customHeight="false" outlineLevel="0" collapsed="false">
      <c r="C456" s="310"/>
      <c r="D456" s="310"/>
      <c r="E456" s="310"/>
      <c r="K456" s="133"/>
    </row>
    <row r="457" customFormat="false" ht="15" hidden="false" customHeight="false" outlineLevel="0" collapsed="false">
      <c r="C457" s="310"/>
      <c r="D457" s="310"/>
      <c r="E457" s="310"/>
      <c r="K457" s="133"/>
    </row>
    <row r="458" customFormat="false" ht="15" hidden="false" customHeight="false" outlineLevel="0" collapsed="false">
      <c r="C458" s="310"/>
      <c r="D458" s="310"/>
      <c r="E458" s="310"/>
      <c r="K458" s="133"/>
    </row>
    <row r="459" customFormat="false" ht="15" hidden="false" customHeight="false" outlineLevel="0" collapsed="false">
      <c r="C459" s="310"/>
      <c r="D459" s="310"/>
      <c r="E459" s="310"/>
      <c r="K459" s="133"/>
    </row>
    <row r="460" customFormat="false" ht="15" hidden="false" customHeight="false" outlineLevel="0" collapsed="false">
      <c r="C460" s="310"/>
      <c r="D460" s="310"/>
      <c r="E460" s="310"/>
      <c r="K460" s="133"/>
    </row>
    <row r="461" customFormat="false" ht="15" hidden="false" customHeight="false" outlineLevel="0" collapsed="false">
      <c r="C461" s="310"/>
      <c r="D461" s="310"/>
      <c r="E461" s="310"/>
      <c r="K461" s="133"/>
    </row>
    <row r="462" customFormat="false" ht="15" hidden="false" customHeight="false" outlineLevel="0" collapsed="false">
      <c r="C462" s="310"/>
      <c r="D462" s="310"/>
      <c r="E462" s="310"/>
      <c r="K462" s="133"/>
    </row>
    <row r="463" customFormat="false" ht="15" hidden="false" customHeight="false" outlineLevel="0" collapsed="false">
      <c r="C463" s="310"/>
      <c r="D463" s="310"/>
      <c r="E463" s="310"/>
      <c r="K463" s="133"/>
    </row>
    <row r="464" customFormat="false" ht="15" hidden="false" customHeight="false" outlineLevel="0" collapsed="false">
      <c r="C464" s="310"/>
      <c r="D464" s="310"/>
      <c r="E464" s="310"/>
      <c r="K464" s="133"/>
    </row>
    <row r="465" customFormat="false" ht="15" hidden="false" customHeight="false" outlineLevel="0" collapsed="false">
      <c r="C465" s="310"/>
      <c r="D465" s="310"/>
      <c r="E465" s="310"/>
      <c r="K465" s="133"/>
    </row>
    <row r="466" customFormat="false" ht="15" hidden="false" customHeight="false" outlineLevel="0" collapsed="false">
      <c r="C466" s="310"/>
      <c r="D466" s="310"/>
      <c r="E466" s="310"/>
      <c r="K466" s="133"/>
    </row>
    <row r="467" customFormat="false" ht="15" hidden="false" customHeight="false" outlineLevel="0" collapsed="false">
      <c r="C467" s="310"/>
      <c r="D467" s="310"/>
      <c r="E467" s="310"/>
      <c r="K467" s="133"/>
    </row>
    <row r="468" customFormat="false" ht="15" hidden="false" customHeight="false" outlineLevel="0" collapsed="false">
      <c r="C468" s="310"/>
      <c r="D468" s="310"/>
      <c r="E468" s="310"/>
      <c r="K468" s="133"/>
    </row>
    <row r="469" customFormat="false" ht="15" hidden="false" customHeight="false" outlineLevel="0" collapsed="false">
      <c r="C469" s="310"/>
      <c r="D469" s="310"/>
      <c r="E469" s="310"/>
      <c r="K469" s="133"/>
    </row>
    <row r="470" customFormat="false" ht="15" hidden="false" customHeight="false" outlineLevel="0" collapsed="false">
      <c r="C470" s="310"/>
      <c r="D470" s="310"/>
      <c r="E470" s="310"/>
      <c r="K470" s="133"/>
    </row>
    <row r="471" customFormat="false" ht="15" hidden="false" customHeight="false" outlineLevel="0" collapsed="false">
      <c r="C471" s="310"/>
      <c r="D471" s="310"/>
      <c r="E471" s="310"/>
      <c r="K471" s="133"/>
    </row>
    <row r="472" customFormat="false" ht="15" hidden="false" customHeight="false" outlineLevel="0" collapsed="false">
      <c r="C472" s="310"/>
      <c r="D472" s="310"/>
      <c r="E472" s="310"/>
      <c r="K472" s="133"/>
    </row>
    <row r="473" customFormat="false" ht="15" hidden="false" customHeight="false" outlineLevel="0" collapsed="false">
      <c r="C473" s="310"/>
      <c r="D473" s="310"/>
      <c r="E473" s="310"/>
      <c r="K473" s="133"/>
    </row>
    <row r="474" customFormat="false" ht="15" hidden="false" customHeight="false" outlineLevel="0" collapsed="false">
      <c r="C474" s="310"/>
      <c r="D474" s="310"/>
      <c r="E474" s="310"/>
      <c r="K474" s="133"/>
    </row>
    <row r="475" customFormat="false" ht="15" hidden="false" customHeight="false" outlineLevel="0" collapsed="false">
      <c r="C475" s="310"/>
      <c r="D475" s="310"/>
      <c r="E475" s="310"/>
      <c r="K475" s="133"/>
    </row>
    <row r="476" customFormat="false" ht="15" hidden="false" customHeight="false" outlineLevel="0" collapsed="false">
      <c r="C476" s="310"/>
      <c r="D476" s="310"/>
      <c r="E476" s="310"/>
      <c r="K476" s="133"/>
    </row>
    <row r="477" customFormat="false" ht="15" hidden="false" customHeight="false" outlineLevel="0" collapsed="false">
      <c r="C477" s="310"/>
      <c r="D477" s="310"/>
      <c r="E477" s="310"/>
      <c r="K477" s="133"/>
    </row>
    <row r="478" customFormat="false" ht="15" hidden="false" customHeight="false" outlineLevel="0" collapsed="false">
      <c r="C478" s="310"/>
      <c r="D478" s="310"/>
      <c r="E478" s="310"/>
      <c r="K478" s="133"/>
    </row>
    <row r="479" customFormat="false" ht="15" hidden="false" customHeight="false" outlineLevel="0" collapsed="false">
      <c r="C479" s="310"/>
      <c r="D479" s="310"/>
      <c r="E479" s="310"/>
      <c r="K479" s="133"/>
    </row>
    <row r="480" customFormat="false" ht="15" hidden="false" customHeight="false" outlineLevel="0" collapsed="false">
      <c r="C480" s="310"/>
      <c r="D480" s="310"/>
      <c r="E480" s="310"/>
      <c r="K480" s="133"/>
    </row>
    <row r="481" customFormat="false" ht="15" hidden="false" customHeight="false" outlineLevel="0" collapsed="false">
      <c r="C481" s="310"/>
      <c r="D481" s="310"/>
      <c r="E481" s="310"/>
      <c r="K481" s="133"/>
    </row>
    <row r="482" customFormat="false" ht="15" hidden="false" customHeight="false" outlineLevel="0" collapsed="false">
      <c r="C482" s="310"/>
      <c r="D482" s="310"/>
      <c r="E482" s="310"/>
      <c r="K482" s="133"/>
    </row>
    <row r="483" customFormat="false" ht="15" hidden="false" customHeight="false" outlineLevel="0" collapsed="false">
      <c r="C483" s="310"/>
      <c r="D483" s="310"/>
      <c r="E483" s="310"/>
      <c r="K483" s="133"/>
    </row>
    <row r="484" customFormat="false" ht="15" hidden="false" customHeight="false" outlineLevel="0" collapsed="false">
      <c r="C484" s="310"/>
      <c r="D484" s="310"/>
      <c r="E484" s="310"/>
      <c r="K484" s="133"/>
    </row>
    <row r="485" customFormat="false" ht="15" hidden="false" customHeight="false" outlineLevel="0" collapsed="false">
      <c r="C485" s="310"/>
      <c r="D485" s="310"/>
      <c r="E485" s="310"/>
      <c r="K485" s="133"/>
    </row>
    <row r="486" customFormat="false" ht="15" hidden="false" customHeight="false" outlineLevel="0" collapsed="false">
      <c r="C486" s="310"/>
      <c r="D486" s="310"/>
      <c r="E486" s="310"/>
      <c r="K486" s="133"/>
    </row>
    <row r="487" customFormat="false" ht="15" hidden="false" customHeight="false" outlineLevel="0" collapsed="false">
      <c r="C487" s="310"/>
      <c r="D487" s="310"/>
      <c r="E487" s="310"/>
      <c r="K487" s="133"/>
    </row>
    <row r="488" customFormat="false" ht="15" hidden="false" customHeight="false" outlineLevel="0" collapsed="false">
      <c r="C488" s="310"/>
      <c r="D488" s="310"/>
      <c r="E488" s="310"/>
      <c r="K488" s="133"/>
    </row>
    <row r="489" customFormat="false" ht="15" hidden="false" customHeight="false" outlineLevel="0" collapsed="false">
      <c r="C489" s="310"/>
      <c r="D489" s="310"/>
      <c r="E489" s="310"/>
      <c r="K489" s="133"/>
    </row>
    <row r="490" customFormat="false" ht="15" hidden="false" customHeight="false" outlineLevel="0" collapsed="false">
      <c r="C490" s="310"/>
      <c r="D490" s="310"/>
      <c r="E490" s="310"/>
      <c r="K490" s="133"/>
    </row>
    <row r="491" customFormat="false" ht="15" hidden="false" customHeight="false" outlineLevel="0" collapsed="false">
      <c r="C491" s="310"/>
      <c r="D491" s="310"/>
      <c r="E491" s="310"/>
      <c r="K491" s="133"/>
    </row>
    <row r="492" customFormat="false" ht="15" hidden="false" customHeight="false" outlineLevel="0" collapsed="false">
      <c r="C492" s="310"/>
      <c r="D492" s="310"/>
      <c r="E492" s="310"/>
      <c r="K492" s="133"/>
    </row>
    <row r="493" customFormat="false" ht="15" hidden="false" customHeight="false" outlineLevel="0" collapsed="false">
      <c r="C493" s="310"/>
      <c r="D493" s="310"/>
      <c r="E493" s="310"/>
      <c r="K493" s="133"/>
    </row>
    <row r="494" customFormat="false" ht="15" hidden="false" customHeight="false" outlineLevel="0" collapsed="false">
      <c r="C494" s="310"/>
      <c r="D494" s="310"/>
      <c r="E494" s="310"/>
      <c r="K494" s="133"/>
    </row>
    <row r="495" customFormat="false" ht="15" hidden="false" customHeight="false" outlineLevel="0" collapsed="false">
      <c r="C495" s="310"/>
      <c r="D495" s="310"/>
      <c r="E495" s="310"/>
      <c r="K495" s="133"/>
    </row>
    <row r="496" customFormat="false" ht="15" hidden="false" customHeight="false" outlineLevel="0" collapsed="false">
      <c r="C496" s="310"/>
      <c r="D496" s="310"/>
      <c r="E496" s="310"/>
      <c r="K496" s="133"/>
    </row>
    <row r="497" customFormat="false" ht="15" hidden="false" customHeight="false" outlineLevel="0" collapsed="false">
      <c r="C497" s="310"/>
      <c r="D497" s="310"/>
      <c r="E497" s="310"/>
      <c r="K497" s="133"/>
    </row>
    <row r="498" customFormat="false" ht="15" hidden="false" customHeight="false" outlineLevel="0" collapsed="false">
      <c r="C498" s="310"/>
      <c r="D498" s="310"/>
      <c r="E498" s="310"/>
      <c r="K498" s="133"/>
    </row>
    <row r="499" customFormat="false" ht="15" hidden="false" customHeight="false" outlineLevel="0" collapsed="false">
      <c r="C499" s="310"/>
      <c r="D499" s="310"/>
      <c r="E499" s="310"/>
      <c r="K499" s="133"/>
    </row>
    <row r="500" customFormat="false" ht="15" hidden="false" customHeight="false" outlineLevel="0" collapsed="false">
      <c r="C500" s="310"/>
      <c r="D500" s="310"/>
      <c r="E500" s="310"/>
      <c r="K500" s="133"/>
    </row>
    <row r="501" customFormat="false" ht="15" hidden="false" customHeight="false" outlineLevel="0" collapsed="false">
      <c r="C501" s="310"/>
      <c r="D501" s="310"/>
      <c r="E501" s="310"/>
      <c r="K501" s="133"/>
    </row>
    <row r="502" customFormat="false" ht="15" hidden="false" customHeight="false" outlineLevel="0" collapsed="false">
      <c r="C502" s="310"/>
      <c r="D502" s="310"/>
      <c r="E502" s="310"/>
      <c r="K502" s="133"/>
    </row>
    <row r="503" customFormat="false" ht="15" hidden="false" customHeight="false" outlineLevel="0" collapsed="false">
      <c r="C503" s="310"/>
      <c r="D503" s="310"/>
      <c r="E503" s="310"/>
      <c r="K503" s="133"/>
    </row>
    <row r="504" customFormat="false" ht="15" hidden="false" customHeight="false" outlineLevel="0" collapsed="false">
      <c r="C504" s="310"/>
      <c r="D504" s="310"/>
      <c r="E504" s="310"/>
      <c r="K504" s="133"/>
    </row>
    <row r="505" customFormat="false" ht="15" hidden="false" customHeight="false" outlineLevel="0" collapsed="false">
      <c r="C505" s="310"/>
      <c r="D505" s="310"/>
      <c r="E505" s="310"/>
      <c r="K505" s="133"/>
    </row>
    <row r="506" customFormat="false" ht="15" hidden="false" customHeight="false" outlineLevel="0" collapsed="false">
      <c r="C506" s="310"/>
      <c r="D506" s="310"/>
      <c r="E506" s="310"/>
      <c r="K506" s="133"/>
    </row>
    <row r="507" customFormat="false" ht="15" hidden="false" customHeight="false" outlineLevel="0" collapsed="false">
      <c r="C507" s="310"/>
      <c r="D507" s="310"/>
      <c r="E507" s="310"/>
      <c r="K507" s="133"/>
    </row>
    <row r="508" customFormat="false" ht="15" hidden="false" customHeight="false" outlineLevel="0" collapsed="false">
      <c r="C508" s="310"/>
      <c r="D508" s="310"/>
      <c r="E508" s="310"/>
      <c r="K508" s="133"/>
    </row>
    <row r="509" customFormat="false" ht="15" hidden="false" customHeight="false" outlineLevel="0" collapsed="false">
      <c r="C509" s="310"/>
      <c r="D509" s="310"/>
      <c r="E509" s="310"/>
      <c r="K509" s="133"/>
    </row>
    <row r="510" customFormat="false" ht="15" hidden="false" customHeight="false" outlineLevel="0" collapsed="false">
      <c r="C510" s="310"/>
      <c r="D510" s="310"/>
      <c r="E510" s="310"/>
      <c r="K510" s="133"/>
    </row>
    <row r="511" customFormat="false" ht="15" hidden="false" customHeight="false" outlineLevel="0" collapsed="false">
      <c r="C511" s="310"/>
      <c r="D511" s="310"/>
      <c r="E511" s="310"/>
      <c r="K511" s="133"/>
    </row>
    <row r="512" customFormat="false" ht="15" hidden="false" customHeight="false" outlineLevel="0" collapsed="false">
      <c r="C512" s="310"/>
      <c r="D512" s="310"/>
      <c r="E512" s="310"/>
      <c r="K512" s="133"/>
    </row>
    <row r="513" customFormat="false" ht="15" hidden="false" customHeight="false" outlineLevel="0" collapsed="false">
      <c r="C513" s="310"/>
      <c r="D513" s="310"/>
      <c r="E513" s="310"/>
      <c r="K513" s="133"/>
    </row>
    <row r="514" customFormat="false" ht="15" hidden="false" customHeight="false" outlineLevel="0" collapsed="false">
      <c r="C514" s="310"/>
      <c r="D514" s="310"/>
      <c r="E514" s="310"/>
      <c r="K514" s="133"/>
    </row>
    <row r="515" customFormat="false" ht="15" hidden="false" customHeight="false" outlineLevel="0" collapsed="false">
      <c r="C515" s="310"/>
      <c r="D515" s="310"/>
      <c r="E515" s="310"/>
      <c r="K515" s="133"/>
    </row>
    <row r="516" customFormat="false" ht="15" hidden="false" customHeight="false" outlineLevel="0" collapsed="false">
      <c r="C516" s="310"/>
      <c r="D516" s="310"/>
      <c r="E516" s="310"/>
      <c r="K516" s="133"/>
    </row>
    <row r="517" customFormat="false" ht="15" hidden="false" customHeight="false" outlineLevel="0" collapsed="false">
      <c r="C517" s="310"/>
      <c r="D517" s="310"/>
      <c r="E517" s="310"/>
      <c r="K517" s="133"/>
    </row>
    <row r="518" customFormat="false" ht="15" hidden="false" customHeight="false" outlineLevel="0" collapsed="false">
      <c r="C518" s="310"/>
      <c r="D518" s="310"/>
      <c r="E518" s="310"/>
      <c r="K518" s="133"/>
    </row>
    <row r="519" customFormat="false" ht="15" hidden="false" customHeight="false" outlineLevel="0" collapsed="false">
      <c r="C519" s="310"/>
      <c r="D519" s="310"/>
      <c r="E519" s="310"/>
      <c r="K519" s="133"/>
    </row>
    <row r="520" customFormat="false" ht="15" hidden="false" customHeight="false" outlineLevel="0" collapsed="false">
      <c r="C520" s="310"/>
      <c r="D520" s="310"/>
      <c r="E520" s="310"/>
      <c r="K520" s="133"/>
    </row>
    <row r="521" customFormat="false" ht="15" hidden="false" customHeight="false" outlineLevel="0" collapsed="false">
      <c r="C521" s="310"/>
      <c r="D521" s="310"/>
      <c r="E521" s="310"/>
      <c r="K521" s="133"/>
    </row>
    <row r="522" customFormat="false" ht="15" hidden="false" customHeight="false" outlineLevel="0" collapsed="false">
      <c r="C522" s="310"/>
      <c r="D522" s="310"/>
      <c r="E522" s="310"/>
      <c r="K522" s="133"/>
    </row>
    <row r="523" customFormat="false" ht="15" hidden="false" customHeight="false" outlineLevel="0" collapsed="false">
      <c r="C523" s="310"/>
      <c r="D523" s="310"/>
      <c r="E523" s="310"/>
      <c r="K523" s="133"/>
    </row>
    <row r="524" customFormat="false" ht="15" hidden="false" customHeight="false" outlineLevel="0" collapsed="false">
      <c r="C524" s="310"/>
      <c r="D524" s="310"/>
      <c r="E524" s="310"/>
      <c r="K524" s="133"/>
    </row>
    <row r="525" customFormat="false" ht="15" hidden="false" customHeight="false" outlineLevel="0" collapsed="false">
      <c r="C525" s="310"/>
      <c r="D525" s="310"/>
      <c r="E525" s="310"/>
      <c r="K525" s="133"/>
    </row>
    <row r="526" customFormat="false" ht="15" hidden="false" customHeight="false" outlineLevel="0" collapsed="false">
      <c r="C526" s="310"/>
      <c r="D526" s="310"/>
      <c r="E526" s="310"/>
      <c r="K526" s="133"/>
    </row>
    <row r="527" customFormat="false" ht="15" hidden="false" customHeight="false" outlineLevel="0" collapsed="false">
      <c r="C527" s="310"/>
      <c r="D527" s="310"/>
      <c r="E527" s="310"/>
      <c r="K527" s="133"/>
    </row>
    <row r="528" customFormat="false" ht="15" hidden="false" customHeight="false" outlineLevel="0" collapsed="false">
      <c r="C528" s="310"/>
      <c r="D528" s="310"/>
      <c r="E528" s="310"/>
      <c r="K528" s="133"/>
    </row>
    <row r="529" customFormat="false" ht="15" hidden="false" customHeight="false" outlineLevel="0" collapsed="false">
      <c r="C529" s="310"/>
      <c r="D529" s="310"/>
      <c r="E529" s="310"/>
      <c r="K529" s="133"/>
    </row>
    <row r="530" customFormat="false" ht="15" hidden="false" customHeight="false" outlineLevel="0" collapsed="false">
      <c r="C530" s="310"/>
      <c r="D530" s="310"/>
      <c r="E530" s="310"/>
      <c r="K530" s="133"/>
    </row>
    <row r="531" customFormat="false" ht="15" hidden="false" customHeight="false" outlineLevel="0" collapsed="false">
      <c r="C531" s="310"/>
      <c r="D531" s="310"/>
      <c r="E531" s="310"/>
      <c r="K531" s="133"/>
    </row>
    <row r="532" customFormat="false" ht="15" hidden="false" customHeight="false" outlineLevel="0" collapsed="false">
      <c r="C532" s="310"/>
      <c r="D532" s="310"/>
      <c r="E532" s="310"/>
      <c r="K532" s="133"/>
    </row>
    <row r="533" customFormat="false" ht="15" hidden="false" customHeight="false" outlineLevel="0" collapsed="false">
      <c r="C533" s="310"/>
      <c r="D533" s="310"/>
      <c r="E533" s="310"/>
      <c r="K533" s="133"/>
    </row>
    <row r="534" customFormat="false" ht="15" hidden="false" customHeight="false" outlineLevel="0" collapsed="false">
      <c r="C534" s="310"/>
      <c r="D534" s="310"/>
      <c r="E534" s="310"/>
      <c r="K534" s="133"/>
    </row>
    <row r="535" customFormat="false" ht="15" hidden="false" customHeight="false" outlineLevel="0" collapsed="false">
      <c r="C535" s="310"/>
      <c r="D535" s="310"/>
      <c r="E535" s="310"/>
      <c r="K535" s="133"/>
    </row>
    <row r="536" customFormat="false" ht="15" hidden="false" customHeight="false" outlineLevel="0" collapsed="false">
      <c r="C536" s="310"/>
      <c r="D536" s="310"/>
      <c r="E536" s="310"/>
      <c r="K536" s="133"/>
    </row>
    <row r="537" customFormat="false" ht="15" hidden="false" customHeight="false" outlineLevel="0" collapsed="false">
      <c r="C537" s="310"/>
      <c r="D537" s="310"/>
      <c r="E537" s="310"/>
      <c r="K537" s="133"/>
    </row>
    <row r="538" customFormat="false" ht="15" hidden="false" customHeight="false" outlineLevel="0" collapsed="false">
      <c r="C538" s="310"/>
      <c r="D538" s="310"/>
      <c r="E538" s="310"/>
      <c r="K538" s="133"/>
    </row>
    <row r="539" customFormat="false" ht="15" hidden="false" customHeight="false" outlineLevel="0" collapsed="false">
      <c r="C539" s="310"/>
      <c r="D539" s="310"/>
      <c r="E539" s="310"/>
      <c r="K539" s="133"/>
    </row>
    <row r="540" customFormat="false" ht="15" hidden="false" customHeight="false" outlineLevel="0" collapsed="false">
      <c r="C540" s="310"/>
      <c r="D540" s="310"/>
      <c r="E540" s="310"/>
      <c r="K540" s="133"/>
    </row>
    <row r="541" customFormat="false" ht="15" hidden="false" customHeight="false" outlineLevel="0" collapsed="false">
      <c r="C541" s="310"/>
      <c r="D541" s="310"/>
      <c r="E541" s="310"/>
      <c r="K541" s="133"/>
    </row>
    <row r="542" customFormat="false" ht="15" hidden="false" customHeight="false" outlineLevel="0" collapsed="false">
      <c r="C542" s="310"/>
      <c r="D542" s="310"/>
      <c r="E542" s="310"/>
      <c r="K542" s="133"/>
    </row>
    <row r="543" customFormat="false" ht="15" hidden="false" customHeight="false" outlineLevel="0" collapsed="false">
      <c r="C543" s="310"/>
      <c r="D543" s="310"/>
      <c r="E543" s="310"/>
      <c r="K543" s="133"/>
    </row>
    <row r="544" customFormat="false" ht="15" hidden="false" customHeight="false" outlineLevel="0" collapsed="false">
      <c r="C544" s="310"/>
      <c r="D544" s="310"/>
      <c r="E544" s="310"/>
      <c r="K544" s="133"/>
    </row>
    <row r="545" customFormat="false" ht="15" hidden="false" customHeight="false" outlineLevel="0" collapsed="false">
      <c r="C545" s="310"/>
      <c r="D545" s="310"/>
      <c r="E545" s="310"/>
      <c r="K545" s="133"/>
    </row>
    <row r="546" customFormat="false" ht="15" hidden="false" customHeight="false" outlineLevel="0" collapsed="false">
      <c r="C546" s="310"/>
      <c r="D546" s="310"/>
      <c r="E546" s="310"/>
      <c r="K546" s="133"/>
    </row>
    <row r="547" customFormat="false" ht="15" hidden="false" customHeight="false" outlineLevel="0" collapsed="false">
      <c r="C547" s="310"/>
      <c r="D547" s="310"/>
      <c r="E547" s="310"/>
      <c r="K547" s="133"/>
    </row>
    <row r="548" customFormat="false" ht="15" hidden="false" customHeight="false" outlineLevel="0" collapsed="false">
      <c r="C548" s="310"/>
      <c r="D548" s="310"/>
      <c r="E548" s="310"/>
      <c r="K548" s="133"/>
    </row>
    <row r="549" customFormat="false" ht="15" hidden="false" customHeight="false" outlineLevel="0" collapsed="false">
      <c r="C549" s="310"/>
      <c r="D549" s="310"/>
      <c r="E549" s="310"/>
      <c r="K549" s="133"/>
    </row>
    <row r="550" customFormat="false" ht="15" hidden="false" customHeight="false" outlineLevel="0" collapsed="false">
      <c r="C550" s="310"/>
      <c r="D550" s="310"/>
      <c r="E550" s="310"/>
      <c r="K550" s="133"/>
    </row>
    <row r="551" customFormat="false" ht="15" hidden="false" customHeight="false" outlineLevel="0" collapsed="false">
      <c r="C551" s="310"/>
      <c r="D551" s="310"/>
      <c r="E551" s="310"/>
      <c r="K551" s="133"/>
    </row>
    <row r="552" customFormat="false" ht="15" hidden="false" customHeight="false" outlineLevel="0" collapsed="false">
      <c r="C552" s="310"/>
      <c r="D552" s="310"/>
      <c r="E552" s="310"/>
      <c r="K552" s="133"/>
    </row>
    <row r="553" customFormat="false" ht="15" hidden="false" customHeight="false" outlineLevel="0" collapsed="false">
      <c r="C553" s="310"/>
      <c r="D553" s="310"/>
      <c r="E553" s="310"/>
      <c r="K553" s="133"/>
    </row>
    <row r="554" customFormat="false" ht="15" hidden="false" customHeight="false" outlineLevel="0" collapsed="false">
      <c r="C554" s="310"/>
      <c r="D554" s="310"/>
      <c r="E554" s="310"/>
      <c r="K554" s="133"/>
    </row>
    <row r="555" customFormat="false" ht="15" hidden="false" customHeight="false" outlineLevel="0" collapsed="false">
      <c r="C555" s="310"/>
      <c r="D555" s="310"/>
      <c r="E555" s="310"/>
      <c r="K555" s="133"/>
    </row>
    <row r="556" customFormat="false" ht="15" hidden="false" customHeight="false" outlineLevel="0" collapsed="false">
      <c r="C556" s="310"/>
      <c r="D556" s="310"/>
      <c r="E556" s="310"/>
      <c r="K556" s="133"/>
    </row>
    <row r="557" customFormat="false" ht="15" hidden="false" customHeight="false" outlineLevel="0" collapsed="false">
      <c r="C557" s="310"/>
      <c r="D557" s="310"/>
      <c r="E557" s="310"/>
      <c r="K557" s="133"/>
    </row>
    <row r="558" customFormat="false" ht="15" hidden="false" customHeight="false" outlineLevel="0" collapsed="false">
      <c r="C558" s="310"/>
      <c r="D558" s="310"/>
      <c r="E558" s="310"/>
      <c r="K558" s="133"/>
    </row>
    <row r="559" customFormat="false" ht="15" hidden="false" customHeight="false" outlineLevel="0" collapsed="false">
      <c r="C559" s="310"/>
      <c r="D559" s="310"/>
      <c r="E559" s="310"/>
      <c r="K559" s="133"/>
    </row>
    <row r="560" customFormat="false" ht="15" hidden="false" customHeight="false" outlineLevel="0" collapsed="false">
      <c r="C560" s="310"/>
      <c r="D560" s="310"/>
      <c r="E560" s="310"/>
      <c r="K560" s="133"/>
    </row>
    <row r="561" customFormat="false" ht="15" hidden="false" customHeight="false" outlineLevel="0" collapsed="false">
      <c r="C561" s="310"/>
      <c r="D561" s="310"/>
      <c r="E561" s="310"/>
      <c r="K561" s="133"/>
    </row>
    <row r="562" customFormat="false" ht="15" hidden="false" customHeight="false" outlineLevel="0" collapsed="false">
      <c r="C562" s="310"/>
      <c r="D562" s="310"/>
      <c r="E562" s="310"/>
      <c r="K562" s="133"/>
    </row>
    <row r="563" customFormat="false" ht="15" hidden="false" customHeight="false" outlineLevel="0" collapsed="false">
      <c r="C563" s="310"/>
      <c r="D563" s="310"/>
      <c r="E563" s="310"/>
      <c r="K563" s="133"/>
    </row>
    <row r="564" customFormat="false" ht="15" hidden="false" customHeight="false" outlineLevel="0" collapsed="false">
      <c r="C564" s="310"/>
      <c r="D564" s="310"/>
      <c r="E564" s="310"/>
      <c r="K564" s="133"/>
    </row>
    <row r="565" customFormat="false" ht="15" hidden="false" customHeight="false" outlineLevel="0" collapsed="false">
      <c r="C565" s="310"/>
      <c r="D565" s="310"/>
      <c r="E565" s="310"/>
      <c r="K565" s="133"/>
    </row>
    <row r="566" customFormat="false" ht="15" hidden="false" customHeight="false" outlineLevel="0" collapsed="false">
      <c r="C566" s="310"/>
      <c r="D566" s="310"/>
      <c r="E566" s="310"/>
      <c r="K566" s="133"/>
    </row>
    <row r="567" customFormat="false" ht="15" hidden="false" customHeight="false" outlineLevel="0" collapsed="false">
      <c r="C567" s="310"/>
      <c r="D567" s="310"/>
      <c r="E567" s="310"/>
      <c r="K567" s="133"/>
    </row>
    <row r="568" customFormat="false" ht="15" hidden="false" customHeight="false" outlineLevel="0" collapsed="false">
      <c r="C568" s="310"/>
      <c r="D568" s="310"/>
      <c r="E568" s="310"/>
      <c r="K568" s="133"/>
    </row>
    <row r="569" customFormat="false" ht="15" hidden="false" customHeight="false" outlineLevel="0" collapsed="false">
      <c r="C569" s="310"/>
      <c r="D569" s="310"/>
      <c r="E569" s="310"/>
      <c r="K569" s="133"/>
    </row>
    <row r="570" customFormat="false" ht="15" hidden="false" customHeight="false" outlineLevel="0" collapsed="false">
      <c r="C570" s="310"/>
      <c r="D570" s="310"/>
      <c r="E570" s="310"/>
      <c r="K570" s="133"/>
    </row>
    <row r="571" customFormat="false" ht="15" hidden="false" customHeight="false" outlineLevel="0" collapsed="false">
      <c r="C571" s="310"/>
      <c r="D571" s="310"/>
      <c r="E571" s="310"/>
      <c r="K571" s="133"/>
    </row>
    <row r="572" customFormat="false" ht="15" hidden="false" customHeight="false" outlineLevel="0" collapsed="false">
      <c r="C572" s="310"/>
      <c r="D572" s="310"/>
      <c r="E572" s="310"/>
      <c r="K572" s="133"/>
    </row>
    <row r="573" customFormat="false" ht="15" hidden="false" customHeight="false" outlineLevel="0" collapsed="false">
      <c r="C573" s="310"/>
      <c r="D573" s="310"/>
      <c r="E573" s="310"/>
      <c r="K573" s="133"/>
    </row>
    <row r="574" customFormat="false" ht="15" hidden="false" customHeight="false" outlineLevel="0" collapsed="false">
      <c r="C574" s="310"/>
      <c r="D574" s="310"/>
      <c r="E574" s="310"/>
      <c r="K574" s="133"/>
    </row>
    <row r="575" customFormat="false" ht="15" hidden="false" customHeight="false" outlineLevel="0" collapsed="false">
      <c r="C575" s="310"/>
      <c r="D575" s="310"/>
      <c r="E575" s="310"/>
      <c r="K575" s="133"/>
    </row>
    <row r="576" customFormat="false" ht="15" hidden="false" customHeight="false" outlineLevel="0" collapsed="false">
      <c r="C576" s="310"/>
      <c r="D576" s="310"/>
      <c r="E576" s="310"/>
      <c r="K576" s="133"/>
    </row>
    <row r="577" customFormat="false" ht="15" hidden="false" customHeight="false" outlineLevel="0" collapsed="false">
      <c r="C577" s="310"/>
      <c r="D577" s="310"/>
      <c r="E577" s="310"/>
      <c r="K577" s="133"/>
    </row>
    <row r="578" customFormat="false" ht="15" hidden="false" customHeight="false" outlineLevel="0" collapsed="false">
      <c r="C578" s="310"/>
      <c r="D578" s="310"/>
      <c r="E578" s="310"/>
      <c r="K578" s="133"/>
    </row>
    <row r="579" customFormat="false" ht="15" hidden="false" customHeight="false" outlineLevel="0" collapsed="false">
      <c r="C579" s="310"/>
      <c r="D579" s="310"/>
      <c r="E579" s="310"/>
      <c r="K579" s="133"/>
    </row>
    <row r="580" customFormat="false" ht="15" hidden="false" customHeight="false" outlineLevel="0" collapsed="false">
      <c r="C580" s="310"/>
      <c r="D580" s="310"/>
      <c r="E580" s="310"/>
      <c r="K580" s="133"/>
    </row>
    <row r="581" customFormat="false" ht="15" hidden="false" customHeight="false" outlineLevel="0" collapsed="false">
      <c r="C581" s="310"/>
      <c r="D581" s="310"/>
      <c r="E581" s="310"/>
      <c r="K581" s="133"/>
    </row>
    <row r="582" customFormat="false" ht="15" hidden="false" customHeight="false" outlineLevel="0" collapsed="false">
      <c r="C582" s="310"/>
      <c r="D582" s="310"/>
      <c r="E582" s="310"/>
      <c r="K582" s="133"/>
    </row>
    <row r="583" customFormat="false" ht="15" hidden="false" customHeight="false" outlineLevel="0" collapsed="false">
      <c r="C583" s="310"/>
      <c r="D583" s="310"/>
      <c r="E583" s="310"/>
      <c r="K583" s="133"/>
    </row>
    <row r="584" customFormat="false" ht="15" hidden="false" customHeight="false" outlineLevel="0" collapsed="false">
      <c r="C584" s="310"/>
      <c r="D584" s="310"/>
      <c r="E584" s="310"/>
      <c r="K584" s="133"/>
    </row>
    <row r="585" customFormat="false" ht="15" hidden="false" customHeight="false" outlineLevel="0" collapsed="false">
      <c r="C585" s="310"/>
      <c r="D585" s="310"/>
      <c r="E585" s="310"/>
      <c r="K585" s="133"/>
    </row>
    <row r="586" customFormat="false" ht="15" hidden="false" customHeight="false" outlineLevel="0" collapsed="false">
      <c r="C586" s="310"/>
      <c r="D586" s="310"/>
      <c r="E586" s="310"/>
      <c r="K586" s="133"/>
    </row>
    <row r="587" customFormat="false" ht="15" hidden="false" customHeight="false" outlineLevel="0" collapsed="false">
      <c r="C587" s="310"/>
      <c r="D587" s="310"/>
      <c r="E587" s="310"/>
      <c r="K587" s="133"/>
    </row>
    <row r="588" customFormat="false" ht="15" hidden="false" customHeight="false" outlineLevel="0" collapsed="false">
      <c r="C588" s="310"/>
      <c r="D588" s="310"/>
      <c r="E588" s="310"/>
      <c r="K588" s="133"/>
    </row>
    <row r="589" customFormat="false" ht="15" hidden="false" customHeight="false" outlineLevel="0" collapsed="false">
      <c r="C589" s="310"/>
      <c r="D589" s="310"/>
      <c r="E589" s="310"/>
      <c r="K589" s="133"/>
    </row>
    <row r="590" customFormat="false" ht="15" hidden="false" customHeight="false" outlineLevel="0" collapsed="false">
      <c r="C590" s="310"/>
      <c r="D590" s="310"/>
      <c r="E590" s="310"/>
      <c r="K590" s="133"/>
    </row>
    <row r="591" customFormat="false" ht="15" hidden="false" customHeight="false" outlineLevel="0" collapsed="false">
      <c r="C591" s="310"/>
      <c r="D591" s="310"/>
      <c r="E591" s="310"/>
      <c r="K591" s="133"/>
    </row>
    <row r="592" customFormat="false" ht="15" hidden="false" customHeight="false" outlineLevel="0" collapsed="false">
      <c r="C592" s="310"/>
      <c r="D592" s="310"/>
      <c r="E592" s="310"/>
      <c r="K592" s="133"/>
    </row>
    <row r="593" customFormat="false" ht="15" hidden="false" customHeight="false" outlineLevel="0" collapsed="false">
      <c r="C593" s="310"/>
      <c r="D593" s="310"/>
      <c r="E593" s="310"/>
      <c r="K593" s="133"/>
    </row>
    <row r="594" customFormat="false" ht="15" hidden="false" customHeight="false" outlineLevel="0" collapsed="false">
      <c r="C594" s="310"/>
      <c r="D594" s="310"/>
      <c r="E594" s="310"/>
      <c r="K594" s="133"/>
    </row>
    <row r="595" customFormat="false" ht="15" hidden="false" customHeight="false" outlineLevel="0" collapsed="false">
      <c r="C595" s="310"/>
      <c r="D595" s="310"/>
      <c r="E595" s="310"/>
      <c r="K595" s="133"/>
    </row>
    <row r="596" customFormat="false" ht="15" hidden="false" customHeight="false" outlineLevel="0" collapsed="false">
      <c r="C596" s="310"/>
      <c r="D596" s="310"/>
      <c r="E596" s="310"/>
      <c r="K596" s="133"/>
    </row>
    <row r="597" customFormat="false" ht="15" hidden="false" customHeight="false" outlineLevel="0" collapsed="false">
      <c r="C597" s="310"/>
      <c r="D597" s="310"/>
      <c r="E597" s="310"/>
      <c r="K597" s="133"/>
    </row>
    <row r="598" customFormat="false" ht="15" hidden="false" customHeight="false" outlineLevel="0" collapsed="false">
      <c r="C598" s="310"/>
      <c r="D598" s="310"/>
      <c r="E598" s="310"/>
      <c r="K598" s="133"/>
    </row>
    <row r="599" customFormat="false" ht="15" hidden="false" customHeight="false" outlineLevel="0" collapsed="false">
      <c r="C599" s="310"/>
      <c r="D599" s="310"/>
      <c r="E599" s="310"/>
      <c r="K599" s="133"/>
    </row>
    <row r="600" customFormat="false" ht="15" hidden="false" customHeight="false" outlineLevel="0" collapsed="false">
      <c r="C600" s="310"/>
      <c r="D600" s="310"/>
      <c r="E600" s="310"/>
      <c r="K600" s="133"/>
    </row>
    <row r="601" customFormat="false" ht="15" hidden="false" customHeight="false" outlineLevel="0" collapsed="false">
      <c r="C601" s="310"/>
      <c r="D601" s="310"/>
      <c r="E601" s="310"/>
      <c r="K601" s="133"/>
    </row>
    <row r="602" customFormat="false" ht="15" hidden="false" customHeight="false" outlineLevel="0" collapsed="false">
      <c r="C602" s="310"/>
      <c r="D602" s="310"/>
      <c r="E602" s="310"/>
      <c r="K602" s="133"/>
    </row>
    <row r="603" customFormat="false" ht="15" hidden="false" customHeight="false" outlineLevel="0" collapsed="false">
      <c r="C603" s="310"/>
      <c r="D603" s="310"/>
      <c r="E603" s="310"/>
      <c r="K603" s="133"/>
    </row>
    <row r="604" customFormat="false" ht="15" hidden="false" customHeight="false" outlineLevel="0" collapsed="false">
      <c r="C604" s="310"/>
      <c r="D604" s="310"/>
      <c r="E604" s="310"/>
      <c r="K604" s="133"/>
    </row>
    <row r="605" customFormat="false" ht="15" hidden="false" customHeight="false" outlineLevel="0" collapsed="false">
      <c r="C605" s="310"/>
      <c r="D605" s="310"/>
      <c r="E605" s="310"/>
      <c r="K605" s="133"/>
    </row>
    <row r="606" customFormat="false" ht="15" hidden="false" customHeight="false" outlineLevel="0" collapsed="false">
      <c r="C606" s="310"/>
      <c r="D606" s="310"/>
      <c r="E606" s="310"/>
      <c r="K606" s="133"/>
    </row>
    <row r="607" customFormat="false" ht="15" hidden="false" customHeight="false" outlineLevel="0" collapsed="false">
      <c r="C607" s="310"/>
      <c r="D607" s="310"/>
      <c r="E607" s="310"/>
      <c r="K607" s="133"/>
    </row>
    <row r="608" customFormat="false" ht="15" hidden="false" customHeight="false" outlineLevel="0" collapsed="false">
      <c r="C608" s="310"/>
      <c r="D608" s="310"/>
      <c r="E608" s="310"/>
      <c r="K608" s="133"/>
    </row>
    <row r="609" customFormat="false" ht="15" hidden="false" customHeight="false" outlineLevel="0" collapsed="false">
      <c r="C609" s="310"/>
      <c r="D609" s="310"/>
      <c r="E609" s="310"/>
      <c r="K609" s="133"/>
    </row>
    <row r="610" customFormat="false" ht="15" hidden="false" customHeight="false" outlineLevel="0" collapsed="false">
      <c r="C610" s="310"/>
      <c r="D610" s="310"/>
      <c r="E610" s="310"/>
      <c r="K610" s="133"/>
    </row>
    <row r="611" customFormat="false" ht="15" hidden="false" customHeight="false" outlineLevel="0" collapsed="false">
      <c r="C611" s="310"/>
      <c r="D611" s="310"/>
      <c r="E611" s="310"/>
      <c r="K611" s="133"/>
    </row>
    <row r="612" customFormat="false" ht="15" hidden="false" customHeight="false" outlineLevel="0" collapsed="false">
      <c r="C612" s="310"/>
      <c r="D612" s="310"/>
      <c r="E612" s="310"/>
      <c r="K612" s="133"/>
    </row>
    <row r="613" customFormat="false" ht="15" hidden="false" customHeight="false" outlineLevel="0" collapsed="false">
      <c r="C613" s="310"/>
      <c r="D613" s="310"/>
      <c r="E613" s="310"/>
      <c r="K613" s="133"/>
    </row>
    <row r="614" customFormat="false" ht="15" hidden="false" customHeight="false" outlineLevel="0" collapsed="false">
      <c r="C614" s="310"/>
      <c r="D614" s="310"/>
      <c r="E614" s="310"/>
      <c r="K614" s="133"/>
    </row>
    <row r="615" customFormat="false" ht="15" hidden="false" customHeight="false" outlineLevel="0" collapsed="false">
      <c r="C615" s="310"/>
      <c r="D615" s="310"/>
      <c r="E615" s="310"/>
      <c r="K615" s="133"/>
    </row>
    <row r="616" customFormat="false" ht="15" hidden="false" customHeight="false" outlineLevel="0" collapsed="false">
      <c r="C616" s="310"/>
      <c r="D616" s="310"/>
      <c r="E616" s="310"/>
      <c r="K616" s="133"/>
    </row>
    <row r="617" customFormat="false" ht="15" hidden="false" customHeight="false" outlineLevel="0" collapsed="false">
      <c r="C617" s="310"/>
      <c r="D617" s="310"/>
      <c r="E617" s="310"/>
      <c r="K617" s="133"/>
    </row>
    <row r="618" customFormat="false" ht="15" hidden="false" customHeight="false" outlineLevel="0" collapsed="false">
      <c r="C618" s="310"/>
      <c r="D618" s="310"/>
      <c r="E618" s="310"/>
      <c r="K618" s="133"/>
    </row>
    <row r="619" customFormat="false" ht="15" hidden="false" customHeight="false" outlineLevel="0" collapsed="false">
      <c r="C619" s="310"/>
      <c r="D619" s="310"/>
      <c r="E619" s="310"/>
      <c r="K619" s="133"/>
    </row>
    <row r="620" customFormat="false" ht="15" hidden="false" customHeight="false" outlineLevel="0" collapsed="false">
      <c r="C620" s="310"/>
      <c r="D620" s="310"/>
      <c r="E620" s="310"/>
      <c r="K620" s="133"/>
    </row>
    <row r="621" customFormat="false" ht="15" hidden="false" customHeight="false" outlineLevel="0" collapsed="false">
      <c r="C621" s="310"/>
      <c r="D621" s="310"/>
      <c r="E621" s="310"/>
      <c r="K621" s="133"/>
    </row>
    <row r="622" customFormat="false" ht="15" hidden="false" customHeight="false" outlineLevel="0" collapsed="false">
      <c r="C622" s="310"/>
      <c r="D622" s="310"/>
      <c r="E622" s="310"/>
      <c r="K622" s="133"/>
    </row>
    <row r="623" customFormat="false" ht="15" hidden="false" customHeight="false" outlineLevel="0" collapsed="false">
      <c r="C623" s="310"/>
      <c r="D623" s="310"/>
      <c r="E623" s="310"/>
      <c r="K623" s="133"/>
    </row>
    <row r="624" customFormat="false" ht="15" hidden="false" customHeight="false" outlineLevel="0" collapsed="false">
      <c r="C624" s="310"/>
      <c r="D624" s="310"/>
      <c r="E624" s="310"/>
      <c r="K624" s="133"/>
    </row>
    <row r="625" customFormat="false" ht="15" hidden="false" customHeight="false" outlineLevel="0" collapsed="false">
      <c r="C625" s="310"/>
      <c r="D625" s="310"/>
      <c r="E625" s="310"/>
      <c r="K625" s="133"/>
    </row>
    <row r="626" customFormat="false" ht="15" hidden="false" customHeight="false" outlineLevel="0" collapsed="false">
      <c r="C626" s="310"/>
      <c r="D626" s="310"/>
      <c r="E626" s="310"/>
      <c r="K626" s="133"/>
    </row>
    <row r="627" customFormat="false" ht="15" hidden="false" customHeight="false" outlineLevel="0" collapsed="false">
      <c r="C627" s="310"/>
      <c r="D627" s="310"/>
      <c r="E627" s="310"/>
      <c r="K627" s="133"/>
    </row>
    <row r="628" customFormat="false" ht="15" hidden="false" customHeight="false" outlineLevel="0" collapsed="false">
      <c r="C628" s="310"/>
      <c r="D628" s="310"/>
      <c r="E628" s="310"/>
      <c r="K628" s="133"/>
    </row>
    <row r="629" customFormat="false" ht="15" hidden="false" customHeight="false" outlineLevel="0" collapsed="false">
      <c r="C629" s="310"/>
      <c r="D629" s="310"/>
      <c r="E629" s="310"/>
      <c r="K629" s="133"/>
    </row>
    <row r="630" customFormat="false" ht="15" hidden="false" customHeight="false" outlineLevel="0" collapsed="false">
      <c r="C630" s="310"/>
      <c r="D630" s="310"/>
      <c r="E630" s="310"/>
      <c r="K630" s="133"/>
    </row>
    <row r="631" customFormat="false" ht="15" hidden="false" customHeight="false" outlineLevel="0" collapsed="false">
      <c r="C631" s="310"/>
      <c r="D631" s="310"/>
      <c r="E631" s="310"/>
      <c r="K631" s="133"/>
    </row>
    <row r="632" customFormat="false" ht="15" hidden="false" customHeight="false" outlineLevel="0" collapsed="false">
      <c r="C632" s="310"/>
      <c r="D632" s="310"/>
      <c r="E632" s="310"/>
      <c r="K632" s="133"/>
    </row>
    <row r="633" customFormat="false" ht="15" hidden="false" customHeight="false" outlineLevel="0" collapsed="false">
      <c r="C633" s="310"/>
      <c r="D633" s="310"/>
      <c r="E633" s="310"/>
      <c r="K633" s="133"/>
    </row>
    <row r="634" customFormat="false" ht="15" hidden="false" customHeight="false" outlineLevel="0" collapsed="false">
      <c r="C634" s="310"/>
      <c r="D634" s="310"/>
      <c r="E634" s="310"/>
      <c r="K634" s="133"/>
    </row>
    <row r="635" customFormat="false" ht="15" hidden="false" customHeight="false" outlineLevel="0" collapsed="false">
      <c r="C635" s="310"/>
      <c r="D635" s="310"/>
      <c r="E635" s="310"/>
      <c r="K635" s="133"/>
    </row>
    <row r="636" customFormat="false" ht="15" hidden="false" customHeight="false" outlineLevel="0" collapsed="false">
      <c r="C636" s="310"/>
      <c r="D636" s="310"/>
      <c r="E636" s="310"/>
      <c r="K636" s="133"/>
    </row>
    <row r="637" customFormat="false" ht="15" hidden="false" customHeight="false" outlineLevel="0" collapsed="false">
      <c r="C637" s="310"/>
      <c r="D637" s="310"/>
      <c r="E637" s="310"/>
      <c r="K637" s="133"/>
    </row>
    <row r="638" customFormat="false" ht="15" hidden="false" customHeight="false" outlineLevel="0" collapsed="false">
      <c r="C638" s="310"/>
      <c r="D638" s="310"/>
      <c r="E638" s="310"/>
      <c r="K638" s="133"/>
    </row>
    <row r="639" customFormat="false" ht="15" hidden="false" customHeight="false" outlineLevel="0" collapsed="false">
      <c r="C639" s="310"/>
      <c r="D639" s="310"/>
      <c r="E639" s="310"/>
      <c r="K639" s="133"/>
    </row>
    <row r="640" customFormat="false" ht="15" hidden="false" customHeight="false" outlineLevel="0" collapsed="false">
      <c r="C640" s="310"/>
      <c r="D640" s="310"/>
      <c r="E640" s="310"/>
      <c r="K640" s="133"/>
    </row>
    <row r="641" customFormat="false" ht="15" hidden="false" customHeight="false" outlineLevel="0" collapsed="false">
      <c r="C641" s="310"/>
      <c r="D641" s="310"/>
      <c r="E641" s="310"/>
      <c r="K641" s="133"/>
    </row>
    <row r="642" customFormat="false" ht="15" hidden="false" customHeight="false" outlineLevel="0" collapsed="false">
      <c r="C642" s="310"/>
      <c r="D642" s="310"/>
      <c r="E642" s="310"/>
      <c r="K642" s="133"/>
    </row>
    <row r="643" customFormat="false" ht="15" hidden="false" customHeight="false" outlineLevel="0" collapsed="false">
      <c r="C643" s="310"/>
      <c r="D643" s="310"/>
      <c r="E643" s="310"/>
      <c r="K643" s="133"/>
    </row>
    <row r="644" customFormat="false" ht="15" hidden="false" customHeight="false" outlineLevel="0" collapsed="false">
      <c r="C644" s="310"/>
      <c r="D644" s="310"/>
      <c r="E644" s="310"/>
      <c r="K644" s="133"/>
    </row>
    <row r="645" customFormat="false" ht="15" hidden="false" customHeight="false" outlineLevel="0" collapsed="false">
      <c r="C645" s="310"/>
      <c r="D645" s="310"/>
      <c r="E645" s="310"/>
      <c r="K645" s="133"/>
    </row>
    <row r="646" customFormat="false" ht="15" hidden="false" customHeight="false" outlineLevel="0" collapsed="false">
      <c r="C646" s="310"/>
      <c r="D646" s="310"/>
      <c r="E646" s="310"/>
      <c r="K646" s="133"/>
    </row>
    <row r="647" customFormat="false" ht="15" hidden="false" customHeight="false" outlineLevel="0" collapsed="false">
      <c r="C647" s="310"/>
      <c r="D647" s="310"/>
      <c r="E647" s="310"/>
      <c r="K647" s="133"/>
    </row>
    <row r="648" customFormat="false" ht="15" hidden="false" customHeight="false" outlineLevel="0" collapsed="false">
      <c r="C648" s="310"/>
      <c r="D648" s="310"/>
      <c r="E648" s="310"/>
      <c r="K648" s="133"/>
    </row>
    <row r="649" customFormat="false" ht="15" hidden="false" customHeight="false" outlineLevel="0" collapsed="false">
      <c r="C649" s="310"/>
      <c r="D649" s="310"/>
      <c r="E649" s="310"/>
      <c r="K649" s="133"/>
    </row>
    <row r="650" customFormat="false" ht="15" hidden="false" customHeight="false" outlineLevel="0" collapsed="false">
      <c r="C650" s="310"/>
      <c r="D650" s="310"/>
      <c r="E650" s="310"/>
      <c r="K650" s="133"/>
    </row>
    <row r="651" customFormat="false" ht="15" hidden="false" customHeight="false" outlineLevel="0" collapsed="false">
      <c r="C651" s="310"/>
      <c r="D651" s="310"/>
      <c r="E651" s="310"/>
      <c r="K651" s="133"/>
    </row>
    <row r="652" customFormat="false" ht="15" hidden="false" customHeight="false" outlineLevel="0" collapsed="false">
      <c r="C652" s="310"/>
      <c r="D652" s="310"/>
      <c r="E652" s="310"/>
      <c r="K652" s="133"/>
    </row>
    <row r="653" customFormat="false" ht="15" hidden="false" customHeight="false" outlineLevel="0" collapsed="false">
      <c r="C653" s="310"/>
      <c r="D653" s="310"/>
      <c r="E653" s="310"/>
      <c r="K653" s="133"/>
    </row>
    <row r="654" customFormat="false" ht="15" hidden="false" customHeight="false" outlineLevel="0" collapsed="false">
      <c r="C654" s="310"/>
      <c r="D654" s="310"/>
      <c r="E654" s="310"/>
      <c r="K654" s="133"/>
    </row>
    <row r="655" customFormat="false" ht="15" hidden="false" customHeight="false" outlineLevel="0" collapsed="false">
      <c r="C655" s="310"/>
      <c r="D655" s="310"/>
      <c r="E655" s="310"/>
      <c r="K655" s="133"/>
    </row>
    <row r="656" customFormat="false" ht="15" hidden="false" customHeight="false" outlineLevel="0" collapsed="false">
      <c r="C656" s="310"/>
      <c r="D656" s="310"/>
      <c r="E656" s="310"/>
      <c r="K656" s="133"/>
    </row>
    <row r="657" customFormat="false" ht="15" hidden="false" customHeight="false" outlineLevel="0" collapsed="false">
      <c r="C657" s="310"/>
      <c r="D657" s="310"/>
      <c r="E657" s="310"/>
      <c r="K657" s="133"/>
    </row>
    <row r="658" customFormat="false" ht="15" hidden="false" customHeight="false" outlineLevel="0" collapsed="false">
      <c r="C658" s="310"/>
      <c r="D658" s="310"/>
      <c r="E658" s="310"/>
      <c r="K658" s="133"/>
    </row>
    <row r="659" customFormat="false" ht="15" hidden="false" customHeight="false" outlineLevel="0" collapsed="false">
      <c r="C659" s="310"/>
      <c r="D659" s="310"/>
      <c r="E659" s="310"/>
      <c r="K659" s="133"/>
    </row>
    <row r="660" customFormat="false" ht="15" hidden="false" customHeight="false" outlineLevel="0" collapsed="false">
      <c r="C660" s="310"/>
      <c r="D660" s="310"/>
      <c r="E660" s="310"/>
      <c r="K660" s="133"/>
    </row>
    <row r="661" customFormat="false" ht="15" hidden="false" customHeight="false" outlineLevel="0" collapsed="false">
      <c r="C661" s="310"/>
      <c r="D661" s="310"/>
      <c r="E661" s="310"/>
      <c r="K661" s="133"/>
    </row>
    <row r="662" customFormat="false" ht="15" hidden="false" customHeight="false" outlineLevel="0" collapsed="false">
      <c r="C662" s="310"/>
      <c r="D662" s="310"/>
      <c r="E662" s="310"/>
      <c r="K662" s="133"/>
    </row>
    <row r="663" customFormat="false" ht="15" hidden="false" customHeight="false" outlineLevel="0" collapsed="false">
      <c r="C663" s="310"/>
      <c r="D663" s="310"/>
      <c r="E663" s="310"/>
      <c r="K663" s="133"/>
    </row>
    <row r="664" customFormat="false" ht="15" hidden="false" customHeight="false" outlineLevel="0" collapsed="false">
      <c r="C664" s="310"/>
      <c r="D664" s="310"/>
      <c r="E664" s="310"/>
      <c r="K664" s="133"/>
    </row>
    <row r="665" customFormat="false" ht="15" hidden="false" customHeight="false" outlineLevel="0" collapsed="false">
      <c r="C665" s="310"/>
      <c r="D665" s="310"/>
      <c r="E665" s="310"/>
      <c r="K665" s="133"/>
    </row>
    <row r="666" customFormat="false" ht="15" hidden="false" customHeight="false" outlineLevel="0" collapsed="false">
      <c r="C666" s="310"/>
      <c r="D666" s="310"/>
      <c r="E666" s="310"/>
      <c r="K666" s="133"/>
    </row>
    <row r="667" customFormat="false" ht="15" hidden="false" customHeight="false" outlineLevel="0" collapsed="false">
      <c r="C667" s="310"/>
      <c r="D667" s="310"/>
      <c r="E667" s="310"/>
      <c r="K667" s="133"/>
    </row>
    <row r="668" customFormat="false" ht="15" hidden="false" customHeight="false" outlineLevel="0" collapsed="false">
      <c r="C668" s="310"/>
      <c r="D668" s="310"/>
      <c r="E668" s="310"/>
      <c r="K668" s="133"/>
    </row>
    <row r="669" customFormat="false" ht="15" hidden="false" customHeight="false" outlineLevel="0" collapsed="false">
      <c r="C669" s="310"/>
      <c r="D669" s="310"/>
      <c r="E669" s="310"/>
      <c r="K669" s="133"/>
    </row>
    <row r="670" customFormat="false" ht="15" hidden="false" customHeight="false" outlineLevel="0" collapsed="false">
      <c r="C670" s="310"/>
      <c r="D670" s="310"/>
      <c r="E670" s="310"/>
      <c r="K670" s="133"/>
    </row>
    <row r="671" customFormat="false" ht="15" hidden="false" customHeight="false" outlineLevel="0" collapsed="false">
      <c r="C671" s="310"/>
      <c r="D671" s="310"/>
      <c r="E671" s="310"/>
      <c r="K671" s="133"/>
    </row>
    <row r="672" customFormat="false" ht="15" hidden="false" customHeight="false" outlineLevel="0" collapsed="false">
      <c r="C672" s="310"/>
      <c r="D672" s="310"/>
      <c r="E672" s="310"/>
      <c r="K672" s="133"/>
    </row>
    <row r="673" customFormat="false" ht="15" hidden="false" customHeight="false" outlineLevel="0" collapsed="false">
      <c r="C673" s="310"/>
      <c r="D673" s="310"/>
      <c r="E673" s="310"/>
      <c r="K673" s="133"/>
    </row>
    <row r="674" customFormat="false" ht="15" hidden="false" customHeight="false" outlineLevel="0" collapsed="false">
      <c r="C674" s="310"/>
      <c r="D674" s="310"/>
      <c r="E674" s="310"/>
      <c r="K674" s="133"/>
    </row>
    <row r="675" customFormat="false" ht="15" hidden="false" customHeight="false" outlineLevel="0" collapsed="false">
      <c r="C675" s="310"/>
      <c r="D675" s="310"/>
      <c r="E675" s="310"/>
      <c r="K675" s="133"/>
    </row>
    <row r="676" customFormat="false" ht="15" hidden="false" customHeight="false" outlineLevel="0" collapsed="false">
      <c r="C676" s="310"/>
      <c r="D676" s="310"/>
      <c r="E676" s="310"/>
      <c r="K676" s="133"/>
    </row>
    <row r="677" customFormat="false" ht="15" hidden="false" customHeight="false" outlineLevel="0" collapsed="false">
      <c r="C677" s="310"/>
      <c r="D677" s="310"/>
      <c r="E677" s="310"/>
      <c r="K677" s="133"/>
    </row>
    <row r="678" customFormat="false" ht="15" hidden="false" customHeight="false" outlineLevel="0" collapsed="false">
      <c r="C678" s="310"/>
      <c r="D678" s="310"/>
      <c r="E678" s="310"/>
      <c r="K678" s="133"/>
    </row>
    <row r="679" customFormat="false" ht="15" hidden="false" customHeight="false" outlineLevel="0" collapsed="false">
      <c r="C679" s="310"/>
      <c r="D679" s="310"/>
      <c r="E679" s="310"/>
      <c r="K679" s="133"/>
    </row>
    <row r="680" customFormat="false" ht="15" hidden="false" customHeight="false" outlineLevel="0" collapsed="false">
      <c r="C680" s="310"/>
      <c r="D680" s="310"/>
      <c r="E680" s="310"/>
      <c r="K680" s="133"/>
    </row>
    <row r="681" customFormat="false" ht="15" hidden="false" customHeight="false" outlineLevel="0" collapsed="false">
      <c r="C681" s="310"/>
      <c r="D681" s="310"/>
      <c r="E681" s="310"/>
      <c r="K681" s="133"/>
    </row>
    <row r="682" customFormat="false" ht="15" hidden="false" customHeight="false" outlineLevel="0" collapsed="false">
      <c r="C682" s="310"/>
      <c r="D682" s="310"/>
      <c r="E682" s="310"/>
      <c r="K682" s="133"/>
    </row>
    <row r="683" customFormat="false" ht="15" hidden="false" customHeight="false" outlineLevel="0" collapsed="false">
      <c r="C683" s="310"/>
      <c r="D683" s="310"/>
      <c r="E683" s="310"/>
      <c r="K683" s="133"/>
    </row>
    <row r="684" customFormat="false" ht="15" hidden="false" customHeight="false" outlineLevel="0" collapsed="false">
      <c r="C684" s="310"/>
      <c r="D684" s="310"/>
      <c r="E684" s="310"/>
      <c r="K684" s="133"/>
    </row>
    <row r="685" customFormat="false" ht="15" hidden="false" customHeight="false" outlineLevel="0" collapsed="false">
      <c r="C685" s="310"/>
      <c r="D685" s="310"/>
      <c r="E685" s="310"/>
      <c r="K685" s="133"/>
    </row>
    <row r="686" customFormat="false" ht="15" hidden="false" customHeight="false" outlineLevel="0" collapsed="false">
      <c r="C686" s="310"/>
      <c r="D686" s="310"/>
      <c r="E686" s="310"/>
      <c r="K686" s="133"/>
    </row>
    <row r="687" customFormat="false" ht="15" hidden="false" customHeight="false" outlineLevel="0" collapsed="false">
      <c r="C687" s="310"/>
      <c r="D687" s="310"/>
      <c r="E687" s="310"/>
      <c r="K687" s="133"/>
    </row>
    <row r="688" customFormat="false" ht="15" hidden="false" customHeight="false" outlineLevel="0" collapsed="false">
      <c r="C688" s="310"/>
      <c r="D688" s="310"/>
      <c r="E688" s="310"/>
      <c r="K688" s="133"/>
    </row>
    <row r="689" customFormat="false" ht="15" hidden="false" customHeight="false" outlineLevel="0" collapsed="false">
      <c r="C689" s="310"/>
      <c r="D689" s="310"/>
      <c r="E689" s="310"/>
      <c r="K689" s="133"/>
    </row>
    <row r="690" customFormat="false" ht="15" hidden="false" customHeight="false" outlineLevel="0" collapsed="false">
      <c r="C690" s="310"/>
      <c r="D690" s="310"/>
      <c r="E690" s="310"/>
      <c r="K690" s="133"/>
    </row>
    <row r="691" customFormat="false" ht="15" hidden="false" customHeight="false" outlineLevel="0" collapsed="false">
      <c r="C691" s="310"/>
      <c r="D691" s="310"/>
      <c r="E691" s="310"/>
      <c r="K691" s="133"/>
    </row>
    <row r="692" customFormat="false" ht="15" hidden="false" customHeight="false" outlineLevel="0" collapsed="false">
      <c r="C692" s="310"/>
      <c r="D692" s="310"/>
      <c r="E692" s="310"/>
      <c r="K692" s="133"/>
    </row>
    <row r="693" customFormat="false" ht="15" hidden="false" customHeight="false" outlineLevel="0" collapsed="false">
      <c r="C693" s="310"/>
      <c r="D693" s="310"/>
      <c r="E693" s="310"/>
      <c r="K693" s="133"/>
    </row>
    <row r="694" customFormat="false" ht="15" hidden="false" customHeight="false" outlineLevel="0" collapsed="false">
      <c r="C694" s="310"/>
      <c r="D694" s="310"/>
      <c r="E694" s="310"/>
      <c r="K694" s="133"/>
    </row>
    <row r="695" customFormat="false" ht="15" hidden="false" customHeight="false" outlineLevel="0" collapsed="false">
      <c r="C695" s="310"/>
      <c r="D695" s="310"/>
      <c r="E695" s="310"/>
      <c r="K695" s="133"/>
    </row>
    <row r="696" customFormat="false" ht="15" hidden="false" customHeight="false" outlineLevel="0" collapsed="false">
      <c r="C696" s="310"/>
      <c r="D696" s="310"/>
      <c r="E696" s="310"/>
      <c r="K696" s="133"/>
    </row>
    <row r="697" customFormat="false" ht="15" hidden="false" customHeight="false" outlineLevel="0" collapsed="false">
      <c r="C697" s="310"/>
      <c r="D697" s="310"/>
      <c r="E697" s="310"/>
      <c r="K697" s="133"/>
    </row>
    <row r="698" customFormat="false" ht="15" hidden="false" customHeight="false" outlineLevel="0" collapsed="false">
      <c r="C698" s="310"/>
      <c r="D698" s="310"/>
      <c r="E698" s="310"/>
      <c r="K698" s="133"/>
    </row>
    <row r="699" customFormat="false" ht="15" hidden="false" customHeight="false" outlineLevel="0" collapsed="false">
      <c r="C699" s="310"/>
      <c r="D699" s="310"/>
      <c r="E699" s="310"/>
      <c r="K699" s="133"/>
    </row>
    <row r="700" customFormat="false" ht="15" hidden="false" customHeight="false" outlineLevel="0" collapsed="false">
      <c r="C700" s="310"/>
      <c r="D700" s="310"/>
      <c r="E700" s="310"/>
      <c r="K700" s="133"/>
    </row>
    <row r="701" customFormat="false" ht="15" hidden="false" customHeight="false" outlineLevel="0" collapsed="false">
      <c r="C701" s="310"/>
      <c r="D701" s="310"/>
      <c r="E701" s="310"/>
      <c r="K701" s="133"/>
    </row>
    <row r="702" customFormat="false" ht="15" hidden="false" customHeight="false" outlineLevel="0" collapsed="false">
      <c r="C702" s="310"/>
      <c r="D702" s="310"/>
      <c r="E702" s="310"/>
      <c r="K702" s="133"/>
    </row>
    <row r="703" customFormat="false" ht="15" hidden="false" customHeight="false" outlineLevel="0" collapsed="false">
      <c r="C703" s="310"/>
      <c r="D703" s="310"/>
      <c r="E703" s="310"/>
      <c r="K703" s="133"/>
    </row>
    <row r="704" customFormat="false" ht="15" hidden="false" customHeight="false" outlineLevel="0" collapsed="false">
      <c r="C704" s="310"/>
      <c r="D704" s="310"/>
      <c r="E704" s="310"/>
      <c r="K704" s="133"/>
    </row>
    <row r="705" customFormat="false" ht="15" hidden="false" customHeight="false" outlineLevel="0" collapsed="false">
      <c r="C705" s="310"/>
      <c r="D705" s="310"/>
      <c r="E705" s="310"/>
      <c r="K705" s="133"/>
    </row>
    <row r="706" customFormat="false" ht="15" hidden="false" customHeight="false" outlineLevel="0" collapsed="false">
      <c r="C706" s="310"/>
      <c r="D706" s="310"/>
      <c r="E706" s="310"/>
      <c r="K706" s="133"/>
    </row>
    <row r="707" customFormat="false" ht="15" hidden="false" customHeight="false" outlineLevel="0" collapsed="false">
      <c r="C707" s="310"/>
      <c r="D707" s="310"/>
      <c r="E707" s="310"/>
      <c r="K707" s="133"/>
    </row>
    <row r="708" customFormat="false" ht="15" hidden="false" customHeight="false" outlineLevel="0" collapsed="false">
      <c r="C708" s="310"/>
      <c r="D708" s="310"/>
      <c r="E708" s="310"/>
      <c r="K708" s="133"/>
    </row>
    <row r="709" customFormat="false" ht="15" hidden="false" customHeight="false" outlineLevel="0" collapsed="false">
      <c r="C709" s="310"/>
      <c r="D709" s="310"/>
      <c r="E709" s="310"/>
      <c r="K709" s="133"/>
    </row>
    <row r="710" customFormat="false" ht="15" hidden="false" customHeight="false" outlineLevel="0" collapsed="false">
      <c r="C710" s="310"/>
      <c r="D710" s="310"/>
      <c r="E710" s="310"/>
      <c r="K710" s="133"/>
    </row>
    <row r="711" customFormat="false" ht="15" hidden="false" customHeight="false" outlineLevel="0" collapsed="false">
      <c r="C711" s="310"/>
      <c r="D711" s="310"/>
      <c r="E711" s="310"/>
      <c r="K711" s="133"/>
    </row>
    <row r="712" customFormat="false" ht="15" hidden="false" customHeight="false" outlineLevel="0" collapsed="false">
      <c r="C712" s="310"/>
      <c r="D712" s="310"/>
      <c r="E712" s="310"/>
      <c r="K712" s="133"/>
    </row>
    <row r="713" customFormat="false" ht="15" hidden="false" customHeight="false" outlineLevel="0" collapsed="false">
      <c r="C713" s="310"/>
      <c r="D713" s="310"/>
      <c r="E713" s="310"/>
      <c r="K713" s="133"/>
    </row>
    <row r="714" customFormat="false" ht="15" hidden="false" customHeight="false" outlineLevel="0" collapsed="false">
      <c r="C714" s="310"/>
      <c r="D714" s="310"/>
      <c r="E714" s="310"/>
      <c r="K714" s="133"/>
    </row>
    <row r="715" customFormat="false" ht="15" hidden="false" customHeight="false" outlineLevel="0" collapsed="false">
      <c r="C715" s="310"/>
      <c r="D715" s="310"/>
      <c r="E715" s="310"/>
      <c r="K715" s="133"/>
    </row>
    <row r="716" customFormat="false" ht="15" hidden="false" customHeight="false" outlineLevel="0" collapsed="false">
      <c r="C716" s="310"/>
      <c r="D716" s="310"/>
      <c r="E716" s="310"/>
      <c r="K716" s="133"/>
    </row>
    <row r="717" customFormat="false" ht="15" hidden="false" customHeight="false" outlineLevel="0" collapsed="false">
      <c r="C717" s="310"/>
      <c r="D717" s="310"/>
      <c r="E717" s="310"/>
      <c r="K717" s="133"/>
    </row>
    <row r="718" customFormat="false" ht="15" hidden="false" customHeight="false" outlineLevel="0" collapsed="false">
      <c r="C718" s="310"/>
      <c r="D718" s="310"/>
      <c r="E718" s="310"/>
      <c r="K718" s="133"/>
    </row>
    <row r="719" customFormat="false" ht="15" hidden="false" customHeight="false" outlineLevel="0" collapsed="false">
      <c r="C719" s="310"/>
      <c r="D719" s="310"/>
      <c r="E719" s="310"/>
      <c r="K719" s="133"/>
    </row>
    <row r="720" customFormat="false" ht="15" hidden="false" customHeight="false" outlineLevel="0" collapsed="false">
      <c r="C720" s="310"/>
      <c r="D720" s="310"/>
      <c r="E720" s="310"/>
      <c r="K720" s="133"/>
    </row>
    <row r="721" customFormat="false" ht="15" hidden="false" customHeight="false" outlineLevel="0" collapsed="false">
      <c r="C721" s="310"/>
      <c r="D721" s="310"/>
      <c r="E721" s="310"/>
      <c r="K721" s="133"/>
    </row>
    <row r="722" customFormat="false" ht="15" hidden="false" customHeight="false" outlineLevel="0" collapsed="false">
      <c r="C722" s="310"/>
      <c r="D722" s="310"/>
      <c r="E722" s="310"/>
      <c r="K722" s="133"/>
    </row>
    <row r="723" customFormat="false" ht="15" hidden="false" customHeight="false" outlineLevel="0" collapsed="false">
      <c r="C723" s="310"/>
      <c r="D723" s="310"/>
      <c r="E723" s="310"/>
      <c r="K723" s="133"/>
    </row>
    <row r="724" customFormat="false" ht="15" hidden="false" customHeight="false" outlineLevel="0" collapsed="false">
      <c r="C724" s="310"/>
      <c r="D724" s="310"/>
      <c r="E724" s="310"/>
      <c r="K724" s="133"/>
    </row>
    <row r="725" customFormat="false" ht="15" hidden="false" customHeight="false" outlineLevel="0" collapsed="false">
      <c r="C725" s="310"/>
      <c r="D725" s="310"/>
      <c r="E725" s="310"/>
      <c r="K725" s="133"/>
    </row>
    <row r="726" customFormat="false" ht="15" hidden="false" customHeight="false" outlineLevel="0" collapsed="false">
      <c r="C726" s="310"/>
      <c r="D726" s="310"/>
      <c r="E726" s="310"/>
      <c r="K726" s="133"/>
    </row>
    <row r="727" customFormat="false" ht="15" hidden="false" customHeight="false" outlineLevel="0" collapsed="false">
      <c r="C727" s="310"/>
      <c r="D727" s="310"/>
      <c r="E727" s="310"/>
      <c r="K727" s="133"/>
    </row>
    <row r="728" customFormat="false" ht="15" hidden="false" customHeight="false" outlineLevel="0" collapsed="false">
      <c r="C728" s="310"/>
      <c r="D728" s="310"/>
      <c r="E728" s="310"/>
      <c r="K728" s="133"/>
    </row>
    <row r="729" customFormat="false" ht="15" hidden="false" customHeight="false" outlineLevel="0" collapsed="false">
      <c r="C729" s="310"/>
      <c r="D729" s="310"/>
      <c r="E729" s="310"/>
      <c r="K729" s="133"/>
    </row>
    <row r="730" customFormat="false" ht="15" hidden="false" customHeight="false" outlineLevel="0" collapsed="false">
      <c r="C730" s="310"/>
      <c r="D730" s="310"/>
      <c r="E730" s="310"/>
      <c r="K730" s="133"/>
    </row>
    <row r="731" customFormat="false" ht="15" hidden="false" customHeight="false" outlineLevel="0" collapsed="false">
      <c r="C731" s="310"/>
      <c r="D731" s="310"/>
      <c r="E731" s="310"/>
      <c r="K731" s="133"/>
    </row>
    <row r="732" customFormat="false" ht="15" hidden="false" customHeight="false" outlineLevel="0" collapsed="false">
      <c r="C732" s="310"/>
      <c r="D732" s="310"/>
      <c r="E732" s="310"/>
      <c r="K732" s="133"/>
    </row>
    <row r="733" customFormat="false" ht="15" hidden="false" customHeight="false" outlineLevel="0" collapsed="false">
      <c r="C733" s="310"/>
      <c r="D733" s="310"/>
      <c r="E733" s="310"/>
      <c r="K733" s="133"/>
    </row>
    <row r="734" customFormat="false" ht="15" hidden="false" customHeight="false" outlineLevel="0" collapsed="false">
      <c r="C734" s="310"/>
      <c r="D734" s="310"/>
      <c r="E734" s="310"/>
      <c r="K734" s="133"/>
    </row>
    <row r="735" customFormat="false" ht="15" hidden="false" customHeight="false" outlineLevel="0" collapsed="false">
      <c r="C735" s="310"/>
      <c r="D735" s="310"/>
      <c r="E735" s="310"/>
      <c r="K735" s="133"/>
    </row>
    <row r="736" customFormat="false" ht="15" hidden="false" customHeight="false" outlineLevel="0" collapsed="false">
      <c r="C736" s="310"/>
      <c r="D736" s="310"/>
      <c r="E736" s="310"/>
      <c r="K736" s="133"/>
    </row>
    <row r="737" customFormat="false" ht="15" hidden="false" customHeight="false" outlineLevel="0" collapsed="false">
      <c r="C737" s="310"/>
      <c r="D737" s="310"/>
      <c r="E737" s="310"/>
      <c r="K737" s="133"/>
    </row>
    <row r="738" customFormat="false" ht="15" hidden="false" customHeight="false" outlineLevel="0" collapsed="false">
      <c r="C738" s="310"/>
      <c r="D738" s="310"/>
      <c r="E738" s="310"/>
      <c r="K738" s="133"/>
    </row>
    <row r="739" customFormat="false" ht="15" hidden="false" customHeight="false" outlineLevel="0" collapsed="false">
      <c r="C739" s="310"/>
      <c r="D739" s="310"/>
      <c r="E739" s="310"/>
      <c r="K739" s="133"/>
    </row>
    <row r="740" customFormat="false" ht="15" hidden="false" customHeight="false" outlineLevel="0" collapsed="false">
      <c r="C740" s="310"/>
      <c r="D740" s="310"/>
      <c r="E740" s="310"/>
      <c r="K740" s="133"/>
    </row>
    <row r="741" customFormat="false" ht="15" hidden="false" customHeight="false" outlineLevel="0" collapsed="false">
      <c r="C741" s="310"/>
      <c r="D741" s="310"/>
      <c r="E741" s="310"/>
      <c r="K741" s="133"/>
    </row>
    <row r="742" customFormat="false" ht="15" hidden="false" customHeight="false" outlineLevel="0" collapsed="false">
      <c r="C742" s="310"/>
      <c r="D742" s="310"/>
      <c r="E742" s="310"/>
      <c r="K742" s="133"/>
    </row>
    <row r="743" customFormat="false" ht="15" hidden="false" customHeight="false" outlineLevel="0" collapsed="false">
      <c r="C743" s="310"/>
      <c r="D743" s="310"/>
      <c r="E743" s="310"/>
      <c r="K743" s="133"/>
    </row>
    <row r="744" customFormat="false" ht="15" hidden="false" customHeight="false" outlineLevel="0" collapsed="false">
      <c r="C744" s="310"/>
      <c r="D744" s="310"/>
      <c r="E744" s="310"/>
      <c r="K744" s="133"/>
    </row>
    <row r="745" customFormat="false" ht="15" hidden="false" customHeight="false" outlineLevel="0" collapsed="false">
      <c r="C745" s="310"/>
      <c r="D745" s="310"/>
      <c r="E745" s="310"/>
      <c r="K745" s="133"/>
    </row>
    <row r="746" customFormat="false" ht="15" hidden="false" customHeight="false" outlineLevel="0" collapsed="false">
      <c r="C746" s="310"/>
      <c r="D746" s="310"/>
      <c r="E746" s="310"/>
      <c r="K746" s="133"/>
    </row>
    <row r="747" customFormat="false" ht="15" hidden="false" customHeight="false" outlineLevel="0" collapsed="false">
      <c r="C747" s="310"/>
      <c r="D747" s="310"/>
      <c r="E747" s="310"/>
      <c r="K747" s="133"/>
    </row>
    <row r="748" customFormat="false" ht="15" hidden="false" customHeight="false" outlineLevel="0" collapsed="false">
      <c r="C748" s="310"/>
      <c r="D748" s="310"/>
      <c r="E748" s="310"/>
      <c r="K748" s="133"/>
    </row>
    <row r="749" customFormat="false" ht="15" hidden="false" customHeight="false" outlineLevel="0" collapsed="false">
      <c r="C749" s="310"/>
      <c r="D749" s="310"/>
      <c r="E749" s="310"/>
      <c r="K749" s="133"/>
    </row>
    <row r="750" customFormat="false" ht="15" hidden="false" customHeight="false" outlineLevel="0" collapsed="false">
      <c r="C750" s="310"/>
      <c r="D750" s="310"/>
      <c r="E750" s="310"/>
      <c r="K750" s="133"/>
    </row>
    <row r="751" customFormat="false" ht="15" hidden="false" customHeight="false" outlineLevel="0" collapsed="false">
      <c r="C751" s="310"/>
      <c r="D751" s="310"/>
      <c r="E751" s="310"/>
      <c r="K751" s="133"/>
    </row>
    <row r="752" customFormat="false" ht="15" hidden="false" customHeight="false" outlineLevel="0" collapsed="false">
      <c r="C752" s="310"/>
      <c r="D752" s="310"/>
      <c r="E752" s="310"/>
      <c r="K752" s="133"/>
    </row>
    <row r="753" customFormat="false" ht="15" hidden="false" customHeight="false" outlineLevel="0" collapsed="false">
      <c r="C753" s="310"/>
      <c r="D753" s="310"/>
      <c r="E753" s="310"/>
      <c r="K753" s="133"/>
    </row>
    <row r="754" customFormat="false" ht="15" hidden="false" customHeight="false" outlineLevel="0" collapsed="false">
      <c r="C754" s="310"/>
      <c r="D754" s="310"/>
      <c r="E754" s="310"/>
      <c r="K754" s="133"/>
    </row>
    <row r="755" customFormat="false" ht="15" hidden="false" customHeight="false" outlineLevel="0" collapsed="false">
      <c r="C755" s="310"/>
      <c r="D755" s="310"/>
      <c r="E755" s="310"/>
      <c r="K755" s="133"/>
    </row>
    <row r="756" customFormat="false" ht="15" hidden="false" customHeight="false" outlineLevel="0" collapsed="false">
      <c r="C756" s="310"/>
      <c r="D756" s="310"/>
      <c r="E756" s="310"/>
      <c r="K756" s="133"/>
    </row>
    <row r="757" customFormat="false" ht="15" hidden="false" customHeight="false" outlineLevel="0" collapsed="false">
      <c r="C757" s="310"/>
      <c r="D757" s="310"/>
      <c r="E757" s="310"/>
      <c r="K757" s="133"/>
    </row>
    <row r="758" customFormat="false" ht="15" hidden="false" customHeight="false" outlineLevel="0" collapsed="false">
      <c r="C758" s="310"/>
      <c r="D758" s="310"/>
      <c r="E758" s="310"/>
      <c r="K758" s="133"/>
    </row>
    <row r="759" customFormat="false" ht="15" hidden="false" customHeight="false" outlineLevel="0" collapsed="false">
      <c r="C759" s="310"/>
      <c r="D759" s="310"/>
      <c r="E759" s="310"/>
      <c r="K759" s="133"/>
    </row>
    <row r="760" customFormat="false" ht="15" hidden="false" customHeight="false" outlineLevel="0" collapsed="false">
      <c r="C760" s="310"/>
      <c r="D760" s="310"/>
      <c r="E760" s="310"/>
      <c r="K760" s="133"/>
    </row>
    <row r="761" customFormat="false" ht="15" hidden="false" customHeight="false" outlineLevel="0" collapsed="false">
      <c r="C761" s="310"/>
      <c r="D761" s="310"/>
      <c r="E761" s="310"/>
      <c r="K761" s="133"/>
    </row>
    <row r="762" customFormat="false" ht="15" hidden="false" customHeight="false" outlineLevel="0" collapsed="false">
      <c r="C762" s="310"/>
      <c r="D762" s="310"/>
      <c r="E762" s="310"/>
      <c r="K762" s="133"/>
    </row>
    <row r="763" customFormat="false" ht="15" hidden="false" customHeight="false" outlineLevel="0" collapsed="false">
      <c r="C763" s="310"/>
      <c r="D763" s="310"/>
      <c r="E763" s="310"/>
      <c r="K763" s="133"/>
    </row>
    <row r="764" customFormat="false" ht="15" hidden="false" customHeight="false" outlineLevel="0" collapsed="false">
      <c r="C764" s="310"/>
      <c r="D764" s="310"/>
      <c r="E764" s="310"/>
      <c r="K764" s="133"/>
    </row>
    <row r="765" customFormat="false" ht="15" hidden="false" customHeight="false" outlineLevel="0" collapsed="false">
      <c r="C765" s="310"/>
      <c r="D765" s="310"/>
      <c r="E765" s="310"/>
      <c r="K765" s="133"/>
    </row>
    <row r="766" customFormat="false" ht="15" hidden="false" customHeight="false" outlineLevel="0" collapsed="false">
      <c r="C766" s="310"/>
      <c r="D766" s="310"/>
      <c r="E766" s="310"/>
      <c r="K766" s="133"/>
    </row>
    <row r="767" customFormat="false" ht="15" hidden="false" customHeight="false" outlineLevel="0" collapsed="false">
      <c r="C767" s="310"/>
      <c r="D767" s="310"/>
      <c r="E767" s="310"/>
      <c r="K767" s="133"/>
    </row>
    <row r="768" customFormat="false" ht="15" hidden="false" customHeight="false" outlineLevel="0" collapsed="false">
      <c r="C768" s="310"/>
      <c r="D768" s="310"/>
      <c r="E768" s="310"/>
      <c r="K768" s="133"/>
    </row>
    <row r="769" customFormat="false" ht="15" hidden="false" customHeight="false" outlineLevel="0" collapsed="false">
      <c r="C769" s="310"/>
      <c r="D769" s="310"/>
      <c r="E769" s="310"/>
      <c r="K769" s="133"/>
    </row>
    <row r="770" customFormat="false" ht="15" hidden="false" customHeight="false" outlineLevel="0" collapsed="false">
      <c r="C770" s="310"/>
      <c r="D770" s="310"/>
      <c r="E770" s="310"/>
      <c r="K770" s="133"/>
    </row>
    <row r="771" customFormat="false" ht="15" hidden="false" customHeight="false" outlineLevel="0" collapsed="false">
      <c r="C771" s="310"/>
      <c r="D771" s="310"/>
      <c r="E771" s="310"/>
      <c r="K771" s="133"/>
    </row>
    <row r="772" customFormat="false" ht="15" hidden="false" customHeight="false" outlineLevel="0" collapsed="false">
      <c r="C772" s="310"/>
      <c r="D772" s="310"/>
      <c r="E772" s="310"/>
      <c r="K772" s="133"/>
    </row>
    <row r="773" customFormat="false" ht="15" hidden="false" customHeight="false" outlineLevel="0" collapsed="false">
      <c r="C773" s="310"/>
      <c r="D773" s="310"/>
      <c r="E773" s="310"/>
      <c r="K773" s="133"/>
    </row>
    <row r="774" customFormat="false" ht="15" hidden="false" customHeight="false" outlineLevel="0" collapsed="false">
      <c r="C774" s="310"/>
      <c r="D774" s="310"/>
      <c r="E774" s="310"/>
      <c r="K774" s="133"/>
    </row>
    <row r="775" customFormat="false" ht="15" hidden="false" customHeight="false" outlineLevel="0" collapsed="false">
      <c r="C775" s="310"/>
      <c r="D775" s="310"/>
      <c r="E775" s="310"/>
      <c r="K775" s="133"/>
    </row>
    <row r="776" customFormat="false" ht="15" hidden="false" customHeight="false" outlineLevel="0" collapsed="false">
      <c r="C776" s="310"/>
      <c r="D776" s="310"/>
      <c r="E776" s="310"/>
      <c r="K776" s="133"/>
    </row>
    <row r="777" customFormat="false" ht="15" hidden="false" customHeight="false" outlineLevel="0" collapsed="false">
      <c r="C777" s="310"/>
      <c r="D777" s="310"/>
      <c r="E777" s="310"/>
      <c r="K777" s="133"/>
    </row>
    <row r="778" customFormat="false" ht="15" hidden="false" customHeight="false" outlineLevel="0" collapsed="false">
      <c r="C778" s="310"/>
      <c r="D778" s="310"/>
      <c r="E778" s="310"/>
      <c r="K778" s="133"/>
    </row>
    <row r="779" customFormat="false" ht="15" hidden="false" customHeight="false" outlineLevel="0" collapsed="false">
      <c r="C779" s="310"/>
      <c r="D779" s="310"/>
      <c r="E779" s="310"/>
      <c r="K779" s="133"/>
    </row>
    <row r="780" customFormat="false" ht="15" hidden="false" customHeight="false" outlineLevel="0" collapsed="false">
      <c r="C780" s="310"/>
      <c r="D780" s="310"/>
      <c r="E780" s="310"/>
      <c r="K780" s="133"/>
    </row>
    <row r="781" customFormat="false" ht="15" hidden="false" customHeight="false" outlineLevel="0" collapsed="false">
      <c r="C781" s="310"/>
      <c r="D781" s="310"/>
      <c r="E781" s="310"/>
      <c r="K781" s="133"/>
    </row>
    <row r="782" customFormat="false" ht="15" hidden="false" customHeight="false" outlineLevel="0" collapsed="false">
      <c r="C782" s="310"/>
      <c r="D782" s="310"/>
      <c r="E782" s="310"/>
      <c r="K782" s="133"/>
    </row>
    <row r="783" customFormat="false" ht="15" hidden="false" customHeight="false" outlineLevel="0" collapsed="false">
      <c r="C783" s="310"/>
      <c r="D783" s="310"/>
      <c r="E783" s="310"/>
      <c r="K783" s="133"/>
    </row>
    <row r="784" customFormat="false" ht="15" hidden="false" customHeight="false" outlineLevel="0" collapsed="false">
      <c r="C784" s="310"/>
      <c r="D784" s="310"/>
      <c r="E784" s="310"/>
      <c r="K784" s="133"/>
    </row>
    <row r="785" customFormat="false" ht="15" hidden="false" customHeight="false" outlineLevel="0" collapsed="false">
      <c r="C785" s="310"/>
      <c r="D785" s="310"/>
      <c r="E785" s="310"/>
      <c r="K785" s="133"/>
    </row>
    <row r="786" customFormat="false" ht="15" hidden="false" customHeight="false" outlineLevel="0" collapsed="false">
      <c r="C786" s="310"/>
      <c r="D786" s="310"/>
      <c r="E786" s="310"/>
      <c r="K786" s="133"/>
    </row>
    <row r="787" customFormat="false" ht="15" hidden="false" customHeight="false" outlineLevel="0" collapsed="false">
      <c r="C787" s="310"/>
      <c r="D787" s="310"/>
      <c r="E787" s="310"/>
      <c r="K787" s="133"/>
    </row>
    <row r="788" customFormat="false" ht="15" hidden="false" customHeight="false" outlineLevel="0" collapsed="false">
      <c r="C788" s="310"/>
      <c r="D788" s="310"/>
      <c r="E788" s="310"/>
      <c r="K788" s="133"/>
    </row>
    <row r="789" customFormat="false" ht="15" hidden="false" customHeight="false" outlineLevel="0" collapsed="false">
      <c r="C789" s="310"/>
      <c r="D789" s="310"/>
      <c r="E789" s="310"/>
      <c r="K789" s="133"/>
    </row>
    <row r="790" customFormat="false" ht="15" hidden="false" customHeight="false" outlineLevel="0" collapsed="false">
      <c r="C790" s="310"/>
      <c r="D790" s="310"/>
      <c r="E790" s="310"/>
      <c r="K790" s="133"/>
    </row>
    <row r="791" customFormat="false" ht="15" hidden="false" customHeight="false" outlineLevel="0" collapsed="false">
      <c r="C791" s="310"/>
      <c r="D791" s="310"/>
      <c r="E791" s="310"/>
      <c r="K791" s="133"/>
    </row>
    <row r="792" customFormat="false" ht="15" hidden="false" customHeight="false" outlineLevel="0" collapsed="false">
      <c r="C792" s="310"/>
      <c r="D792" s="310"/>
      <c r="E792" s="310"/>
      <c r="K792" s="133"/>
    </row>
    <row r="793" customFormat="false" ht="15" hidden="false" customHeight="false" outlineLevel="0" collapsed="false">
      <c r="C793" s="310"/>
      <c r="D793" s="310"/>
      <c r="E793" s="310"/>
      <c r="K793" s="133"/>
    </row>
    <row r="794" customFormat="false" ht="15" hidden="false" customHeight="false" outlineLevel="0" collapsed="false">
      <c r="C794" s="310"/>
      <c r="D794" s="310"/>
      <c r="E794" s="310"/>
      <c r="K794" s="133"/>
    </row>
    <row r="795" customFormat="false" ht="15" hidden="false" customHeight="false" outlineLevel="0" collapsed="false">
      <c r="C795" s="310"/>
      <c r="D795" s="310"/>
      <c r="E795" s="310"/>
      <c r="K795" s="133"/>
    </row>
    <row r="796" customFormat="false" ht="15" hidden="false" customHeight="false" outlineLevel="0" collapsed="false">
      <c r="C796" s="310"/>
      <c r="D796" s="310"/>
      <c r="E796" s="310"/>
      <c r="K796" s="133"/>
    </row>
    <row r="797" customFormat="false" ht="15" hidden="false" customHeight="false" outlineLevel="0" collapsed="false">
      <c r="C797" s="310"/>
      <c r="D797" s="310"/>
      <c r="E797" s="310"/>
      <c r="K797" s="133"/>
    </row>
    <row r="798" customFormat="false" ht="15" hidden="false" customHeight="false" outlineLevel="0" collapsed="false">
      <c r="C798" s="310"/>
      <c r="D798" s="310"/>
      <c r="E798" s="310"/>
      <c r="K798" s="133"/>
    </row>
    <row r="799" customFormat="false" ht="15" hidden="false" customHeight="false" outlineLevel="0" collapsed="false">
      <c r="C799" s="310"/>
      <c r="D799" s="310"/>
      <c r="E799" s="310"/>
      <c r="K799" s="133"/>
    </row>
    <row r="800" customFormat="false" ht="15" hidden="false" customHeight="false" outlineLevel="0" collapsed="false">
      <c r="C800" s="310"/>
      <c r="D800" s="310"/>
      <c r="E800" s="310"/>
      <c r="K800" s="133"/>
    </row>
    <row r="801" customFormat="false" ht="15" hidden="false" customHeight="false" outlineLevel="0" collapsed="false">
      <c r="C801" s="310"/>
      <c r="D801" s="310"/>
      <c r="E801" s="310"/>
      <c r="K801" s="133"/>
    </row>
    <row r="802" customFormat="false" ht="15" hidden="false" customHeight="false" outlineLevel="0" collapsed="false">
      <c r="C802" s="310"/>
      <c r="D802" s="310"/>
      <c r="E802" s="310"/>
      <c r="K802" s="133"/>
    </row>
    <row r="803" customFormat="false" ht="15" hidden="false" customHeight="false" outlineLevel="0" collapsed="false">
      <c r="C803" s="310"/>
      <c r="D803" s="310"/>
      <c r="E803" s="310"/>
      <c r="K803" s="133"/>
    </row>
    <row r="804" customFormat="false" ht="15" hidden="false" customHeight="false" outlineLevel="0" collapsed="false">
      <c r="C804" s="310"/>
      <c r="D804" s="310"/>
      <c r="E804" s="310"/>
      <c r="K804" s="133"/>
    </row>
    <row r="805" customFormat="false" ht="15" hidden="false" customHeight="false" outlineLevel="0" collapsed="false">
      <c r="C805" s="310"/>
      <c r="D805" s="310"/>
      <c r="E805" s="310"/>
      <c r="K805" s="133"/>
    </row>
    <row r="806" customFormat="false" ht="15" hidden="false" customHeight="false" outlineLevel="0" collapsed="false">
      <c r="C806" s="310"/>
      <c r="D806" s="310"/>
      <c r="E806" s="310"/>
      <c r="K806" s="133"/>
    </row>
    <row r="807" customFormat="false" ht="15" hidden="false" customHeight="false" outlineLevel="0" collapsed="false">
      <c r="C807" s="310"/>
      <c r="D807" s="310"/>
      <c r="E807" s="310"/>
      <c r="K807" s="133"/>
    </row>
    <row r="808" customFormat="false" ht="15" hidden="false" customHeight="false" outlineLevel="0" collapsed="false">
      <c r="C808" s="310"/>
      <c r="D808" s="310"/>
      <c r="E808" s="310"/>
      <c r="K808" s="133"/>
    </row>
    <row r="809" customFormat="false" ht="15" hidden="false" customHeight="false" outlineLevel="0" collapsed="false">
      <c r="C809" s="310"/>
      <c r="D809" s="310"/>
      <c r="E809" s="310"/>
      <c r="K809" s="133"/>
    </row>
    <row r="810" customFormat="false" ht="15" hidden="false" customHeight="false" outlineLevel="0" collapsed="false">
      <c r="C810" s="310"/>
      <c r="D810" s="310"/>
      <c r="E810" s="310"/>
      <c r="K810" s="133"/>
    </row>
    <row r="811" customFormat="false" ht="15" hidden="false" customHeight="false" outlineLevel="0" collapsed="false">
      <c r="C811" s="310"/>
      <c r="D811" s="310"/>
      <c r="E811" s="310"/>
      <c r="K811" s="133"/>
    </row>
    <row r="812" customFormat="false" ht="15" hidden="false" customHeight="false" outlineLevel="0" collapsed="false">
      <c r="C812" s="310"/>
      <c r="D812" s="310"/>
      <c r="E812" s="310"/>
      <c r="K812" s="133"/>
    </row>
    <row r="813" customFormat="false" ht="15" hidden="false" customHeight="false" outlineLevel="0" collapsed="false">
      <c r="C813" s="310"/>
      <c r="D813" s="310"/>
      <c r="E813" s="310"/>
      <c r="K813" s="133"/>
    </row>
    <row r="814" customFormat="false" ht="15" hidden="false" customHeight="false" outlineLevel="0" collapsed="false">
      <c r="C814" s="310"/>
      <c r="D814" s="310"/>
      <c r="E814" s="310"/>
      <c r="K814" s="133"/>
    </row>
    <row r="815" customFormat="false" ht="15" hidden="false" customHeight="false" outlineLevel="0" collapsed="false">
      <c r="C815" s="310"/>
      <c r="D815" s="310"/>
      <c r="E815" s="310"/>
      <c r="K815" s="133"/>
    </row>
    <row r="816" customFormat="false" ht="15" hidden="false" customHeight="false" outlineLevel="0" collapsed="false">
      <c r="C816" s="310"/>
      <c r="D816" s="310"/>
      <c r="E816" s="310"/>
      <c r="K816" s="133"/>
    </row>
    <row r="817" customFormat="false" ht="15" hidden="false" customHeight="false" outlineLevel="0" collapsed="false">
      <c r="C817" s="310"/>
      <c r="D817" s="310"/>
      <c r="E817" s="310"/>
      <c r="K817" s="133"/>
    </row>
    <row r="818" customFormat="false" ht="15" hidden="false" customHeight="false" outlineLevel="0" collapsed="false">
      <c r="C818" s="310"/>
      <c r="D818" s="310"/>
      <c r="E818" s="310"/>
      <c r="K818" s="133"/>
    </row>
    <row r="819" customFormat="false" ht="15" hidden="false" customHeight="false" outlineLevel="0" collapsed="false">
      <c r="C819" s="310"/>
      <c r="D819" s="310"/>
      <c r="E819" s="310"/>
      <c r="K819" s="133"/>
    </row>
    <row r="820" customFormat="false" ht="15" hidden="false" customHeight="false" outlineLevel="0" collapsed="false">
      <c r="C820" s="310"/>
      <c r="D820" s="310"/>
      <c r="E820" s="310"/>
      <c r="K820" s="133"/>
    </row>
    <row r="821" customFormat="false" ht="15" hidden="false" customHeight="false" outlineLevel="0" collapsed="false">
      <c r="C821" s="310"/>
      <c r="D821" s="310"/>
      <c r="E821" s="310"/>
      <c r="K821" s="133"/>
    </row>
    <row r="822" customFormat="false" ht="15" hidden="false" customHeight="false" outlineLevel="0" collapsed="false">
      <c r="C822" s="310"/>
      <c r="D822" s="310"/>
      <c r="E822" s="310"/>
      <c r="K822" s="133"/>
    </row>
    <row r="823" customFormat="false" ht="15" hidden="false" customHeight="false" outlineLevel="0" collapsed="false">
      <c r="C823" s="310"/>
      <c r="D823" s="310"/>
      <c r="E823" s="310"/>
      <c r="K823" s="133"/>
    </row>
    <row r="824" customFormat="false" ht="15" hidden="false" customHeight="false" outlineLevel="0" collapsed="false">
      <c r="C824" s="310"/>
      <c r="D824" s="310"/>
      <c r="E824" s="310"/>
      <c r="K824" s="133"/>
    </row>
    <row r="825" customFormat="false" ht="15" hidden="false" customHeight="false" outlineLevel="0" collapsed="false">
      <c r="C825" s="310"/>
      <c r="D825" s="310"/>
      <c r="E825" s="310"/>
      <c r="K825" s="133"/>
    </row>
    <row r="826" customFormat="false" ht="15" hidden="false" customHeight="false" outlineLevel="0" collapsed="false">
      <c r="C826" s="310"/>
      <c r="D826" s="310"/>
      <c r="E826" s="310"/>
      <c r="K826" s="133"/>
    </row>
    <row r="827" customFormat="false" ht="15" hidden="false" customHeight="false" outlineLevel="0" collapsed="false">
      <c r="C827" s="310"/>
      <c r="D827" s="310"/>
      <c r="E827" s="310"/>
      <c r="K827" s="133"/>
    </row>
    <row r="828" customFormat="false" ht="15" hidden="false" customHeight="false" outlineLevel="0" collapsed="false">
      <c r="C828" s="310"/>
      <c r="D828" s="310"/>
      <c r="E828" s="310"/>
      <c r="K828" s="133"/>
    </row>
    <row r="829" customFormat="false" ht="15" hidden="false" customHeight="false" outlineLevel="0" collapsed="false">
      <c r="C829" s="310"/>
      <c r="D829" s="310"/>
      <c r="E829" s="310"/>
      <c r="K829" s="133"/>
    </row>
    <row r="830" customFormat="false" ht="15" hidden="false" customHeight="false" outlineLevel="0" collapsed="false">
      <c r="C830" s="310"/>
      <c r="D830" s="310"/>
      <c r="E830" s="310"/>
      <c r="K830" s="133"/>
    </row>
    <row r="831" customFormat="false" ht="15" hidden="false" customHeight="false" outlineLevel="0" collapsed="false">
      <c r="C831" s="310"/>
      <c r="D831" s="310"/>
      <c r="E831" s="310"/>
      <c r="K831" s="133"/>
    </row>
    <row r="832" customFormat="false" ht="15" hidden="false" customHeight="false" outlineLevel="0" collapsed="false">
      <c r="C832" s="310"/>
      <c r="D832" s="310"/>
      <c r="E832" s="310"/>
      <c r="K832" s="133"/>
    </row>
    <row r="833" customFormat="false" ht="15" hidden="false" customHeight="false" outlineLevel="0" collapsed="false">
      <c r="C833" s="310"/>
      <c r="D833" s="310"/>
      <c r="E833" s="310"/>
      <c r="K833" s="133"/>
    </row>
    <row r="834" customFormat="false" ht="15" hidden="false" customHeight="false" outlineLevel="0" collapsed="false">
      <c r="C834" s="310"/>
      <c r="D834" s="310"/>
      <c r="E834" s="310"/>
      <c r="K834" s="133"/>
    </row>
    <row r="835" customFormat="false" ht="15" hidden="false" customHeight="false" outlineLevel="0" collapsed="false">
      <c r="C835" s="310"/>
      <c r="D835" s="310"/>
      <c r="E835" s="310"/>
      <c r="K835" s="133"/>
    </row>
    <row r="836" customFormat="false" ht="15" hidden="false" customHeight="false" outlineLevel="0" collapsed="false">
      <c r="C836" s="310"/>
      <c r="D836" s="310"/>
      <c r="E836" s="310"/>
      <c r="K836" s="133"/>
    </row>
    <row r="837" customFormat="false" ht="15" hidden="false" customHeight="false" outlineLevel="0" collapsed="false">
      <c r="C837" s="310"/>
      <c r="D837" s="310"/>
      <c r="E837" s="310"/>
      <c r="K837" s="133"/>
    </row>
    <row r="838" customFormat="false" ht="15" hidden="false" customHeight="false" outlineLevel="0" collapsed="false">
      <c r="C838" s="310"/>
      <c r="D838" s="310"/>
      <c r="E838" s="310"/>
      <c r="K838" s="133"/>
    </row>
    <row r="839" customFormat="false" ht="15" hidden="false" customHeight="false" outlineLevel="0" collapsed="false">
      <c r="C839" s="310"/>
      <c r="D839" s="310"/>
      <c r="E839" s="310"/>
      <c r="K839" s="133"/>
    </row>
    <row r="840" customFormat="false" ht="15" hidden="false" customHeight="false" outlineLevel="0" collapsed="false">
      <c r="C840" s="310"/>
      <c r="D840" s="310"/>
      <c r="E840" s="310"/>
      <c r="K840" s="133"/>
    </row>
    <row r="841" customFormat="false" ht="15" hidden="false" customHeight="false" outlineLevel="0" collapsed="false">
      <c r="C841" s="310"/>
      <c r="D841" s="310"/>
      <c r="E841" s="310"/>
      <c r="K841" s="133"/>
    </row>
    <row r="842" customFormat="false" ht="15" hidden="false" customHeight="false" outlineLevel="0" collapsed="false">
      <c r="C842" s="310"/>
      <c r="D842" s="310"/>
      <c r="E842" s="310"/>
      <c r="K842" s="133"/>
    </row>
    <row r="843" customFormat="false" ht="15" hidden="false" customHeight="false" outlineLevel="0" collapsed="false">
      <c r="C843" s="310"/>
      <c r="D843" s="310"/>
      <c r="E843" s="310"/>
      <c r="K843" s="133"/>
    </row>
    <row r="844" customFormat="false" ht="15" hidden="false" customHeight="false" outlineLevel="0" collapsed="false">
      <c r="C844" s="310"/>
      <c r="D844" s="310"/>
      <c r="E844" s="310"/>
      <c r="K844" s="133"/>
    </row>
    <row r="845" customFormat="false" ht="15" hidden="false" customHeight="false" outlineLevel="0" collapsed="false">
      <c r="C845" s="310"/>
      <c r="D845" s="310"/>
      <c r="E845" s="310"/>
      <c r="K845" s="133"/>
    </row>
    <row r="846" customFormat="false" ht="15" hidden="false" customHeight="false" outlineLevel="0" collapsed="false">
      <c r="C846" s="310"/>
      <c r="D846" s="310"/>
      <c r="E846" s="310"/>
      <c r="K846" s="133"/>
    </row>
    <row r="847" customFormat="false" ht="15" hidden="false" customHeight="false" outlineLevel="0" collapsed="false">
      <c r="C847" s="310"/>
      <c r="D847" s="310"/>
      <c r="E847" s="310"/>
      <c r="K847" s="133"/>
    </row>
    <row r="848" customFormat="false" ht="15" hidden="false" customHeight="false" outlineLevel="0" collapsed="false">
      <c r="C848" s="310"/>
      <c r="D848" s="310"/>
      <c r="E848" s="310"/>
      <c r="K848" s="133"/>
    </row>
    <row r="849" customFormat="false" ht="15" hidden="false" customHeight="false" outlineLevel="0" collapsed="false">
      <c r="C849" s="310"/>
      <c r="D849" s="310"/>
      <c r="E849" s="310"/>
      <c r="K849" s="133"/>
    </row>
    <row r="850" customFormat="false" ht="15" hidden="false" customHeight="false" outlineLevel="0" collapsed="false">
      <c r="C850" s="310"/>
      <c r="D850" s="310"/>
      <c r="E850" s="310"/>
      <c r="K850" s="133"/>
    </row>
    <row r="851" customFormat="false" ht="15" hidden="false" customHeight="false" outlineLevel="0" collapsed="false">
      <c r="C851" s="310"/>
      <c r="D851" s="310"/>
      <c r="E851" s="310"/>
      <c r="K851" s="133"/>
    </row>
    <row r="852" customFormat="false" ht="15" hidden="false" customHeight="false" outlineLevel="0" collapsed="false">
      <c r="C852" s="310"/>
      <c r="D852" s="310"/>
      <c r="E852" s="310"/>
      <c r="K852" s="133"/>
    </row>
    <row r="853" customFormat="false" ht="15" hidden="false" customHeight="false" outlineLevel="0" collapsed="false">
      <c r="C853" s="310"/>
      <c r="D853" s="310"/>
      <c r="E853" s="310"/>
      <c r="K853" s="133"/>
    </row>
    <row r="854" customFormat="false" ht="15" hidden="false" customHeight="false" outlineLevel="0" collapsed="false">
      <c r="C854" s="310"/>
      <c r="D854" s="310"/>
      <c r="E854" s="310"/>
      <c r="K854" s="133"/>
    </row>
    <row r="855" customFormat="false" ht="15" hidden="false" customHeight="false" outlineLevel="0" collapsed="false">
      <c r="C855" s="310"/>
      <c r="D855" s="310"/>
      <c r="E855" s="310"/>
      <c r="K855" s="133"/>
    </row>
    <row r="856" customFormat="false" ht="15" hidden="false" customHeight="false" outlineLevel="0" collapsed="false">
      <c r="C856" s="310"/>
      <c r="D856" s="310"/>
      <c r="E856" s="310"/>
      <c r="K856" s="133"/>
    </row>
    <row r="857" customFormat="false" ht="15" hidden="false" customHeight="false" outlineLevel="0" collapsed="false">
      <c r="C857" s="310"/>
      <c r="D857" s="310"/>
      <c r="E857" s="310"/>
      <c r="K857" s="133"/>
    </row>
    <row r="858" customFormat="false" ht="15" hidden="false" customHeight="false" outlineLevel="0" collapsed="false">
      <c r="C858" s="310"/>
      <c r="D858" s="310"/>
      <c r="E858" s="310"/>
      <c r="K858" s="133"/>
    </row>
    <row r="859" customFormat="false" ht="15" hidden="false" customHeight="false" outlineLevel="0" collapsed="false">
      <c r="C859" s="310"/>
      <c r="D859" s="310"/>
      <c r="E859" s="310"/>
      <c r="K859" s="133"/>
    </row>
    <row r="860" customFormat="false" ht="15" hidden="false" customHeight="false" outlineLevel="0" collapsed="false">
      <c r="C860" s="310"/>
      <c r="D860" s="310"/>
      <c r="E860" s="310"/>
      <c r="K860" s="133"/>
    </row>
    <row r="861" customFormat="false" ht="15" hidden="false" customHeight="false" outlineLevel="0" collapsed="false">
      <c r="C861" s="310"/>
      <c r="D861" s="310"/>
      <c r="E861" s="310"/>
      <c r="K861" s="133"/>
    </row>
    <row r="862" customFormat="false" ht="15" hidden="false" customHeight="false" outlineLevel="0" collapsed="false">
      <c r="C862" s="310"/>
      <c r="D862" s="310"/>
      <c r="E862" s="310"/>
      <c r="K862" s="133"/>
    </row>
    <row r="863" customFormat="false" ht="15" hidden="false" customHeight="false" outlineLevel="0" collapsed="false">
      <c r="C863" s="310"/>
      <c r="D863" s="310"/>
      <c r="E863" s="310"/>
      <c r="K863" s="133"/>
    </row>
    <row r="864" customFormat="false" ht="15" hidden="false" customHeight="false" outlineLevel="0" collapsed="false">
      <c r="C864" s="310"/>
      <c r="D864" s="310"/>
      <c r="E864" s="310"/>
      <c r="K864" s="133"/>
    </row>
    <row r="865" customFormat="false" ht="15" hidden="false" customHeight="false" outlineLevel="0" collapsed="false">
      <c r="C865" s="310"/>
      <c r="D865" s="310"/>
      <c r="E865" s="310"/>
      <c r="K865" s="133"/>
    </row>
    <row r="866" customFormat="false" ht="15" hidden="false" customHeight="false" outlineLevel="0" collapsed="false">
      <c r="C866" s="310"/>
      <c r="D866" s="310"/>
      <c r="E866" s="310"/>
      <c r="K866" s="133"/>
    </row>
    <row r="867" customFormat="false" ht="15" hidden="false" customHeight="false" outlineLevel="0" collapsed="false">
      <c r="C867" s="310"/>
      <c r="D867" s="310"/>
      <c r="E867" s="310"/>
      <c r="K867" s="133"/>
    </row>
    <row r="868" customFormat="false" ht="15" hidden="false" customHeight="false" outlineLevel="0" collapsed="false">
      <c r="C868" s="310"/>
      <c r="D868" s="310"/>
      <c r="E868" s="310"/>
      <c r="K868" s="133"/>
    </row>
    <row r="869" customFormat="false" ht="15" hidden="false" customHeight="false" outlineLevel="0" collapsed="false">
      <c r="C869" s="310"/>
      <c r="D869" s="310"/>
      <c r="E869" s="310"/>
      <c r="K869" s="133"/>
    </row>
    <row r="870" customFormat="false" ht="15" hidden="false" customHeight="false" outlineLevel="0" collapsed="false">
      <c r="C870" s="310"/>
      <c r="D870" s="310"/>
      <c r="E870" s="310"/>
      <c r="K870" s="133"/>
    </row>
    <row r="871" customFormat="false" ht="15" hidden="false" customHeight="false" outlineLevel="0" collapsed="false">
      <c r="C871" s="310"/>
      <c r="D871" s="310"/>
      <c r="E871" s="310"/>
      <c r="K871" s="133"/>
    </row>
    <row r="872" customFormat="false" ht="15" hidden="false" customHeight="false" outlineLevel="0" collapsed="false">
      <c r="C872" s="310"/>
      <c r="D872" s="310"/>
      <c r="E872" s="310"/>
      <c r="K872" s="133"/>
    </row>
    <row r="873" customFormat="false" ht="15" hidden="false" customHeight="false" outlineLevel="0" collapsed="false">
      <c r="C873" s="310"/>
      <c r="D873" s="310"/>
      <c r="E873" s="310"/>
      <c r="K873" s="133"/>
    </row>
    <row r="874" customFormat="false" ht="15" hidden="false" customHeight="false" outlineLevel="0" collapsed="false">
      <c r="C874" s="310"/>
      <c r="D874" s="310"/>
      <c r="E874" s="310"/>
      <c r="K874" s="133"/>
    </row>
    <row r="875" customFormat="false" ht="15" hidden="false" customHeight="false" outlineLevel="0" collapsed="false">
      <c r="C875" s="310"/>
      <c r="D875" s="310"/>
      <c r="E875" s="310"/>
      <c r="K875" s="133"/>
    </row>
    <row r="876" customFormat="false" ht="15" hidden="false" customHeight="false" outlineLevel="0" collapsed="false">
      <c r="C876" s="310"/>
      <c r="D876" s="310"/>
      <c r="E876" s="310"/>
      <c r="K876" s="133"/>
    </row>
    <row r="877" customFormat="false" ht="15" hidden="false" customHeight="false" outlineLevel="0" collapsed="false">
      <c r="C877" s="310"/>
      <c r="D877" s="310"/>
      <c r="E877" s="310"/>
      <c r="K877" s="133"/>
    </row>
    <row r="878" customFormat="false" ht="15" hidden="false" customHeight="false" outlineLevel="0" collapsed="false">
      <c r="C878" s="310"/>
      <c r="D878" s="310"/>
      <c r="E878" s="310"/>
      <c r="K878" s="133"/>
    </row>
    <row r="879" customFormat="false" ht="15" hidden="false" customHeight="false" outlineLevel="0" collapsed="false">
      <c r="C879" s="310"/>
      <c r="D879" s="310"/>
      <c r="E879" s="310"/>
      <c r="K879" s="133"/>
    </row>
    <row r="880" customFormat="false" ht="15" hidden="false" customHeight="false" outlineLevel="0" collapsed="false">
      <c r="C880" s="310"/>
      <c r="D880" s="310"/>
      <c r="E880" s="310"/>
      <c r="K880" s="133"/>
    </row>
    <row r="881" customFormat="false" ht="15" hidden="false" customHeight="false" outlineLevel="0" collapsed="false">
      <c r="C881" s="310"/>
      <c r="D881" s="310"/>
      <c r="E881" s="310"/>
      <c r="K881" s="133"/>
    </row>
    <row r="882" customFormat="false" ht="15" hidden="false" customHeight="false" outlineLevel="0" collapsed="false">
      <c r="C882" s="310"/>
      <c r="D882" s="310"/>
      <c r="E882" s="310"/>
      <c r="K882" s="133"/>
    </row>
    <row r="883" customFormat="false" ht="15" hidden="false" customHeight="false" outlineLevel="0" collapsed="false">
      <c r="C883" s="310"/>
      <c r="D883" s="310"/>
      <c r="E883" s="310"/>
      <c r="K883" s="133"/>
    </row>
    <row r="884" customFormat="false" ht="15" hidden="false" customHeight="false" outlineLevel="0" collapsed="false">
      <c r="C884" s="310"/>
      <c r="D884" s="310"/>
      <c r="E884" s="310"/>
      <c r="K884" s="133"/>
    </row>
    <row r="885" customFormat="false" ht="15" hidden="false" customHeight="false" outlineLevel="0" collapsed="false">
      <c r="C885" s="310"/>
      <c r="D885" s="310"/>
      <c r="E885" s="310"/>
      <c r="K885" s="133"/>
    </row>
    <row r="886" customFormat="false" ht="15" hidden="false" customHeight="false" outlineLevel="0" collapsed="false">
      <c r="C886" s="310"/>
      <c r="D886" s="310"/>
      <c r="E886" s="310"/>
      <c r="K886" s="133"/>
    </row>
    <row r="887" customFormat="false" ht="15" hidden="false" customHeight="false" outlineLevel="0" collapsed="false">
      <c r="C887" s="310"/>
      <c r="D887" s="310"/>
      <c r="E887" s="310"/>
      <c r="K887" s="133"/>
    </row>
    <row r="888" customFormat="false" ht="15" hidden="false" customHeight="false" outlineLevel="0" collapsed="false">
      <c r="C888" s="310"/>
      <c r="D888" s="310"/>
      <c r="E888" s="310"/>
      <c r="K888" s="133"/>
    </row>
    <row r="889" customFormat="false" ht="15" hidden="false" customHeight="false" outlineLevel="0" collapsed="false">
      <c r="C889" s="310"/>
      <c r="D889" s="310"/>
      <c r="E889" s="310"/>
      <c r="K889" s="133"/>
    </row>
    <row r="890" customFormat="false" ht="15" hidden="false" customHeight="false" outlineLevel="0" collapsed="false">
      <c r="C890" s="310"/>
      <c r="D890" s="310"/>
      <c r="E890" s="310"/>
      <c r="K890" s="133"/>
    </row>
    <row r="891" customFormat="false" ht="15" hidden="false" customHeight="false" outlineLevel="0" collapsed="false">
      <c r="C891" s="310"/>
      <c r="D891" s="310"/>
      <c r="E891" s="310"/>
      <c r="K891" s="133"/>
    </row>
    <row r="892" customFormat="false" ht="15" hidden="false" customHeight="false" outlineLevel="0" collapsed="false">
      <c r="C892" s="310"/>
      <c r="D892" s="310"/>
      <c r="E892" s="310"/>
      <c r="K892" s="133"/>
    </row>
    <row r="893" customFormat="false" ht="15" hidden="false" customHeight="false" outlineLevel="0" collapsed="false">
      <c r="C893" s="310"/>
      <c r="D893" s="310"/>
      <c r="E893" s="310"/>
      <c r="K893" s="133"/>
    </row>
    <row r="894" customFormat="false" ht="15" hidden="false" customHeight="false" outlineLevel="0" collapsed="false">
      <c r="C894" s="310"/>
      <c r="D894" s="310"/>
      <c r="E894" s="310"/>
      <c r="K894" s="133"/>
    </row>
    <row r="895" customFormat="false" ht="15" hidden="false" customHeight="false" outlineLevel="0" collapsed="false">
      <c r="C895" s="310"/>
      <c r="D895" s="310"/>
      <c r="E895" s="310"/>
      <c r="K895" s="133"/>
    </row>
    <row r="896" customFormat="false" ht="15" hidden="false" customHeight="false" outlineLevel="0" collapsed="false">
      <c r="C896" s="310"/>
      <c r="D896" s="310"/>
      <c r="E896" s="310"/>
      <c r="K896" s="133"/>
    </row>
    <row r="897" customFormat="false" ht="15" hidden="false" customHeight="false" outlineLevel="0" collapsed="false">
      <c r="C897" s="310"/>
      <c r="D897" s="310"/>
      <c r="E897" s="310"/>
      <c r="K897" s="133"/>
    </row>
    <row r="898" customFormat="false" ht="15" hidden="false" customHeight="false" outlineLevel="0" collapsed="false">
      <c r="C898" s="310"/>
      <c r="D898" s="310"/>
      <c r="E898" s="310"/>
      <c r="K898" s="133"/>
    </row>
    <row r="899" customFormat="false" ht="15" hidden="false" customHeight="false" outlineLevel="0" collapsed="false">
      <c r="C899" s="310"/>
      <c r="D899" s="310"/>
      <c r="E899" s="310"/>
      <c r="K899" s="133"/>
    </row>
    <row r="900" customFormat="false" ht="15" hidden="false" customHeight="false" outlineLevel="0" collapsed="false">
      <c r="C900" s="310"/>
      <c r="D900" s="310"/>
      <c r="E900" s="310"/>
      <c r="K900" s="133"/>
    </row>
    <row r="901" customFormat="false" ht="15" hidden="false" customHeight="false" outlineLevel="0" collapsed="false">
      <c r="C901" s="310"/>
      <c r="D901" s="310"/>
      <c r="E901" s="310"/>
      <c r="K901" s="133"/>
    </row>
    <row r="902" customFormat="false" ht="15" hidden="false" customHeight="false" outlineLevel="0" collapsed="false">
      <c r="C902" s="310"/>
      <c r="D902" s="310"/>
      <c r="E902" s="310"/>
      <c r="K902" s="133"/>
    </row>
    <row r="903" customFormat="false" ht="15" hidden="false" customHeight="false" outlineLevel="0" collapsed="false">
      <c r="C903" s="310"/>
      <c r="D903" s="310"/>
      <c r="E903" s="310"/>
      <c r="K903" s="133"/>
    </row>
    <row r="904" customFormat="false" ht="15" hidden="false" customHeight="false" outlineLevel="0" collapsed="false">
      <c r="C904" s="310"/>
      <c r="D904" s="310"/>
      <c r="E904" s="310"/>
      <c r="K904" s="133"/>
    </row>
    <row r="905" customFormat="false" ht="15" hidden="false" customHeight="false" outlineLevel="0" collapsed="false">
      <c r="C905" s="310"/>
      <c r="D905" s="310"/>
      <c r="E905" s="310"/>
      <c r="K905" s="133"/>
    </row>
    <row r="906" customFormat="false" ht="15" hidden="false" customHeight="false" outlineLevel="0" collapsed="false">
      <c r="C906" s="310"/>
      <c r="D906" s="310"/>
      <c r="E906" s="310"/>
      <c r="K906" s="133"/>
    </row>
    <row r="907" customFormat="false" ht="15" hidden="false" customHeight="false" outlineLevel="0" collapsed="false">
      <c r="C907" s="310"/>
      <c r="D907" s="310"/>
      <c r="E907" s="310"/>
      <c r="K907" s="133"/>
    </row>
    <row r="908" customFormat="false" ht="15" hidden="false" customHeight="false" outlineLevel="0" collapsed="false">
      <c r="C908" s="310"/>
      <c r="D908" s="310"/>
      <c r="E908" s="310"/>
      <c r="K908" s="133"/>
    </row>
    <row r="909" customFormat="false" ht="15" hidden="false" customHeight="false" outlineLevel="0" collapsed="false">
      <c r="C909" s="310"/>
      <c r="D909" s="310"/>
      <c r="E909" s="310"/>
      <c r="K909" s="133"/>
    </row>
    <row r="910" customFormat="false" ht="15" hidden="false" customHeight="false" outlineLevel="0" collapsed="false">
      <c r="C910" s="310"/>
      <c r="D910" s="310"/>
      <c r="E910" s="310"/>
      <c r="K910" s="133"/>
    </row>
    <row r="911" customFormat="false" ht="15" hidden="false" customHeight="false" outlineLevel="0" collapsed="false">
      <c r="C911" s="310"/>
      <c r="D911" s="310"/>
      <c r="E911" s="310"/>
      <c r="K911" s="133"/>
    </row>
    <row r="912" customFormat="false" ht="15" hidden="false" customHeight="false" outlineLevel="0" collapsed="false">
      <c r="C912" s="310"/>
      <c r="D912" s="310"/>
      <c r="E912" s="310"/>
      <c r="K912" s="133"/>
    </row>
    <row r="913" customFormat="false" ht="15" hidden="false" customHeight="false" outlineLevel="0" collapsed="false">
      <c r="C913" s="310"/>
      <c r="D913" s="310"/>
      <c r="E913" s="310"/>
      <c r="K913" s="133"/>
    </row>
    <row r="914" customFormat="false" ht="15" hidden="false" customHeight="false" outlineLevel="0" collapsed="false">
      <c r="C914" s="310"/>
      <c r="D914" s="310"/>
      <c r="E914" s="310"/>
      <c r="K914" s="133"/>
    </row>
    <row r="915" customFormat="false" ht="15" hidden="false" customHeight="false" outlineLevel="0" collapsed="false">
      <c r="C915" s="310"/>
      <c r="D915" s="310"/>
      <c r="E915" s="310"/>
      <c r="K915" s="133"/>
    </row>
    <row r="916" customFormat="false" ht="15" hidden="false" customHeight="false" outlineLevel="0" collapsed="false">
      <c r="C916" s="310"/>
      <c r="D916" s="310"/>
      <c r="E916" s="310"/>
      <c r="K916" s="133"/>
    </row>
    <row r="917" customFormat="false" ht="15" hidden="false" customHeight="false" outlineLevel="0" collapsed="false">
      <c r="C917" s="310"/>
      <c r="D917" s="310"/>
      <c r="E917" s="310"/>
      <c r="K917" s="133"/>
    </row>
    <row r="918" customFormat="false" ht="15" hidden="false" customHeight="false" outlineLevel="0" collapsed="false">
      <c r="C918" s="310"/>
      <c r="D918" s="310"/>
      <c r="E918" s="310"/>
      <c r="K918" s="133"/>
    </row>
    <row r="919" customFormat="false" ht="15" hidden="false" customHeight="false" outlineLevel="0" collapsed="false">
      <c r="C919" s="310"/>
      <c r="D919" s="310"/>
      <c r="E919" s="310"/>
      <c r="K919" s="133"/>
    </row>
    <row r="920" customFormat="false" ht="15" hidden="false" customHeight="false" outlineLevel="0" collapsed="false">
      <c r="C920" s="310"/>
      <c r="D920" s="310"/>
      <c r="E920" s="310"/>
      <c r="K920" s="133"/>
    </row>
    <row r="921" customFormat="false" ht="15" hidden="false" customHeight="false" outlineLevel="0" collapsed="false">
      <c r="C921" s="310"/>
      <c r="D921" s="310"/>
      <c r="E921" s="310"/>
      <c r="K921" s="133"/>
    </row>
    <row r="922" customFormat="false" ht="15" hidden="false" customHeight="false" outlineLevel="0" collapsed="false">
      <c r="C922" s="310"/>
      <c r="D922" s="310"/>
      <c r="E922" s="310"/>
      <c r="K922" s="133"/>
    </row>
    <row r="923" customFormat="false" ht="15" hidden="false" customHeight="false" outlineLevel="0" collapsed="false">
      <c r="C923" s="310"/>
      <c r="D923" s="310"/>
      <c r="E923" s="310"/>
      <c r="K923" s="133"/>
    </row>
    <row r="924" customFormat="false" ht="15" hidden="false" customHeight="false" outlineLevel="0" collapsed="false">
      <c r="C924" s="310"/>
      <c r="D924" s="310"/>
      <c r="E924" s="310"/>
      <c r="K924" s="133"/>
    </row>
    <row r="925" customFormat="false" ht="15" hidden="false" customHeight="false" outlineLevel="0" collapsed="false">
      <c r="C925" s="310"/>
      <c r="D925" s="310"/>
      <c r="E925" s="310"/>
      <c r="K925" s="133"/>
    </row>
    <row r="926" customFormat="false" ht="15" hidden="false" customHeight="false" outlineLevel="0" collapsed="false">
      <c r="C926" s="310"/>
      <c r="D926" s="310"/>
      <c r="E926" s="310"/>
      <c r="K926" s="133"/>
    </row>
    <row r="927" customFormat="false" ht="15" hidden="false" customHeight="false" outlineLevel="0" collapsed="false">
      <c r="C927" s="310"/>
      <c r="D927" s="310"/>
      <c r="E927" s="310"/>
      <c r="K927" s="133"/>
    </row>
    <row r="928" customFormat="false" ht="15" hidden="false" customHeight="false" outlineLevel="0" collapsed="false">
      <c r="C928" s="310"/>
      <c r="D928" s="310"/>
      <c r="E928" s="310"/>
      <c r="K928" s="133"/>
    </row>
    <row r="929" customFormat="false" ht="15" hidden="false" customHeight="false" outlineLevel="0" collapsed="false">
      <c r="C929" s="310"/>
      <c r="D929" s="310"/>
      <c r="E929" s="310"/>
      <c r="K929" s="133"/>
    </row>
    <row r="930" customFormat="false" ht="15" hidden="false" customHeight="false" outlineLevel="0" collapsed="false">
      <c r="C930" s="310"/>
      <c r="D930" s="310"/>
      <c r="E930" s="310"/>
      <c r="K930" s="133"/>
    </row>
    <row r="931" customFormat="false" ht="15" hidden="false" customHeight="false" outlineLevel="0" collapsed="false">
      <c r="C931" s="310"/>
      <c r="D931" s="310"/>
      <c r="E931" s="310"/>
      <c r="K931" s="133"/>
    </row>
    <row r="932" customFormat="false" ht="15" hidden="false" customHeight="false" outlineLevel="0" collapsed="false">
      <c r="C932" s="310"/>
      <c r="D932" s="310"/>
      <c r="E932" s="310"/>
      <c r="K932" s="133"/>
    </row>
    <row r="933" customFormat="false" ht="15" hidden="false" customHeight="false" outlineLevel="0" collapsed="false">
      <c r="C933" s="310"/>
      <c r="D933" s="310"/>
      <c r="E933" s="310"/>
      <c r="K933" s="133"/>
    </row>
    <row r="934" customFormat="false" ht="15" hidden="false" customHeight="false" outlineLevel="0" collapsed="false">
      <c r="C934" s="310"/>
      <c r="D934" s="310"/>
      <c r="E934" s="310"/>
      <c r="K934" s="133"/>
    </row>
    <row r="935" customFormat="false" ht="15" hidden="false" customHeight="false" outlineLevel="0" collapsed="false">
      <c r="C935" s="310"/>
      <c r="D935" s="310"/>
      <c r="E935" s="310"/>
      <c r="K935" s="133"/>
    </row>
    <row r="936" customFormat="false" ht="15" hidden="false" customHeight="false" outlineLevel="0" collapsed="false">
      <c r="C936" s="310"/>
      <c r="D936" s="310"/>
      <c r="E936" s="310"/>
      <c r="K936" s="133"/>
    </row>
    <row r="937" customFormat="false" ht="15" hidden="false" customHeight="false" outlineLevel="0" collapsed="false">
      <c r="C937" s="310"/>
      <c r="D937" s="310"/>
      <c r="E937" s="310"/>
      <c r="K937" s="133"/>
    </row>
    <row r="938" customFormat="false" ht="15" hidden="false" customHeight="false" outlineLevel="0" collapsed="false">
      <c r="C938" s="310"/>
      <c r="D938" s="310"/>
      <c r="E938" s="310"/>
      <c r="K938" s="133"/>
    </row>
    <row r="939" customFormat="false" ht="15" hidden="false" customHeight="false" outlineLevel="0" collapsed="false">
      <c r="C939" s="310"/>
      <c r="D939" s="310"/>
      <c r="E939" s="310"/>
      <c r="K939" s="133"/>
    </row>
    <row r="940" customFormat="false" ht="15" hidden="false" customHeight="false" outlineLevel="0" collapsed="false">
      <c r="C940" s="310"/>
      <c r="D940" s="310"/>
      <c r="E940" s="310"/>
      <c r="K940" s="133"/>
    </row>
    <row r="941" customFormat="false" ht="15" hidden="false" customHeight="false" outlineLevel="0" collapsed="false">
      <c r="C941" s="310"/>
      <c r="D941" s="310"/>
      <c r="E941" s="310"/>
      <c r="K941" s="133"/>
    </row>
    <row r="942" customFormat="false" ht="15" hidden="false" customHeight="false" outlineLevel="0" collapsed="false">
      <c r="C942" s="310"/>
      <c r="D942" s="310"/>
      <c r="E942" s="310"/>
      <c r="K942" s="133"/>
    </row>
    <row r="943" customFormat="false" ht="15" hidden="false" customHeight="false" outlineLevel="0" collapsed="false">
      <c r="C943" s="310"/>
      <c r="D943" s="310"/>
      <c r="E943" s="310"/>
      <c r="K943" s="133"/>
    </row>
    <row r="944" customFormat="false" ht="15" hidden="false" customHeight="false" outlineLevel="0" collapsed="false">
      <c r="C944" s="310"/>
      <c r="D944" s="310"/>
      <c r="E944" s="310"/>
      <c r="K944" s="133"/>
    </row>
    <row r="945" customFormat="false" ht="15" hidden="false" customHeight="false" outlineLevel="0" collapsed="false">
      <c r="C945" s="310"/>
      <c r="D945" s="310"/>
      <c r="E945" s="310"/>
      <c r="K945" s="133"/>
    </row>
    <row r="946" customFormat="false" ht="15" hidden="false" customHeight="false" outlineLevel="0" collapsed="false">
      <c r="C946" s="310"/>
      <c r="D946" s="310"/>
      <c r="E946" s="310"/>
      <c r="K946" s="133"/>
    </row>
    <row r="947" customFormat="false" ht="15" hidden="false" customHeight="false" outlineLevel="0" collapsed="false">
      <c r="C947" s="310"/>
      <c r="D947" s="310"/>
      <c r="E947" s="310"/>
      <c r="K947" s="133"/>
    </row>
    <row r="948" customFormat="false" ht="15" hidden="false" customHeight="false" outlineLevel="0" collapsed="false">
      <c r="C948" s="310"/>
      <c r="D948" s="310"/>
      <c r="E948" s="310"/>
      <c r="K948" s="133"/>
    </row>
    <row r="949" customFormat="false" ht="15" hidden="false" customHeight="false" outlineLevel="0" collapsed="false">
      <c r="C949" s="310"/>
      <c r="D949" s="310"/>
      <c r="E949" s="310"/>
      <c r="K949" s="133"/>
    </row>
    <row r="950" customFormat="false" ht="15" hidden="false" customHeight="false" outlineLevel="0" collapsed="false">
      <c r="C950" s="310"/>
      <c r="D950" s="310"/>
      <c r="E950" s="310"/>
      <c r="K950" s="133"/>
    </row>
    <row r="951" customFormat="false" ht="15" hidden="false" customHeight="false" outlineLevel="0" collapsed="false">
      <c r="C951" s="310"/>
      <c r="D951" s="310"/>
      <c r="E951" s="310"/>
      <c r="K951" s="133"/>
    </row>
    <row r="952" customFormat="false" ht="15" hidden="false" customHeight="false" outlineLevel="0" collapsed="false">
      <c r="C952" s="310"/>
      <c r="D952" s="310"/>
      <c r="E952" s="310"/>
      <c r="K952" s="133"/>
    </row>
    <row r="953" customFormat="false" ht="15" hidden="false" customHeight="false" outlineLevel="0" collapsed="false">
      <c r="C953" s="310"/>
      <c r="D953" s="310"/>
      <c r="E953" s="310"/>
      <c r="K953" s="133"/>
    </row>
    <row r="954" customFormat="false" ht="15" hidden="false" customHeight="false" outlineLevel="0" collapsed="false">
      <c r="C954" s="310"/>
      <c r="D954" s="310"/>
      <c r="E954" s="310"/>
      <c r="K954" s="133"/>
    </row>
    <row r="955" customFormat="false" ht="15" hidden="false" customHeight="false" outlineLevel="0" collapsed="false">
      <c r="C955" s="310"/>
      <c r="D955" s="310"/>
      <c r="E955" s="310"/>
      <c r="K955" s="133"/>
    </row>
    <row r="956" customFormat="false" ht="15" hidden="false" customHeight="false" outlineLevel="0" collapsed="false">
      <c r="C956" s="310"/>
      <c r="D956" s="310"/>
      <c r="E956" s="310"/>
      <c r="K956" s="133"/>
    </row>
    <row r="957" customFormat="false" ht="15" hidden="false" customHeight="false" outlineLevel="0" collapsed="false">
      <c r="C957" s="310"/>
      <c r="D957" s="310"/>
      <c r="E957" s="310"/>
      <c r="K957" s="133"/>
    </row>
    <row r="958" customFormat="false" ht="15" hidden="false" customHeight="false" outlineLevel="0" collapsed="false">
      <c r="C958" s="310"/>
      <c r="D958" s="310"/>
      <c r="E958" s="310"/>
      <c r="K958" s="133"/>
    </row>
    <row r="959" customFormat="false" ht="15" hidden="false" customHeight="false" outlineLevel="0" collapsed="false">
      <c r="C959" s="310"/>
      <c r="D959" s="310"/>
      <c r="E959" s="310"/>
      <c r="K959" s="133"/>
    </row>
    <row r="960" customFormat="false" ht="15" hidden="false" customHeight="false" outlineLevel="0" collapsed="false">
      <c r="C960" s="310"/>
      <c r="D960" s="310"/>
      <c r="E960" s="310"/>
      <c r="K960" s="133"/>
    </row>
    <row r="961" customFormat="false" ht="15" hidden="false" customHeight="false" outlineLevel="0" collapsed="false">
      <c r="C961" s="310"/>
      <c r="D961" s="310"/>
      <c r="E961" s="310"/>
      <c r="K961" s="133"/>
    </row>
    <row r="962" customFormat="false" ht="15" hidden="false" customHeight="false" outlineLevel="0" collapsed="false">
      <c r="C962" s="310"/>
      <c r="D962" s="310"/>
      <c r="E962" s="310"/>
      <c r="K962" s="133"/>
    </row>
    <row r="963" customFormat="false" ht="15" hidden="false" customHeight="false" outlineLevel="0" collapsed="false">
      <c r="C963" s="310"/>
      <c r="D963" s="310"/>
      <c r="E963" s="310"/>
      <c r="K963" s="133"/>
    </row>
    <row r="964" customFormat="false" ht="15" hidden="false" customHeight="false" outlineLevel="0" collapsed="false">
      <c r="C964" s="310"/>
      <c r="D964" s="310"/>
      <c r="E964" s="310"/>
      <c r="K964" s="133"/>
    </row>
    <row r="965" customFormat="false" ht="15" hidden="false" customHeight="false" outlineLevel="0" collapsed="false">
      <c r="C965" s="310"/>
      <c r="D965" s="310"/>
      <c r="E965" s="310"/>
      <c r="K965" s="133"/>
    </row>
    <row r="966" customFormat="false" ht="15" hidden="false" customHeight="false" outlineLevel="0" collapsed="false">
      <c r="C966" s="310"/>
      <c r="D966" s="310"/>
      <c r="E966" s="310"/>
      <c r="K966" s="133"/>
    </row>
    <row r="967" customFormat="false" ht="15" hidden="false" customHeight="false" outlineLevel="0" collapsed="false">
      <c r="C967" s="310"/>
      <c r="D967" s="310"/>
      <c r="E967" s="310"/>
      <c r="K967" s="133"/>
    </row>
    <row r="968" customFormat="false" ht="15" hidden="false" customHeight="false" outlineLevel="0" collapsed="false">
      <c r="C968" s="310"/>
      <c r="D968" s="310"/>
      <c r="E968" s="310"/>
      <c r="K968" s="133"/>
    </row>
    <row r="969" customFormat="false" ht="15" hidden="false" customHeight="false" outlineLevel="0" collapsed="false">
      <c r="C969" s="310"/>
      <c r="D969" s="310"/>
      <c r="E969" s="310"/>
      <c r="K969" s="133"/>
    </row>
    <row r="970" customFormat="false" ht="15" hidden="false" customHeight="false" outlineLevel="0" collapsed="false">
      <c r="C970" s="310"/>
      <c r="D970" s="310"/>
      <c r="E970" s="310"/>
      <c r="K970" s="133"/>
    </row>
    <row r="971" customFormat="false" ht="15" hidden="false" customHeight="false" outlineLevel="0" collapsed="false">
      <c r="C971" s="310"/>
      <c r="D971" s="310"/>
      <c r="E971" s="310"/>
      <c r="K971" s="133"/>
    </row>
    <row r="972" customFormat="false" ht="15" hidden="false" customHeight="false" outlineLevel="0" collapsed="false">
      <c r="C972" s="310"/>
      <c r="D972" s="310"/>
      <c r="E972" s="310"/>
      <c r="K972" s="133"/>
    </row>
    <row r="973" customFormat="false" ht="15" hidden="false" customHeight="false" outlineLevel="0" collapsed="false">
      <c r="C973" s="310"/>
      <c r="D973" s="310"/>
      <c r="E973" s="310"/>
      <c r="K973" s="133"/>
    </row>
    <row r="974" customFormat="false" ht="15" hidden="false" customHeight="false" outlineLevel="0" collapsed="false">
      <c r="C974" s="310"/>
      <c r="D974" s="310"/>
      <c r="E974" s="310"/>
      <c r="K974" s="133"/>
    </row>
    <row r="975" customFormat="false" ht="15" hidden="false" customHeight="false" outlineLevel="0" collapsed="false">
      <c r="C975" s="310"/>
      <c r="D975" s="310"/>
      <c r="E975" s="310"/>
      <c r="K975" s="133"/>
    </row>
    <row r="976" customFormat="false" ht="15" hidden="false" customHeight="false" outlineLevel="0" collapsed="false">
      <c r="C976" s="310"/>
      <c r="D976" s="310"/>
      <c r="E976" s="310"/>
      <c r="K976" s="133"/>
    </row>
    <row r="977" customFormat="false" ht="15" hidden="false" customHeight="false" outlineLevel="0" collapsed="false">
      <c r="C977" s="310"/>
      <c r="D977" s="310"/>
      <c r="E977" s="310"/>
      <c r="K977" s="133"/>
    </row>
    <row r="978" customFormat="false" ht="15" hidden="false" customHeight="false" outlineLevel="0" collapsed="false">
      <c r="C978" s="310"/>
      <c r="D978" s="310"/>
      <c r="E978" s="310"/>
      <c r="K978" s="133"/>
    </row>
    <row r="979" customFormat="false" ht="15" hidden="false" customHeight="false" outlineLevel="0" collapsed="false">
      <c r="C979" s="310"/>
      <c r="D979" s="310"/>
      <c r="E979" s="310"/>
      <c r="K979" s="133"/>
    </row>
    <row r="980" customFormat="false" ht="15" hidden="false" customHeight="false" outlineLevel="0" collapsed="false">
      <c r="C980" s="310"/>
      <c r="D980" s="310"/>
      <c r="E980" s="310"/>
      <c r="K980" s="133"/>
    </row>
    <row r="981" customFormat="false" ht="15" hidden="false" customHeight="false" outlineLevel="0" collapsed="false">
      <c r="C981" s="310"/>
      <c r="D981" s="310"/>
      <c r="E981" s="310"/>
      <c r="K981" s="133"/>
    </row>
    <row r="982" customFormat="false" ht="15" hidden="false" customHeight="false" outlineLevel="0" collapsed="false">
      <c r="C982" s="310"/>
      <c r="D982" s="310"/>
      <c r="E982" s="310"/>
      <c r="K982" s="133"/>
    </row>
    <row r="983" customFormat="false" ht="15" hidden="false" customHeight="false" outlineLevel="0" collapsed="false">
      <c r="C983" s="310"/>
      <c r="D983" s="310"/>
      <c r="E983" s="310"/>
      <c r="K983" s="133"/>
    </row>
    <row r="984" customFormat="false" ht="15" hidden="false" customHeight="false" outlineLevel="0" collapsed="false">
      <c r="C984" s="310"/>
      <c r="D984" s="310"/>
      <c r="E984" s="310"/>
      <c r="K984" s="133"/>
    </row>
    <row r="985" customFormat="false" ht="15" hidden="false" customHeight="false" outlineLevel="0" collapsed="false">
      <c r="C985" s="310"/>
      <c r="D985" s="310"/>
      <c r="E985" s="310"/>
      <c r="K985" s="133"/>
    </row>
    <row r="986" customFormat="false" ht="15" hidden="false" customHeight="false" outlineLevel="0" collapsed="false">
      <c r="C986" s="310"/>
      <c r="D986" s="310"/>
      <c r="E986" s="310"/>
      <c r="K986" s="133"/>
    </row>
    <row r="987" customFormat="false" ht="15" hidden="false" customHeight="false" outlineLevel="0" collapsed="false">
      <c r="C987" s="310"/>
      <c r="D987" s="310"/>
      <c r="E987" s="310"/>
      <c r="K987" s="133"/>
    </row>
    <row r="988" customFormat="false" ht="15" hidden="false" customHeight="false" outlineLevel="0" collapsed="false">
      <c r="C988" s="310"/>
      <c r="D988" s="310"/>
      <c r="E988" s="310"/>
      <c r="K988" s="133"/>
    </row>
    <row r="989" customFormat="false" ht="15" hidden="false" customHeight="false" outlineLevel="0" collapsed="false">
      <c r="C989" s="310"/>
      <c r="D989" s="310"/>
      <c r="E989" s="310"/>
      <c r="K989" s="133"/>
    </row>
    <row r="990" customFormat="false" ht="15" hidden="false" customHeight="false" outlineLevel="0" collapsed="false">
      <c r="C990" s="310"/>
      <c r="D990" s="310"/>
      <c r="E990" s="310"/>
      <c r="K990" s="133"/>
    </row>
    <row r="991" customFormat="false" ht="15" hidden="false" customHeight="false" outlineLevel="0" collapsed="false">
      <c r="C991" s="310"/>
      <c r="D991" s="310"/>
      <c r="E991" s="310"/>
      <c r="K991" s="133"/>
    </row>
    <row r="992" customFormat="false" ht="15" hidden="false" customHeight="false" outlineLevel="0" collapsed="false">
      <c r="C992" s="310"/>
      <c r="D992" s="310"/>
      <c r="E992" s="310"/>
      <c r="K992" s="133"/>
    </row>
    <row r="993" customFormat="false" ht="15" hidden="false" customHeight="false" outlineLevel="0" collapsed="false">
      <c r="C993" s="310"/>
      <c r="D993" s="310"/>
      <c r="E993" s="310"/>
      <c r="K993" s="133"/>
    </row>
    <row r="994" customFormat="false" ht="15" hidden="false" customHeight="false" outlineLevel="0" collapsed="false">
      <c r="C994" s="310"/>
      <c r="D994" s="310"/>
      <c r="E994" s="310"/>
      <c r="K994" s="133"/>
    </row>
    <row r="995" customFormat="false" ht="15" hidden="false" customHeight="false" outlineLevel="0" collapsed="false">
      <c r="C995" s="310"/>
      <c r="D995" s="310"/>
      <c r="E995" s="310"/>
      <c r="K995" s="133"/>
    </row>
    <row r="996" customFormat="false" ht="15" hidden="false" customHeight="false" outlineLevel="0" collapsed="false">
      <c r="C996" s="310"/>
      <c r="D996" s="310"/>
      <c r="E996" s="310"/>
      <c r="K996" s="133"/>
    </row>
    <row r="997" customFormat="false" ht="15" hidden="false" customHeight="false" outlineLevel="0" collapsed="false">
      <c r="C997" s="310"/>
      <c r="D997" s="310"/>
      <c r="E997" s="310"/>
      <c r="K997" s="133"/>
    </row>
    <row r="998" customFormat="false" ht="15" hidden="false" customHeight="false" outlineLevel="0" collapsed="false">
      <c r="C998" s="310"/>
      <c r="D998" s="310"/>
      <c r="E998" s="310"/>
      <c r="K998" s="133"/>
    </row>
    <row r="999" customFormat="false" ht="15" hidden="false" customHeight="false" outlineLevel="0" collapsed="false">
      <c r="C999" s="310"/>
      <c r="D999" s="310"/>
      <c r="E999" s="310"/>
      <c r="K999" s="133"/>
    </row>
    <row r="1000" customFormat="false" ht="15" hidden="false" customHeight="false" outlineLevel="0" collapsed="false">
      <c r="C1000" s="310"/>
      <c r="D1000" s="310"/>
      <c r="E1000" s="310"/>
      <c r="K1000" s="133"/>
    </row>
    <row r="1001" customFormat="false" ht="15" hidden="false" customHeight="false" outlineLevel="0" collapsed="false">
      <c r="C1001" s="310"/>
      <c r="D1001" s="310"/>
      <c r="E1001" s="310"/>
      <c r="K1001" s="133"/>
    </row>
    <row r="1002" customFormat="false" ht="15" hidden="false" customHeight="false" outlineLevel="0" collapsed="false">
      <c r="C1002" s="310"/>
      <c r="D1002" s="310"/>
      <c r="E1002" s="310"/>
      <c r="K1002" s="133"/>
    </row>
    <row r="1003" customFormat="false" ht="15" hidden="false" customHeight="false" outlineLevel="0" collapsed="false">
      <c r="C1003" s="310"/>
      <c r="D1003" s="310"/>
      <c r="E1003" s="310"/>
      <c r="K1003" s="133"/>
    </row>
    <row r="1004" customFormat="false" ht="15" hidden="false" customHeight="false" outlineLevel="0" collapsed="false">
      <c r="C1004" s="310"/>
      <c r="D1004" s="310"/>
      <c r="E1004" s="310"/>
      <c r="K1004" s="133"/>
    </row>
    <row r="1005" customFormat="false" ht="15" hidden="false" customHeight="false" outlineLevel="0" collapsed="false">
      <c r="C1005" s="310"/>
      <c r="D1005" s="310"/>
      <c r="E1005" s="310"/>
      <c r="K1005" s="133"/>
    </row>
    <row r="1006" customFormat="false" ht="15" hidden="false" customHeight="false" outlineLevel="0" collapsed="false">
      <c r="C1006" s="310"/>
      <c r="D1006" s="310"/>
      <c r="E1006" s="310"/>
      <c r="K1006" s="133"/>
    </row>
    <row r="1007" customFormat="false" ht="15" hidden="false" customHeight="false" outlineLevel="0" collapsed="false">
      <c r="C1007" s="310"/>
      <c r="D1007" s="310"/>
      <c r="E1007" s="310"/>
      <c r="K1007" s="133"/>
    </row>
    <row r="1008" customFormat="false" ht="15" hidden="false" customHeight="false" outlineLevel="0" collapsed="false">
      <c r="C1008" s="310"/>
      <c r="D1008" s="310"/>
      <c r="E1008" s="310"/>
      <c r="K1008" s="133"/>
    </row>
    <row r="1009" customFormat="false" ht="15" hidden="false" customHeight="false" outlineLevel="0" collapsed="false">
      <c r="C1009" s="310"/>
      <c r="D1009" s="310"/>
      <c r="E1009" s="310"/>
      <c r="K1009" s="133"/>
    </row>
    <row r="1010" customFormat="false" ht="15" hidden="false" customHeight="false" outlineLevel="0" collapsed="false">
      <c r="C1010" s="310"/>
      <c r="D1010" s="310"/>
      <c r="E1010" s="310"/>
      <c r="K1010" s="133"/>
    </row>
    <row r="1011" customFormat="false" ht="15" hidden="false" customHeight="false" outlineLevel="0" collapsed="false">
      <c r="C1011" s="310"/>
      <c r="D1011" s="310"/>
      <c r="E1011" s="310"/>
      <c r="K1011" s="133"/>
    </row>
    <row r="1012" customFormat="false" ht="15" hidden="false" customHeight="false" outlineLevel="0" collapsed="false">
      <c r="C1012" s="310"/>
      <c r="D1012" s="310"/>
      <c r="E1012" s="310"/>
      <c r="K1012" s="133"/>
    </row>
    <row r="1013" customFormat="false" ht="15" hidden="false" customHeight="false" outlineLevel="0" collapsed="false">
      <c r="C1013" s="310"/>
      <c r="D1013" s="310"/>
      <c r="E1013" s="310"/>
      <c r="K1013" s="133"/>
    </row>
    <row r="1014" customFormat="false" ht="15" hidden="false" customHeight="false" outlineLevel="0" collapsed="false">
      <c r="C1014" s="310"/>
      <c r="D1014" s="310"/>
      <c r="E1014" s="310"/>
      <c r="K1014" s="133"/>
    </row>
    <row r="1015" customFormat="false" ht="15" hidden="false" customHeight="false" outlineLevel="0" collapsed="false">
      <c r="C1015" s="310"/>
      <c r="D1015" s="310"/>
      <c r="E1015" s="310"/>
      <c r="K1015" s="133"/>
    </row>
    <row r="1016" customFormat="false" ht="15" hidden="false" customHeight="false" outlineLevel="0" collapsed="false">
      <c r="C1016" s="310"/>
      <c r="D1016" s="310"/>
      <c r="E1016" s="310"/>
      <c r="K1016" s="133"/>
    </row>
  </sheetData>
  <mergeCells count="8">
    <mergeCell ref="A1:E1"/>
    <mergeCell ref="H2:K2"/>
    <mergeCell ref="A110:E110"/>
    <mergeCell ref="A111:E111"/>
    <mergeCell ref="A118:E118"/>
    <mergeCell ref="A140:E140"/>
    <mergeCell ref="A162:E162"/>
    <mergeCell ref="A170:E170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true"/>
  </sheetPr>
  <dimension ref="A1:P10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92.57"/>
    <col collapsed="false" customWidth="true" hidden="false" outlineLevel="0" max="4" min="4" style="0" width="24"/>
    <col collapsed="false" customWidth="true" hidden="false" outlineLevel="0" max="5" min="5" style="0" width="24.43"/>
    <col collapsed="false" customWidth="true" hidden="false" outlineLevel="0" max="6" min="6" style="0" width="22"/>
    <col collapsed="false" customWidth="true" hidden="false" outlineLevel="0" max="7" min="7" style="0" width="18.86"/>
    <col collapsed="false" customWidth="true" hidden="false" outlineLevel="0" max="8" min="8" style="0" width="54.14"/>
    <col collapsed="false" customWidth="true" hidden="false" outlineLevel="0" max="9" min="9" style="0" width="23.29"/>
    <col collapsed="false" customWidth="true" hidden="false" outlineLevel="0" max="11" min="10" style="0" width="23.15"/>
  </cols>
  <sheetData>
    <row r="1" customFormat="false" ht="18.55" hidden="false" customHeight="false" outlineLevel="0" collapsed="false">
      <c r="A1" s="384" t="s">
        <v>307</v>
      </c>
      <c r="B1" s="384"/>
      <c r="C1" s="385"/>
      <c r="D1" s="385"/>
      <c r="E1" s="386"/>
      <c r="F1" s="379"/>
      <c r="G1" s="387"/>
    </row>
    <row r="2" customFormat="false" ht="17.35" hidden="false" customHeight="false" outlineLevel="0" collapsed="false">
      <c r="A2" s="71" t="s">
        <v>15</v>
      </c>
      <c r="B2" s="71" t="s">
        <v>16</v>
      </c>
      <c r="C2" s="312" t="s">
        <v>17</v>
      </c>
      <c r="D2" s="312" t="s">
        <v>18</v>
      </c>
      <c r="E2" s="74" t="s">
        <v>19</v>
      </c>
      <c r="F2" s="379"/>
      <c r="G2" s="387"/>
      <c r="H2" s="75" t="s">
        <v>20</v>
      </c>
      <c r="I2" s="75"/>
      <c r="J2" s="75"/>
      <c r="K2" s="75"/>
      <c r="M2" s="64" t="s">
        <v>21</v>
      </c>
      <c r="O2" s="76" t="s">
        <v>22</v>
      </c>
      <c r="P2" s="76"/>
    </row>
    <row r="3" customFormat="false" ht="17.35" hidden="false" customHeight="false" outlineLevel="0" collapsed="false">
      <c r="A3" s="77" t="s">
        <v>23</v>
      </c>
      <c r="B3" s="80"/>
      <c r="C3" s="313"/>
      <c r="D3" s="313"/>
      <c r="E3" s="81"/>
      <c r="F3" s="379"/>
      <c r="G3" s="387"/>
      <c r="H3" s="82"/>
      <c r="I3" s="83" t="s">
        <v>24</v>
      </c>
      <c r="J3" s="83" t="s">
        <v>25</v>
      </c>
      <c r="K3" s="84" t="s">
        <v>26</v>
      </c>
      <c r="M3" s="64" t="n">
        <f aca="false">SUM(O3/1000*P3/1000)*5/100</f>
        <v>0.09894</v>
      </c>
      <c r="N3" s="6" t="s">
        <v>27</v>
      </c>
      <c r="O3" s="64" t="n">
        <f aca="false">Термо!B10-60</f>
        <v>2040</v>
      </c>
      <c r="P3" s="64" t="n">
        <f aca="false">Термо!B11-60</f>
        <v>970</v>
      </c>
    </row>
    <row r="4" customFormat="false" ht="17.35" hidden="false" customHeight="false" outlineLevel="0" collapsed="false">
      <c r="A4" s="388" t="s">
        <v>308</v>
      </c>
      <c r="B4" s="388" t="s">
        <v>132</v>
      </c>
      <c r="C4" s="87" t="n">
        <v>0</v>
      </c>
      <c r="D4" s="314" t="n">
        <f aca="false">Управление!G3</f>
        <v>84</v>
      </c>
      <c r="E4" s="389" t="n">
        <f aca="false">D4*C4</f>
        <v>0</v>
      </c>
      <c r="F4" s="379"/>
      <c r="G4" s="387"/>
      <c r="H4" s="92" t="s">
        <v>30</v>
      </c>
      <c r="I4" s="118" t="n">
        <f aca="false">SUM(E6:E9,E11,E13,E39,E42,E44,E46:E47,E48,E51:E54,E56:E59,E61:E64,E66:E73,E75:E78)</f>
        <v>5924.48542</v>
      </c>
      <c r="J4" s="94" t="n">
        <v>1</v>
      </c>
      <c r="K4" s="93" t="n">
        <f aca="false">I4*J4</f>
        <v>5924.48542</v>
      </c>
      <c r="M4" s="95" t="n">
        <f aca="false">SUM(O4/1000*P4/1000)*3/100</f>
        <v>0.05338938</v>
      </c>
      <c r="N4" s="96" t="s">
        <v>31</v>
      </c>
      <c r="O4" s="95" t="n">
        <f aca="false">Термо!B10-127</f>
        <v>1973</v>
      </c>
      <c r="P4" s="95" t="n">
        <f aca="false">Термо!B11-128</f>
        <v>902</v>
      </c>
    </row>
    <row r="5" customFormat="false" ht="17.35" hidden="false" customHeight="false" outlineLevel="0" collapsed="false">
      <c r="A5" s="388" t="s">
        <v>32</v>
      </c>
      <c r="B5" s="390"/>
      <c r="C5" s="314" t="n">
        <v>0</v>
      </c>
      <c r="D5" s="314" t="n">
        <f aca="false">Управление!G3</f>
        <v>84</v>
      </c>
      <c r="E5" s="314" t="n">
        <f aca="false">D5*C5</f>
        <v>0</v>
      </c>
      <c r="F5" s="379"/>
      <c r="G5" s="387"/>
      <c r="H5" s="92" t="s">
        <v>33</v>
      </c>
      <c r="I5" s="391" t="n">
        <f aca="false">SUM(E40:E41,E43,E45,E65)</f>
        <v>1168.621675</v>
      </c>
      <c r="J5" s="94" t="n">
        <v>1</v>
      </c>
      <c r="K5" s="93" t="n">
        <f aca="false">I5*J5</f>
        <v>1168.621675</v>
      </c>
    </row>
    <row r="6" customFormat="false" ht="17.35" hidden="false" customHeight="false" outlineLevel="0" collapsed="false">
      <c r="A6" s="97" t="s">
        <v>34</v>
      </c>
      <c r="B6" s="98" t="s">
        <v>35</v>
      </c>
      <c r="C6" s="99" t="n">
        <v>3</v>
      </c>
      <c r="D6" s="100" t="n">
        <f aca="false">Управление!G4</f>
        <v>49</v>
      </c>
      <c r="E6" s="392" t="n">
        <f aca="false">D6*C6</f>
        <v>147</v>
      </c>
      <c r="F6" s="379"/>
      <c r="G6" s="387"/>
      <c r="H6" s="101" t="s">
        <v>36</v>
      </c>
      <c r="I6" s="391" t="n">
        <f aca="false">SUM(E14:E35)+E289</f>
        <v>1374</v>
      </c>
      <c r="J6" s="103" t="n">
        <v>1</v>
      </c>
      <c r="K6" s="93" t="n">
        <f aca="false">I6*J6</f>
        <v>1374</v>
      </c>
    </row>
    <row r="7" customFormat="false" ht="17.35" hidden="false" customHeight="false" outlineLevel="0" collapsed="false">
      <c r="A7" s="97" t="s">
        <v>37</v>
      </c>
      <c r="B7" s="98" t="s">
        <v>35</v>
      </c>
      <c r="C7" s="99" t="n">
        <v>5</v>
      </c>
      <c r="D7" s="100" t="n">
        <f aca="false">Управление!B5</f>
        <v>0.65</v>
      </c>
      <c r="E7" s="392" t="n">
        <f aca="false">D7*C7</f>
        <v>3.25</v>
      </c>
      <c r="F7" s="379"/>
      <c r="G7" s="387"/>
      <c r="H7" s="101" t="s">
        <v>309</v>
      </c>
      <c r="I7" s="118" t="n">
        <f aca="false">SUM(E156:E157)</f>
        <v>0</v>
      </c>
      <c r="J7" s="103" t="n">
        <v>1</v>
      </c>
      <c r="K7" s="93" t="n">
        <f aca="false">I7*J7</f>
        <v>0</v>
      </c>
    </row>
    <row r="8" customFormat="false" ht="17.35" hidden="false" customHeight="false" outlineLevel="0" collapsed="false">
      <c r="A8" s="104" t="s">
        <v>39</v>
      </c>
      <c r="B8" s="105" t="s">
        <v>29</v>
      </c>
      <c r="C8" s="106" t="n">
        <v>0.35</v>
      </c>
      <c r="D8" s="107" t="n">
        <f aca="false">Управление!G6</f>
        <v>130</v>
      </c>
      <c r="E8" s="392" t="n">
        <f aca="false">D8*C8</f>
        <v>45.5</v>
      </c>
      <c r="F8" s="379" t="s">
        <v>310</v>
      </c>
      <c r="G8" s="387"/>
      <c r="H8" s="101" t="s">
        <v>42</v>
      </c>
      <c r="I8" s="118" t="n">
        <f aca="false">SUM(E96:E97,E93:E94,E80:E91)</f>
        <v>1765</v>
      </c>
      <c r="J8" s="103" t="n">
        <v>1</v>
      </c>
      <c r="K8" s="93" t="n">
        <f aca="false">I8*J8</f>
        <v>1765</v>
      </c>
      <c r="L8" s="393"/>
      <c r="M8" s="394"/>
      <c r="N8" s="394"/>
      <c r="O8" s="395"/>
    </row>
    <row r="9" customFormat="false" ht="17.35" hidden="false" customHeight="false" outlineLevel="0" collapsed="false">
      <c r="A9" s="104" t="s">
        <v>41</v>
      </c>
      <c r="B9" s="105" t="s">
        <v>35</v>
      </c>
      <c r="C9" s="106" t="n">
        <v>3</v>
      </c>
      <c r="D9" s="107" t="n">
        <f aca="false">Управление!B7</f>
        <v>3.8</v>
      </c>
      <c r="E9" s="392" t="n">
        <f aca="false">D9*C9</f>
        <v>11.4</v>
      </c>
      <c r="F9" s="379"/>
      <c r="G9" s="387"/>
      <c r="H9" s="101" t="s">
        <v>45</v>
      </c>
      <c r="I9" s="391" t="n">
        <f aca="false">SUM(E50,E100:E105,E107:E127,E137:E142,E144:E148,E150:E154)</f>
        <v>1556.65</v>
      </c>
      <c r="J9" s="103" t="n">
        <v>1</v>
      </c>
      <c r="K9" s="93" t="n">
        <f aca="false">I9*J9</f>
        <v>1556.65</v>
      </c>
      <c r="L9" s="394"/>
      <c r="M9" s="394"/>
      <c r="N9" s="394"/>
      <c r="O9" s="395"/>
    </row>
    <row r="10" customFormat="false" ht="17.35" hidden="false" customHeight="false" outlineLevel="0" collapsed="false">
      <c r="A10" s="321" t="s">
        <v>43</v>
      </c>
      <c r="B10" s="322"/>
      <c r="C10" s="396"/>
      <c r="D10" s="396"/>
      <c r="E10" s="397"/>
      <c r="F10" s="379" t="str">
        <f aca="false">Термо!B16</f>
        <v>Credo SP</v>
      </c>
      <c r="G10" s="387"/>
      <c r="H10" s="101" t="str">
        <f aca="false">CONCATENATE("Наружная HPL-панель"," ", O3, "х" ,P3  )</f>
        <v>Наружная HPL-панель 2040х970</v>
      </c>
      <c r="I10" s="391" t="n">
        <f aca="false">SUM(E201:E216)</f>
        <v>0</v>
      </c>
      <c r="J10" s="103" t="n">
        <v>1</v>
      </c>
      <c r="K10" s="93" t="n">
        <f aca="false">I10*J10</f>
        <v>0</v>
      </c>
    </row>
    <row r="11" customFormat="false" ht="17.35" hidden="false" customHeight="false" outlineLevel="0" collapsed="false">
      <c r="A11" s="97" t="s">
        <v>46</v>
      </c>
      <c r="B11" s="98" t="s">
        <v>35</v>
      </c>
      <c r="C11" s="99" t="n">
        <v>1</v>
      </c>
      <c r="D11" s="100" t="n">
        <f aca="false">Управление!B8</f>
        <v>1.6</v>
      </c>
      <c r="E11" s="392" t="n">
        <f aca="false">D11*C11</f>
        <v>1.6</v>
      </c>
      <c r="F11" s="379" t="str">
        <f aca="false">IF(Термо!B10&gt;2050,"Нестандарт","Стандарт")</f>
        <v>Нестандарт</v>
      </c>
      <c r="G11" s="387"/>
      <c r="H11" s="101" t="str">
        <f aca="false">CONCATENATE("Внутренняя МДФ-панель"," ", O4, "х" ,P4  )</f>
        <v>Внутренняя МДФ-панель 1973х902</v>
      </c>
      <c r="I11" s="118" t="n">
        <f aca="false">IF(Термо!C16="Без панели",0,L11)</f>
        <v>2620.393333</v>
      </c>
      <c r="J11" s="103" t="n">
        <v>1</v>
      </c>
      <c r="K11" s="93" t="n">
        <f aca="false">I11*J11</f>
        <v>2620.393333</v>
      </c>
      <c r="L11" s="70" t="n">
        <f aca="false">SUM(E159:E184)</f>
        <v>2620.393333</v>
      </c>
    </row>
    <row r="12" customFormat="false" ht="17.35" hidden="false" customHeight="false" outlineLevel="0" collapsed="false">
      <c r="A12" s="321" t="s">
        <v>47</v>
      </c>
      <c r="B12" s="322"/>
      <c r="C12" s="79"/>
      <c r="D12" s="79"/>
      <c r="E12" s="81"/>
      <c r="F12" s="379" t="str">
        <f aca="false">IF(Термо!B11&gt;960,"Нестандарт","Стандарт")</f>
        <v>Нестандарт</v>
      </c>
      <c r="G12" s="387"/>
      <c r="H12" s="101" t="s">
        <v>311</v>
      </c>
      <c r="I12" s="398" t="n">
        <f aca="false">SUM(E220:E223)</f>
        <v>0</v>
      </c>
      <c r="J12" s="103" t="n">
        <v>1</v>
      </c>
      <c r="K12" s="93" t="n">
        <f aca="false">I12*J12</f>
        <v>0</v>
      </c>
    </row>
    <row r="13" customFormat="false" ht="17.35" hidden="false" customHeight="false" outlineLevel="0" collapsed="false">
      <c r="A13" s="97" t="s">
        <v>48</v>
      </c>
      <c r="B13" s="98" t="s">
        <v>49</v>
      </c>
      <c r="C13" s="99" t="n">
        <v>0.13</v>
      </c>
      <c r="D13" s="100" t="n">
        <f aca="false">Управление!D9</f>
        <v>125</v>
      </c>
      <c r="E13" s="392" t="n">
        <f aca="false">D13*C13</f>
        <v>16.25</v>
      </c>
      <c r="F13" s="399" t="str">
        <f aca="false">IF(AND(F11="Стандарт",F12="Стандарт"),"Стандарт","Нестандарт")</f>
        <v>Нестандарт</v>
      </c>
      <c r="G13" s="387"/>
      <c r="H13" s="101" t="s">
        <v>56</v>
      </c>
      <c r="I13" s="102" t="n">
        <f aca="false">SUM(E231)</f>
        <v>9370.2</v>
      </c>
      <c r="J13" s="103" t="n">
        <v>1</v>
      </c>
      <c r="K13" s="93" t="n">
        <f aca="false">I13*J13</f>
        <v>9370.2</v>
      </c>
    </row>
    <row r="14" customFormat="false" ht="17.35" hidden="false" customHeight="false" outlineLevel="0" collapsed="false">
      <c r="A14" s="85" t="s">
        <v>51</v>
      </c>
      <c r="B14" s="110" t="s">
        <v>29</v>
      </c>
      <c r="C14" s="400" t="n">
        <f aca="false">ifs(AND(F13="Стандарт",F10="Optima"),1.2,AND(F13="Нестандарт",F10="Optima"),1.3,AND(F13="Стандарт",F10="Soros Дуб чарлстон"),1.2,AND(F13="Нестандарт",F10="Soros Дуб чарлстон"),1.3,AND(F13="Стандарт",F10="Soros Вудлайн тёмный"),1.2,AND(F13="Нестандарт",F10="Soros Вудлайн тёмный"),1.3,AND(F13="Стандарт",F10="Veles Вяз шоколад"),1.2,AND(F13="Нестандарт",F10="Veles Вяз шоколад"),1.3,AND(F13="Стандарт",F10="Drevos SP Пино+чёрный"),1.2,AND(F13="Нестандарт",F10="Drevos SP Пино+чёрный"),1.3,AND(F13="Стандарт",F10="Darkwood SP вудлайн тёмный"),1.2,AND(F13="Нестандарт",F10="Darkwood SP вудлайн тёмный"),1.3,AND(F13="Стандарт",F10="Darkwood SP дуб чарлстон"),1.2,AND(F13="Нестандарт",F10="Darkwood SP дуб чарлстон"),1.3,AND(F13="Стандарт",F10="Imperato"),1.2,AND(F13="Нестандарт",F10="Imperato"),1.3,AND(F13="Стандарт",F10="Nova"),1.2,AND(F13="Нестандарт",F10="Nova"),1.3,AND(F13="Стандарт",F10="Senator Max SP"),1.2,AND(F13="Нестандарт",F10="Senator Max SP"),1.3,AND(F13="Стандарт",F10="Senator SP"),1.2,AND(F13="Нестандарт",F10="Senator SP"),1.3,AND(F13="Стандарт",F10="Credo SP"),1.2,AND(F13="Нестандарт",F10="Credo SP"),1.3,AND(F13="Стандарт",F10="Credo"),1.2,AND(F13="Нестандарт",F10="Credo"),1.3,AND(F13="Стандарт",F10="Soros Вяз шоколад"),1.2,AND(F13="Нестандарт",F10="Soros Вяз шоколад"),1.3,AND(F13="Стандарт",F10="Soros Пино"),1.2,AND(F13="Нестандарт",F10="Soros Пино"),1.3,AND(F13="Стандарт",F10="Veles Вудлайн тёмный"),1.2,AND(F13="Нестандарт",F10="Veles Вудлайн тёмный"),1.3,AND(F13="Стандарт",F10="Veles Дуб чарлстон"),1.2,AND(F13="Нестандарт",F10="Veles Дуб чарлстон"),1.3,AND(F13="Стандарт",F10="Veles Пино"),1.2,AND(F13="Нестандарт",F10="Veles Пино"),1.3,AND(F13="Стандарт",F10="Darkwood SP Вяз шоколад"),1.2,AND(F13="Нестандарт",F10="Darkwood SP Вяз шоколад"),1.3,AND(F13="Стандарт",F10="Darkwood SP Пино"),1.2,AND(F13="Нестандарт",F10="Darkwood SP Пино"),1.3,AND(F13="Стандарт",F10="Drevos SP Дуб чарлстон"),1.2,AND(F13="Нестандарт",F10="Drevos SP Дуб чарлстон"),1.3,AND(F13="Стандарт",F10="Drevos SP Вяз шоколад"),1.2,AND(F13="Нестандарт",F10="Drevos SP Вяз шоколад"),1.3,AND(F13="Стандарт",F10="Drevos SP Вудлайн тёмный"),1.2,AND(F13="Нестандарт",F10="Drevos SP Вудлайн тёмный"),1.3)-C267</f>
        <v>1.3</v>
      </c>
      <c r="D14" s="400" t="n">
        <f aca="false">IF(Термо!A22="Нет",0,Управление!J3)</f>
        <v>420</v>
      </c>
      <c r="E14" s="400" t="n">
        <f aca="false">D14*C14</f>
        <v>546</v>
      </c>
      <c r="F14" s="379"/>
      <c r="G14" s="387"/>
      <c r="H14" s="101" t="s">
        <v>58</v>
      </c>
      <c r="I14" s="102" t="n">
        <f aca="false">E186</f>
        <v>305.1466</v>
      </c>
      <c r="J14" s="103" t="n">
        <v>1</v>
      </c>
      <c r="K14" s="93" t="n">
        <f aca="false">I14*J14</f>
        <v>305.1466</v>
      </c>
    </row>
    <row r="15" customFormat="false" ht="17.35" hidden="false" customHeight="false" outlineLevel="0" collapsed="false">
      <c r="A15" s="85" t="s">
        <v>53</v>
      </c>
      <c r="B15" s="110" t="s">
        <v>29</v>
      </c>
      <c r="C15" s="400" t="n">
        <f aca="false">ifs(AND(F13="Стандарт",F10="Optima"),2.2,AND(F13="Нестандарт",F10="Optima"),2.3,AND(F13="Стандарт",F10="Soros Дуб чарлстон"),2.2,AND(F13="Нестандарт",F10="Soros Дуб чарлстон"),2.3,AND(F13="Стандарт",F10="Soros Вудлайн тёмный"),2.2,AND(F13="Нестандарт",F10="Soros Вудлайн тёмный"),2.3,AND(F13="Стандарт",F10="Veles Вяз шоколад"),2.2,AND(F13="Нестандарт",F10="Veles Вяз шоколад"),2.3,AND(F13="Стандарт",F10="Drevos SP Пино+чёрный"),1.4,AND(F13="Нестандарт",F10="Drevos SP Пино+чёрный"),1.6,AND(F13="Стандарт",F10="Darkwood SP вудлайн тёмный"),1.4,AND(F13="Нестандарт",F10="Darkwood SP вудлайн тёмный"),1.6,AND(F13="Стандарт",F10="Darkwood SP дуб чарлстон"),1.4,AND(F13="Нестандарт",F10="Darkwood SP дуб чарлстон"),1.6,AND(F13="Стандарт",F10="Imperato"),2.3,AND(F13="Нестандарт",F10="Imperato"),2.4,AND(F13="Стандарт",F10="Nova"),2.3,AND(F13="Нестандарт",F10="Nova"),2.4,AND(F13="Стандарт",F10="Senator Max SP"),2.2,AND(F13="Нестандарт",F10="Senator Max SP"),2.3,AND(F13="Стандарт",F10="Senator SP"),2.2,AND(F13="Нестандарт",F10="Senator SP"),2.3,AND(F13="Стандарт",F10="Credo SP"),2.4,AND(F13="Нестандарт",F10="Credo SP"),2.6,AND(F13="Стандарт",F10="Credo"),2.4,AND(F13="Нестандарт",F10="Credo"),2.6,AND(F13="Стандарт",F10="Soros Вяз шоколад"),2.2,AND(F13="Нестандарт",F10="Soros Вяз шоколад"),2.3,AND(F13="Стандарт",F10="Soros Пино"),2.2,AND(F13="Нестандарт",F10="Soros Пино"),2.3,AND(F13="Стандарт",F10="Veles Вудлайн тёмный"),2.2,AND(F13="Нестандарт",F10="Veles Вудлайн тёмный"),2.3,AND(F13="Стандарт",F10="Veles Дуб чарлстон"),2.2,AND(F13="Нестандарт",F10="Veles Дуб чарлстон"),2.3,AND(F13="Стандарт",F10="Veles Пино"),2.2,AND(F13="Нестандарт",F10="Veles Пино"),2.3,AND(F13="Стандарт",F10="Darkwood SP Вяз шоколад"),1.4,AND(F13="Нестандарт",F10="Darkwood SP Вяз шоколад"),1.6,AND(F13="Стандарт",F10="Darkwood SP Пино"),1.4,AND(F13="Нестандарт",F10="Darkwood SP Пино"),1.6,AND(F13="Стандарт",F10="Drevos SP Дуб чарлстон"),1.4,AND(F13="Нестандарт",F10="Drevos SP Дуб чарлстон"),1.6,AND(F13="Стандарт",F10="Drevos SP Вяз шоколад"),1.4,AND(F13="Нестандарт",F10="Drevos SP Вяз шоколад"),1.6,AND(F13="Стандарт",F10="Drevos SP Вудлайн тёмный"),1.4,AND(F13="Нестандарт",F10="Drevos SP Вудлайн тёмный"),1.6)-C268</f>
        <v>2.6</v>
      </c>
      <c r="D15" s="400" t="n">
        <f aca="false">IF(Термо!B22=A15,Управление!J4,0)</f>
        <v>0</v>
      </c>
      <c r="E15" s="400" t="n">
        <f aca="false">D15*C15</f>
        <v>0</v>
      </c>
      <c r="F15" s="379"/>
      <c r="G15" s="387"/>
      <c r="H15" s="101" t="s">
        <v>312</v>
      </c>
      <c r="I15" s="102" t="n">
        <f aca="false">E193</f>
        <v>1416</v>
      </c>
      <c r="J15" s="103" t="n">
        <v>1</v>
      </c>
      <c r="K15" s="93" t="n">
        <f aca="false">I15*J15</f>
        <v>1416</v>
      </c>
    </row>
    <row r="16" customFormat="false" ht="17.35" hidden="false" customHeight="false" outlineLevel="0" collapsed="false">
      <c r="A16" s="85" t="s">
        <v>55</v>
      </c>
      <c r="B16" s="110" t="s">
        <v>29</v>
      </c>
      <c r="C16" s="400" t="n">
        <f aca="false">ifs(AND(F13="Стандарт",F10="Optima"),2.2,AND(F13="Нестандарт",F10="Optima"),2.3,AND(F13="Стандарт",F10="Soros Дуб чарлстон"),2.2,AND(F13="Нестандарт",F10="Soros Дуб чарлстон"),2.3,AND(F13="Стандарт",F10="Soros Вудлайн тёмный"),2.2,AND(F13="Нестандарт",F10="Soros Вудлайн тёмный"),2.3,AND(F13="Стандарт",F10="Veles Вяз шоколад"),2.2,AND(F13="Нестандарт",F10="Veles Вяз шоколад"),2.3,AND(F13="Стандарт",F10="Drevos SP Пино+чёрный"),1.4,AND(F13="Нестандарт",F10="Drevos SP Пино+чёрный"),1.6,AND(F13="Стандарт",F10="Darkwood SP вудлайн тёмный"),1.4,AND(F13="Нестандарт",F10="Darkwood SP вудлайн тёмный"),1.6,AND(F13="Стандарт",F10="Darkwood SP дуб чарлстон"),1.4,AND(F13="Нестандарт",F10="Darkwood SP дуб чарлстон"),1.6,AND(F13="Стандарт",F10="Imperato"),2.3,AND(F13="Нестандарт",F10="Imperato"),2.4,AND(F13="Стандарт",F10="Nova"),2.3,AND(F13="Нестандарт",F10="Nova"),2.4,AND(F13="Стандарт",F10="Senator Max SP"),2.2,AND(F13="Нестандарт",F10="Senator Max SP"),2.3,AND(F13="Стандарт",F10="Senator SP"),2.2,AND(F13="Нестандарт",F10="Senator SP"),2.3,AND(F13="Стандарт",F10="Credo SP"),2.4,AND(F13="Нестандарт",F10="Credo SP"),2.6,AND(F13="Стандарт",F10="Credo"),2.4,AND(F13="Нестандарт",F10="Credo"),2.6,AND(F13="Стандарт",F10="Soros Вяз шоколад"),2.2,AND(F13="Нестандарт",F10="Soros Вяз шоколад"),2.3,AND(F13="Стандарт",F10="Soros Пино"),2.2,AND(F13="Нестандарт",F10="Soros Пино"),2.3,AND(F13="Стандарт",F10="Veles Вудлайн тёмный"),2.2,AND(F13="Нестандарт",F10="Veles Вудлайн тёмный"),2.3,AND(F13="Стандарт",F10="Veles Дуб чарлстон"),2.2,AND(F13="Нестандарт",F10="Veles Дуб чарлстон"),2.3,AND(F13="Стандарт",F10="Veles Пино"),2.2,AND(F13="Нестандарт",F10="Veles Пино"),2.3,AND(F13="Стандарт",F10="Darkwood SP Вяз шоколад"),1.4,AND(F13="Нестандарт",F10="Darkwood SP Вяз шоколад"),1.6,AND(F13="Стандарт",F10="Darkwood SP Пино"),1.4,AND(F13="Нестандарт",F10="Darkwood SP Пино"),1.6,AND(F13="Стандарт",F10="Drevos SP Дуб чарлстон"),1.4,AND(F13="Нестандарт",F10="Drevos SP Дуб чарлстон"),1.6,AND(F13="Стандарт",F10="Drevos SP Вяз шоколад"),1.4,AND(F13="Нестандарт",F10="Drevos SP Вяз шоколад"),1.6,AND(F13="Стандарт",F10="Drevos SP Вудлайн тёмный"),1.4,AND(F13="Нестандарт",F10="Drevos SP Вудлайн тёмный"),1.6)-C269</f>
        <v>2.6</v>
      </c>
      <c r="D16" s="400" t="n">
        <f aca="false">IF(Термо!B22=A16,Управление!J5,0)</f>
        <v>0</v>
      </c>
      <c r="E16" s="400" t="n">
        <f aca="false">D16*C16</f>
        <v>0</v>
      </c>
      <c r="F16" s="379"/>
      <c r="G16" s="387"/>
      <c r="H16" s="101" t="s">
        <v>313</v>
      </c>
      <c r="I16" s="118" t="n">
        <f aca="false">SUM(H188:H191)</f>
        <v>5818.75</v>
      </c>
      <c r="J16" s="103" t="n">
        <v>1</v>
      </c>
      <c r="K16" s="93" t="n">
        <f aca="false">I16*J16</f>
        <v>5818.75</v>
      </c>
    </row>
    <row r="17" customFormat="false" ht="17.35" hidden="false" customHeight="false" outlineLevel="0" collapsed="false">
      <c r="A17" s="85" t="s">
        <v>57</v>
      </c>
      <c r="B17" s="110" t="s">
        <v>29</v>
      </c>
      <c r="C17" s="400" t="n">
        <f aca="false">ifs(AND(F13="Стандарт",F10="Optima"),2.1,AND(F13="Нестандарт",F10="Optima"),2.3,AND(F13="Стандарт",F10="Soros Дуб чарлстон"),2.1,AND(F13="Нестандарт",F10="Soros Дуб чарлстон"),2.3,AND(F13="Стандарт",F10="Soros Вудлайн тёмный"),2.1,AND(F13="Нестандарт",F10="Soros Вудлайн тёмный"),2.3,AND(F13="Стандарт",F10="Veles Вяз шоколад"),2.1,AND(F13="Нестандарт",F10="Veles Вяз шоколад"),2.3,AND(F13="Стандарт",F10="Drevos SP Пино+чёрный"),1.4,AND(F13="Нестандарт",F10="Drevos SP Пино+чёрный"),1.6,AND(F13="Стандарт",F10="Darkwood SP вудлайн тёмный"),1.4,AND(F13="Нестандарт",F10="Darkwood SP вудлайн тёмный"),1.6,AND(F13="Стандарт",F10="Darkwood SP дуб чарлстон"),1.4,AND(F13="Нестандарт",F10="Darkwood SP дуб чарлстон"),1.6,AND(F13="Стандарт",F10="Imperato"),2.3,AND(F13="Нестандарт",F10="Imperato"),2.4,AND(F13="Стандарт",F10="Nova"),2.3,AND(F13="Нестандарт",F10="Nova"),2.4,AND(F13="Стандарт",F10="Senator Max SP"),2.1,AND(F13="Нестандарт",F10="Senator Max SP"),2.3,AND(F13="Стандарт",F10="Senator SP"),2.1,AND(F13="Нестандарт",F10="Senator SP"),2.3,AND(F13="Стандарт",F10="Credo SP"),2.4,AND(F13="Нестандарт",F10="Credo SP"),2.6,AND(F13="Стандарт",F10="Credo"),2.4,AND(F13="Нестандарт",F10="Credo"),2.6,AND(F13="Стандарт",F10="Soros Вяз шоколад"),2.2,AND(F13="Нестандарт",F10="Soros Вяз шоколад"),2.3,AND(F13="Стандарт",F10="Soros Пино"),2.2,AND(F13="Нестандарт",F10="Soros Пино"),2.3,AND(F13="Стандарт",F10="Veles Вудлайн тёмный"),2.2,AND(F13="Нестандарт",F10="Veles Вудлайн тёмный"),2.3,AND(F13="Стандарт",F10="Veles Дуб чарлстон"),2.2,AND(F13="Нестандарт",F10="Veles Дуб чарлстон"),2.3,AND(F13="Стандарт",F10="Veles Пино"),2.2,AND(F13="Нестандарт",F10="Veles Пино"),2.3,AND(F13="Стандарт",F10="Darkwood SP Вяз шоколад"),1.4,AND(F13="Нестандарт",F10="Darkwood SP Вяз шоколад"),1.6,AND(F13="Стандарт",F10="Darkwood SP Пино"),1.4,AND(F13="Нестандарт",F10="Darkwood SP Пино"),1.6,AND(F13="Стандарт",F10="Drevos SP Дуб чарлстон"),1.4,AND(F13="Нестандарт",F10="Drevos SP Дуб чарлстон"),1.6,AND(F13="Стандарт",F10="Drevos SP Вяз шоколад"),1.4,AND(F13="Нестандарт",F10="Drevos SP Вяз шоколад"),1.6,AND(F13="Стандарт",F10="Drevos SP Вудлайн тёмный"),1.4,AND(F13="Нестандарт",F10="Drevos SP Вудлайн тёмный"),1.6)-C270</f>
        <v>2.6</v>
      </c>
      <c r="D17" s="400" t="n">
        <f aca="false">IF(Термо!B22=A17,Управление!J6,0)</f>
        <v>0</v>
      </c>
      <c r="E17" s="400" t="n">
        <f aca="false">D17*C17</f>
        <v>0</v>
      </c>
      <c r="F17" s="379"/>
      <c r="G17" s="387"/>
      <c r="H17" s="101" t="s">
        <v>314</v>
      </c>
      <c r="I17" s="401" t="n">
        <f aca="false">SUM(E234:E235,E237:E239,E241:E243,E249:E250,E252:E254,E256:E259,E245:E247)</f>
        <v>9396.45</v>
      </c>
      <c r="J17" s="103" t="n">
        <v>1</v>
      </c>
      <c r="K17" s="93" t="n">
        <f aca="false">I17*J17</f>
        <v>9396.45</v>
      </c>
    </row>
    <row r="18" customFormat="false" ht="17.35" hidden="false" customHeight="false" outlineLevel="0" collapsed="false">
      <c r="A18" s="85" t="s">
        <v>315</v>
      </c>
      <c r="B18" s="110" t="s">
        <v>29</v>
      </c>
      <c r="C18" s="400" t="n">
        <f aca="false">ifs(AND(F13="Стандарт",F10="Optima"),2.2,AND(F13="Нестандарт",F10="Optima"),2.3,AND(F13="Стандарт",F10="Soros Дуб чарлстон"),2.2,AND(F13="Нестандарт",F10="Soros Дуб чарлстон"),2.3,AND(F13="Стандарт",F10="Soros Вудлайн тёмный"),2.2,AND(F13="Нестандарт",F10="Soros Вудлайн тёмный"),2.3,AND(F13="Стандарт",F10="Veles Вяз шоколад"),2.2,AND(F13="Нестандарт",F10="Veles Вяз шоколад"),2.3,AND(F13="Стандарт",F10="Drevos SP Пино+чёрный"),1.5,AND(F13="Нестандарт",F10="Drevos SP Пино+чёрный"),1.7,AND(F13="Стандарт",F10="Darkwood SP вудлайн тёмный"),1.5,AND(F13="Нестандарт",F10="Darkwood SP вудлайн тёмный"),1.7,AND(F13="Стандарт",F10="Darkwood SP дуб чарлстон"),1.5,AND(F13="Нестандарт",F10="Darkwood SP дуб чарлстон"),1.7,AND(F13="Стандарт",F10="Imperato"),2.3,AND(F13="Нестандарт",F10="Imperato"),2.4,AND(F13="Стандарт",F10="Nova"),2.3,AND(F13="Нестандарт",F10="Nova"),2.4,AND(F13="Стандарт",F10="Senator Max SP"),2.2,AND(F13="Нестандарт",F10="Senator Max SP"),2.3,AND(F13="Стандарт",F10="Senator SP"),2.2,AND(F13="Нестандарт",F10="Senator SP"),2.3,AND(F13="Стандарт",F10="Credo SP"),2.4,AND(F13="Нестандарт",F10="Credo SP"),2.6,AND(F13="Стандарт",F10="Credo"),2.4,AND(F13="Нестандарт",F10="Credo"),2.6,AND(F13="Стандарт",F10="Soros Вяз шоколад"),2.2,AND(F13="Нестандарт",F10="Soros Вяз шоколад"),2.3,AND(F13="Стандарт",F10="Soros Пино"),2.2,AND(F13="Нестандарт",F10="Soros Пино"),2.3,AND(F13="Стандарт",F10="Veles Вудлайн тёмный"),2.2,AND(F13="Нестандарт",F10="Veles Вудлайн тёмный"),2.3,AND(F13="Стандарт",F10="Veles Дуб чарлстон"),2.2,AND(F13="Нестандарт",F10="Veles Дуб чарлстон"),2.3,AND(F13="Стандарт",F10="Veles Пино"),2.2,AND(F13="Нестандарт",F10="Veles Пино"),2.3,AND(F13="Стандарт",F10="Darkwood SP Вяз шоколад"),1.4,AND(F13="Нестандарт",F10="Darkwood SP Вяз шоколад"),1.6,AND(F13="Стандарт",F10="Darkwood SP Пино"),1.4,AND(F13="Нестандарт",F10="Darkwood SP Пино"),1.6,AND(F13="Стандарт",F10="Drevos SP Дуб чарлстон"),1.4,AND(F13="Нестандарт",F10="Drevos SP Дуб чарлстон"),1.6,AND(F13="Стандарт",F10="Drevos SP Вяз шоколад"),1.4,AND(F13="Нестандарт",F10="Drevos SP Вяз шоколад"),1.6,AND(F13="Стандарт",F10="Drevos SP Вудлайн тёмный"),1.4,AND(F13="Нестандарт",F10="Drevos SP Вудлайн тёмный"),1.6)-C271</f>
        <v>2.6</v>
      </c>
      <c r="D18" s="400" t="n">
        <f aca="false">IF(Термо!B22=A18,Управление!J7,0)</f>
        <v>0</v>
      </c>
      <c r="E18" s="400" t="n">
        <f aca="false">D18*C18</f>
        <v>0</v>
      </c>
      <c r="F18" s="379"/>
      <c r="G18" s="387"/>
      <c r="H18" s="101" t="s">
        <v>316</v>
      </c>
      <c r="I18" s="401" t="n">
        <f aca="false">SUM(E261,E262,E263,E264,E265)</f>
        <v>1432.76</v>
      </c>
      <c r="J18" s="103" t="n">
        <v>1</v>
      </c>
      <c r="K18" s="93" t="n">
        <f aca="false">I18*J18</f>
        <v>1432.76</v>
      </c>
    </row>
    <row r="19" customFormat="false" ht="17.35" hidden="false" customHeight="false" outlineLevel="0" collapsed="false">
      <c r="A19" s="85" t="s">
        <v>61</v>
      </c>
      <c r="B19" s="110" t="s">
        <v>29</v>
      </c>
      <c r="C19" s="400" t="n">
        <f aca="false">ifs(AND(F13="Стандарт",F10="Optima"),2.1,AND(F13="Нестандарт",F10="Optima"),2.3,AND(F13="Стандарт",F10="Soros Дуб чарлстон"),2.1,AND(F13="Нестандарт",F10="Soros Дуб чарлстон"),2.3,AND(F13="Стандарт",F10="Soros Вудлайн тёмный"),2.1,AND(F13="Нестандарт",F10="Soros Вудлайн тёмный"),2.3,AND(F13="Стандарт",F10="Veles Вяз шоколад"),2.1,AND(F13="Нестандарт",F10="Veles Вяз шоколад"),2.3,AND(F13="Стандарт",F10="Drevos SP Пино+чёрный"),1.5,AND(F13="Нестандарт",F10="Drevos SP Пино+чёрный"),1.7,AND(F13="Стандарт",F10="Darkwood SP вудлайн тёмный"),1.5,AND(F13="Нестандарт",F10="Darkwood SP вудлайн тёмный"),1.7,AND(F13="Стандарт",F10="Darkwood SP дуб чарлстон"),1.5,AND(F13="Нестандарт",F10="Darkwood SP дуб чарлстон"),1.7,AND(F13="Стандарт",F10="Imperato"),2.3,AND(F13="Нестандарт",F10="Imperato"),2.4,AND(F13="Стандарт",F10="Nova"),2.3,AND(F13="Нестандарт",F10="Nova"),2.4,AND(F13="Стандарт",F10="Senator Max SP"),2.1,AND(F13="Нестандарт",F10="Senator Max SP"),2.3,AND(F13="Стандарт",F10="Senator SP"),2.1,AND(F13="Нестандарт",F10="Senator SP"),2.3,AND(F13="Стандарт",F10="Credo SP"),2.4,AND(F13="Нестандарт",F10="Credo SP"),2.6,AND(F13="Стандарт",F10="Credo"),2.4,AND(F13="Нестандарт",F10="Credo"),2.6,AND(F13="Стандарт",F10="Soros Вяз шоколад"),2.2,AND(F13="Нестандарт",F10="Soros Вяз шоколад"),2.3,AND(F13="Стандарт",F10="Soros Пино"),2.2,AND(F13="Нестандарт",F10="Soros Пино"),2.3,AND(F13="Стандарт",F10="Veles Вудлайн тёмный"),2.2,AND(F13="Нестандарт",F10="Veles Вудлайн тёмный"),2.3,AND(F13="Стандарт",F10="Veles Дуб чарлстон"),2.2,AND(F13="Нестандарт",F10="Veles Дуб чарлстон"),2.3,AND(F13="Стандарт",F10="Veles Пино"),2.2,AND(F13="Нестандарт",F10="Veles Пино"),2.3,AND(F13="Стандарт",F10="Darkwood SP Вяз шоколад"),1.4,AND(F13="Нестандарт",F10="Darkwood SP Вяз шоколад"),1.6,AND(F13="Стандарт",F10="Darkwood SP Пино"),1.4,AND(F13="Нестандарт",F10="Darkwood SP Пино"),1.6,AND(F13="Стандарт",F10="Drevos SP Дуб чарлстон"),1.4,AND(F13="Нестандарт",F10="Drevos SP Дуб чарлстон"),1.6,AND(F13="Стандарт",F10="Drevos SP Вяз шоколад"),1.4,AND(F13="Нестандарт",F10="Drevos SP Вяз шоколад"),1.6,AND(F13="Стандарт",F10="Drevos SP Вудлайн тёмный"),1.4,AND(F13="Нестандарт",F10="Drevos SP Вудлайн тёмный"),1.6)-C272</f>
        <v>2.6</v>
      </c>
      <c r="D19" s="400" t="n">
        <f aca="false">IF(Термо!B22=A19,Управление!J8,0)</f>
        <v>0</v>
      </c>
      <c r="E19" s="400" t="n">
        <f aca="false">D19*C19</f>
        <v>0</v>
      </c>
      <c r="F19" s="379"/>
      <c r="G19" s="387"/>
      <c r="H19" s="101" t="s">
        <v>317</v>
      </c>
      <c r="I19" s="113" t="n">
        <f aca="false">E195</f>
        <v>0</v>
      </c>
      <c r="J19" s="103" t="n">
        <v>1</v>
      </c>
      <c r="K19" s="102" t="n">
        <f aca="false">I19*J19</f>
        <v>0</v>
      </c>
    </row>
    <row r="20" customFormat="false" ht="17.35" hidden="false" customHeight="false" outlineLevel="0" collapsed="false">
      <c r="A20" s="85" t="s">
        <v>63</v>
      </c>
      <c r="B20" s="110" t="s">
        <v>29</v>
      </c>
      <c r="C20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тёмный"),2.2)-C273</f>
        <v>2.3</v>
      </c>
      <c r="D20" s="400" t="n">
        <f aca="false">IF(Термо!B22=A20,Управление!J9,0)</f>
        <v>0</v>
      </c>
      <c r="E20" s="400" t="n">
        <f aca="false">D20*C20</f>
        <v>0</v>
      </c>
      <c r="F20" s="379"/>
      <c r="G20" s="387"/>
      <c r="H20" s="101" t="s">
        <v>292</v>
      </c>
      <c r="I20" s="391" t="n">
        <f aca="false">SUM(E197:E199)</f>
        <v>880</v>
      </c>
      <c r="J20" s="103" t="n">
        <v>1</v>
      </c>
      <c r="K20" s="102" t="n">
        <f aca="false">I20*J20</f>
        <v>880</v>
      </c>
    </row>
    <row r="21" customFormat="false" ht="17.35" hidden="false" customHeight="false" outlineLevel="0" collapsed="false">
      <c r="A21" s="85" t="s">
        <v>65</v>
      </c>
      <c r="B21" s="110" t="s">
        <v>29</v>
      </c>
      <c r="C21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тёмный"),2.2)-C274</f>
        <v>2.3</v>
      </c>
      <c r="D21" s="400" t="n">
        <f aca="false">IF(Термо!B22=A21,Управление!J10,0)</f>
        <v>0</v>
      </c>
      <c r="E21" s="400" t="n">
        <f aca="false">D21*C21</f>
        <v>0</v>
      </c>
      <c r="F21" s="379"/>
      <c r="G21" s="387"/>
      <c r="H21" s="101" t="s">
        <v>66</v>
      </c>
      <c r="I21" s="402" t="n">
        <f aca="false">ifs(Термо!B16='Наружная отделка'!B16,Управление!B141,Термо!B16='Наружная отделка'!C16,Управление!B142,Термо!B16='Наружная отделка'!D16,Управление!B143,Термо!B16='Наружная отделка'!E16,Управление!B145,Термо!B16='Наружная отделка'!F16,Управление!B145,Термо!B16='Наружная отделка'!G16,Управление!B146,Термо!B16='Наружная отделка'!H16,Управление!B147,Термо!B16='Наружная отделка'!B20,Управление!B148,Термо!B16='Наружная отделка'!C20,Управление!B148,Термо!B16='Наружная отделка'!D20,Управление!B149,Термо!B16='Наружная отделка'!E20,Управление!B149,Термо!B16='Наружная отделка'!F20,Управление!B150,Термо!B16='Наружная отделка'!G20,Управление!B151,Термо!B16='Наружная отделка'!H20,Управление!B151,Термо!B16='Наружная отделка'!I20,Управление!B151,Термо!B16='Наружная отделка'!J20,Управление!B151,Термо!B16='Наружная отделка'!B29,Управление!B148,Термо!B16='Наружная отделка'!C29,Управление!B148,Термо!B16='Наружная отделка'!D29,Управление!B149,Термо!B16='Наружная отделка'!E29,Управление!B149,Термо!B16='Наружная отделка'!F29,Управление!B150,Термо!B16='Наружная отделка'!G29,Управление!B150,Термо!B16='Наружная отделка'!H29,Управление!B150)</f>
        <v>7000</v>
      </c>
      <c r="J21" s="103" t="n">
        <v>1</v>
      </c>
      <c r="K21" s="102" t="n">
        <f aca="false">I21*J21</f>
        <v>7000</v>
      </c>
    </row>
    <row r="22" customFormat="false" ht="17.35" hidden="false" customHeight="false" outlineLevel="0" collapsed="false">
      <c r="A22" s="85" t="s">
        <v>67</v>
      </c>
      <c r="B22" s="110" t="s">
        <v>29</v>
      </c>
      <c r="C22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тёмный"),2.2)-C275</f>
        <v>2.3</v>
      </c>
      <c r="D22" s="400" t="n">
        <f aca="false">IF(Термо!B22=A22,Управление!J11,0)</f>
        <v>360</v>
      </c>
      <c r="E22" s="400" t="n">
        <f aca="false">D22*C22</f>
        <v>828</v>
      </c>
      <c r="F22" s="379"/>
      <c r="G22" s="387"/>
      <c r="H22" s="101" t="s">
        <v>318</v>
      </c>
      <c r="I22" s="103" t="n">
        <f aca="false">IF(Термо!C22="Как основной",0,Управление!J153)</f>
        <v>0</v>
      </c>
      <c r="J22" s="103" t="n">
        <v>1</v>
      </c>
      <c r="K22" s="102" t="n">
        <f aca="false">I22*J22</f>
        <v>0</v>
      </c>
    </row>
    <row r="23" customFormat="false" ht="17.35" hidden="false" customHeight="false" outlineLevel="0" collapsed="false">
      <c r="A23" s="85" t="s">
        <v>68</v>
      </c>
      <c r="B23" s="110" t="s">
        <v>29</v>
      </c>
      <c r="C23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тёмный"),2.2)-C276</f>
        <v>2.3</v>
      </c>
      <c r="D23" s="400" t="n">
        <f aca="false">IF(Термо!B22=A23,Управление!J12,0)</f>
        <v>0</v>
      </c>
      <c r="E23" s="400" t="n">
        <f aca="false">D23*C23</f>
        <v>0</v>
      </c>
      <c r="F23" s="379"/>
      <c r="G23" s="387"/>
      <c r="H23" s="101"/>
      <c r="I23" s="103"/>
      <c r="J23" s="103"/>
      <c r="K23" s="102"/>
    </row>
    <row r="24" customFormat="false" ht="17.35" hidden="false" customHeight="false" outlineLevel="0" collapsed="false">
      <c r="A24" s="85" t="s">
        <v>69</v>
      </c>
      <c r="B24" s="110" t="s">
        <v>29</v>
      </c>
      <c r="C24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тёмный"),2.2)-C277</f>
        <v>2.3</v>
      </c>
      <c r="D24" s="400" t="n">
        <f aca="false">IF(Термо!B22=A24,Управление!J13,0)</f>
        <v>0</v>
      </c>
      <c r="E24" s="400" t="n">
        <f aca="false">D24*C24</f>
        <v>0</v>
      </c>
      <c r="F24" s="379"/>
      <c r="G24" s="387"/>
      <c r="H24" s="101"/>
      <c r="I24" s="103"/>
      <c r="J24" s="103"/>
      <c r="K24" s="102"/>
    </row>
    <row r="25" customFormat="false" ht="17.35" hidden="false" customHeight="false" outlineLevel="0" collapsed="false">
      <c r="A25" s="85" t="s">
        <v>70</v>
      </c>
      <c r="B25" s="110" t="s">
        <v>29</v>
      </c>
      <c r="C25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тёмный"),2.2)-C278</f>
        <v>2.3</v>
      </c>
      <c r="D25" s="400" t="n">
        <f aca="false">IF(Термо!B22=A25,Управление!J14,0)</f>
        <v>0</v>
      </c>
      <c r="E25" s="400" t="n">
        <f aca="false">D25*C25</f>
        <v>0</v>
      </c>
      <c r="F25" s="379"/>
      <c r="G25" s="387"/>
      <c r="H25" s="101"/>
      <c r="I25" s="103"/>
      <c r="J25" s="103"/>
      <c r="K25" s="102"/>
    </row>
    <row r="26" customFormat="false" ht="17.35" hidden="false" customHeight="false" outlineLevel="0" collapsed="false">
      <c r="A26" s="85" t="s">
        <v>71</v>
      </c>
      <c r="B26" s="110" t="s">
        <v>29</v>
      </c>
      <c r="C26" s="400" t="n">
        <f aca="false">ifs(AND(F13="Стандарт",F10="Optima"),2.5,AND(F13="Нестандарт",F10="Optima"),2.5,AND(F13="Стандарт",F10="Soros Дуб чарлстон"),2.5,AND(F13="Нестандарт",F10="Soros Дуб чарлстон"),2.5,AND(F13="Стандарт",F10="Soros Вудлайн тёмный"),2.5,AND(F13="Нестандарт",F10="Soros Вудлайн тёмный"),2.5,AND(F13="Стандарт",F10="Veles Вяз шоколад"),2.5,AND(F13="Нестандарт",F10="Veles Вяз шоколад"),2.5,AND(F13="Стандарт",F10="Drevos SP Пино+чёрный"),2,AND(F13="Нестандарт",F10="Drevos SP Пино+чёрный"),2.5,AND(F13="Стандарт",F10="Darkwood SP вудлайн тёмный"),2,AND(F13="Нестандарт",F10="Darkwood SP вудлайн тёмный"),2.5,AND(F13="Стандарт",F10="Darkwood SP дуб чарлстон"),2,AND(F13="Нестандарт",F10="Darkwood SP дуб чарлстон"),2.5,AND(F13="Стандарт",F10="Imperato"),2.5,AND(F13="Нестандарт",F10="Imperato"),2.7,AND(F13="Стандарт",F10="Nova"),2.2,AND(F13="Нестандарт",F10="Nova"),2.4,AND(F13="Стандарт",F10="Senator Max SP"),2.5,AND(F13="Нестандарт",F10="Senator Max SP"),2.5,AND(F13="Стандарт",F10="Senator SP"),2.5,AND(F13="Нестандарт",F10="Senator SP"),2.5,AND(F13="Стандарт",F10="Credo SP"),2.5,AND(F13="Нестандарт",F10="Credo SP"),3,AND(F13="Стандарт",F10="Credo"),2.5,AND(F13="Нестандарт",F10="Credo"),3,AND(F13="Стандарт",F10="Soros Вяз шоколад"),2.5,AND(F13="Нестандарт",F10="Soros Вяз шоколад"),2.5,AND(F13="Стандарт",F10="Soros Пино"),2.5,AND(F13="Нестандарт",F10="Soros Пино"),2.5,AND(F13="Стандарт",F10="Veles Вудлайн тёмный"),2.5,AND(F13="Нестандарт",F10="Veles Вудлайн тёмный"),2.5,AND(F13="Стандарт",F10="Veles Дуб чарлстон"),2.5,AND(F13="Нестандарт",F10="Veles Дуб чарлстон"),2.5,AND(F13="Стандарт",F10="Veles Пино"),2.5,AND(F13="Нестандарт",F10="Veles Пино"),2.5,AND(F13="Стандарт",F10="Darkwood SP Вяз шоколад"),2,AND(F13="Нестандарт",F10="Darkwood SP Вяз шоколад"),2.5,AND(F13="Стандарт",F10="Darkwood SP Пино"),2,AND(F13="Нестандарт",F10="Darkwood SP Пино"),2.5,AND(F13="Стандарт",F10="Drevos SP Дуб чарлстон"),2,AND(F13="Нестандарт",F10="Drevos SP Дуб чарлстон"),2.5,AND(F13="Стандарт",F10="Drevos SP Вяз шоколад"),2,AND(F13="Нестандарт",F10="Drevos SP Вяз шоколад"),2.5,AND(F13="Стандарт",F10="Drevos SP Вудлайн тёмный"),2,AND(F13="Нестандарт",F10="Drevos SP Вудлайн тёмный"),2.5)-C279</f>
        <v>3</v>
      </c>
      <c r="D26" s="400" t="n">
        <f aca="false">IF(Термо!B22=A26,Управление!J15,0)</f>
        <v>0</v>
      </c>
      <c r="E26" s="400" t="n">
        <f aca="false">D26*C26</f>
        <v>0</v>
      </c>
      <c r="F26" s="379"/>
      <c r="G26" s="387"/>
      <c r="H26" s="101"/>
      <c r="I26" s="103"/>
      <c r="J26" s="103"/>
      <c r="K26" s="102"/>
    </row>
    <row r="27" customFormat="false" ht="17.35" hidden="false" customHeight="false" outlineLevel="0" collapsed="false">
      <c r="A27" s="85" t="s">
        <v>72</v>
      </c>
      <c r="B27" s="110" t="s">
        <v>29</v>
      </c>
      <c r="C27" s="400" t="n">
        <f aca="false">ifs(AND(F13="Стандарт",F10="Optima"),2.5,AND(F13="Нестандарт",F10="Optima"),2.5,AND(F13="Стандарт",F10="Soros Дуб чарлстон"),2.5,AND(F13="Нестандарт",F10="Soros Дуб чарлстон"),2.5,AND(F13="Стандарт",F10="Soros Вудлайн тёмный"),2.5,AND(F13="Нестандарт",F10="Soros Вудлайн тёмный"),2.5,AND(F13="Стандарт",F10="Veles Вяз шоколад"),2.5,AND(F13="Нестандарт",F10="Veles Вяз шоколад"),2.5,AND(F13="Стандарт",F10="Drevos SP Пино+чёрный"),2,AND(F13="Нестандарт",F10="Drevos SP Пино+чёрный"),2.5,AND(F13="Стандарт",F10="Darkwood SP вудлайн тёмный"),2,AND(F13="Нестандарт",F10="Darkwood SP вудлайн тёмный"),2.5,AND(F13="Стандарт",F10="Darkwood SP дуб чарлстон"),2,AND(F13="Нестандарт",F10="Darkwood SP дуб чарлстон"),2.5,AND(F13="Стандарт",F10="Imperato"),2.5,AND(F13="Нестандарт",F10="Imperato"),2.7,AND(F13="Стандарт",F10="Nova"),2.2,AND(F13="Нестандарт",F10="Nova"),2.4,AND(F13="Стандарт",F10="Senator Max SP"),2.5,AND(F13="Нестандарт",F10="Senator Max SP"),2.5,AND(F13="Стандарт",F10="Senator SP"),2.5,AND(F13="Нестандарт",F10="Senator SP"),2.5,AND(F13="Стандарт",F10="Credo SP"),2.5,AND(F13="Нестандарт",F10="Credo SP"),3,AND(F13="Стандарт",F10="Credo"),2.5,AND(F13="Нестандарт",F10="Credo"),3,AND(F13="Стандарт",F10="Soros Вяз шоколад"),2.5,AND(F13="Нестандарт",F10="Soros Вяз шоколад"),2.5,AND(F13="Стандарт",F10="Soros Пино"),2.5,AND(F13="Нестандарт",F10="Soros Пино"),2.5,AND(F13="Стандарт",F10="Veles Вудлайн тёмный"),2.5,AND(F13="Нестандарт",F10="Veles Вудлайн тёмный"),2.5,AND(F13="Стандарт",F10="Veles Дуб чарлстон"),2.5,AND(F13="Нестандарт",F10="Veles Дуб чарлстон"),2.5,AND(F13="Стандарт",F10="Veles Пино"),2.5,AND(F13="Нестандарт",F10="Veles Пино"),2.5,AND(F13="Стандарт",F10="Darkwood SP Вяз шоколад"),2,AND(F13="Нестандарт",F10="Darkwood SP Вяз шоколад"),2.5,AND(F13="Стандарт",F10="Darkwood SP Пино"),2,AND(F13="Нестандарт",F10="Darkwood SP Пино"),2.5,AND(F13="Стандарт",F10="Drevos SP Дуб чарлстон"),2,AND(F13="Нестандарт",F10="Drevos SP Дуб чарлстон"),2.5,AND(F13="Стандарт",F10="Drevos SP Вяз шоколад"),2,AND(F13="Нестандарт",F10="Drevos SP Вяз шоколад"),2.5,AND(F13="Стандарт",F10="Drevos SP Вудлайн тёмный"),2,AND(F13="Нестандарт",F10="Drevos SP Вудлайн тёмный"),2.5)-C280</f>
        <v>3</v>
      </c>
      <c r="D27" s="400" t="n">
        <f aca="false">IF(Термо!B22=A27,Управление!J16,0)</f>
        <v>0</v>
      </c>
      <c r="E27" s="400" t="n">
        <f aca="false">D27*C27</f>
        <v>0</v>
      </c>
      <c r="F27" s="379"/>
      <c r="G27" s="387"/>
      <c r="H27" s="101"/>
      <c r="I27" s="103"/>
      <c r="J27" s="103"/>
      <c r="K27" s="102"/>
    </row>
    <row r="28" customFormat="false" ht="17.35" hidden="false" customHeight="false" outlineLevel="0" collapsed="false">
      <c r="A28" s="85" t="s">
        <v>73</v>
      </c>
      <c r="B28" s="110" t="s">
        <v>29</v>
      </c>
      <c r="C28" s="400" t="n">
        <f aca="false">ifs(AND(F13="Стандарт",F10="Optima"),2.5,AND(F13="Нестандарт",F10="Optima"),2.5,AND(F13="Стандарт",F10="Soros Дуб чарлстон"),2.5,AND(F13="Нестандарт",F10="Soros Дуб чарлстон"),2.5,AND(F13="Стандарт",F10="Soros Вудлайн тёмный"),2.5,AND(F13="Нестандарт",F10="Soros Вудлайн тёмный"),2.5,AND(F13="Стандарт",F10="Veles Вяз шоколад"),2.5,AND(F13="Нестандарт",F10="Veles Вяз шоколад"),2.5,AND(F13="Стандарт",F10="Drevos SP Пино+чёрный"),2,AND(F13="Нестандарт",F10="Drevos SP Пино+чёрный"),2.5,AND(F13="Стандарт",F10="Darkwood SP вудлайн тёмный"),2,AND(F13="Нестандарт",F10="Darkwood SP вудлайн тёмный"),2.5,AND(F13="Стандарт",F10="Darkwood SP дуб чарлстон"),2,AND(F13="Нестандарт",F10="Darkwood SP дуб чарлстон"),2.5,AND(F13="Стандарт",F10="Imperato"),2.5,AND(F13="Нестандарт",F10="Imperato"),2.7,AND(F13="Стандарт",F10="Nova"),2.2,AND(F13="Нестандарт",F10="Nova"),2.4,AND(F13="Стандарт",F10="Senator Max SP"),2.5,AND(F13="Нестандарт",F10="Senator Max SP"),2.5,AND(F13="Стандарт",F10="Senator SP"),2.5,AND(F13="Нестандарт",F10="Senator SP"),2.5,AND(F13="Стандарт",F10="Credo SP"),2.5,AND(F13="Нестандарт",F10="Credo SP"),3,AND(F13="Стандарт",F10="Credo"),2.5,AND(F13="Нестандарт",F10="Credo"),3,AND(F13="Стандарт",F10="Soros Вяз шоколад"),2.5,AND(F13="Нестандарт",F10="Soros Вяз шоколад"),2.5,AND(F13="Стандарт",F10="Soros Пино"),2.5,AND(F13="Нестандарт",F10="Soros Пино"),2.5,AND(F13="Стандарт",F10="Veles Вудлайн тёмный"),2.5,AND(F13="Нестандарт",F10="Veles Вудлайн тёмный"),2.5,AND(F13="Стандарт",F10="Veles Дуб чарлстон"),2.5,AND(F13="Нестандарт",F10="Veles Дуб чарлстон"),2.5,AND(F13="Стандарт",F10="Veles Пино"),2.5,AND(F13="Нестандарт",F10="Veles Пино"),2.5,AND(F13="Стандарт",F10="Darkwood SP Вяз шоколад"),2,AND(F13="Нестандарт",F10="Darkwood SP Вяз шоколад"),2.5,AND(F13="Стандарт",F10="Darkwood SP Пино"),2,AND(F13="Нестандарт",F10="Darkwood SP Пино"),2.5,AND(F13="Стандарт",F10="Drevos SP Дуб чарлстон"),2,AND(F13="Нестандарт",F10="Drevos SP Дуб чарлстон"),2.5,AND(F13="Стандарт",F10="Drevos SP Вяз шоколад"),2,AND(F13="Нестандарт",F10="Drevos SP Вяз шоколад"),2.5,AND(F13="Стандарт",F10="Drevos SP Вудлайн тёмный"),2,AND(F13="Нестандарт",F10="Drevos SP Вудлайн тёмный"),2.5)-C281</f>
        <v>3</v>
      </c>
      <c r="D28" s="400" t="n">
        <f aca="false">IF(Термо!B22=A28,Управление!J17,0)</f>
        <v>0</v>
      </c>
      <c r="E28" s="400" t="n">
        <f aca="false">D28*C28</f>
        <v>0</v>
      </c>
      <c r="F28" s="379"/>
      <c r="G28" s="387"/>
      <c r="H28" s="101"/>
      <c r="I28" s="103"/>
      <c r="J28" s="103"/>
      <c r="K28" s="102"/>
    </row>
    <row r="29" customFormat="false" ht="17.35" hidden="false" customHeight="false" outlineLevel="0" collapsed="false">
      <c r="A29" s="85" t="s">
        <v>74</v>
      </c>
      <c r="B29" s="110" t="s">
        <v>29</v>
      </c>
      <c r="C29" s="400" t="n">
        <f aca="false">ifs(AND(F13="Стандарт",F10="Optima"),2.5,AND(F13="Нестандарт",F10="Optima"),2.5,AND(F13="Стандарт",F10="Soros Дуб чарлстон"),2.5,AND(F13="Нестандарт",F10="Soros Дуб чарлстон"),2.5,AND(F13="Стандарт",F10="Soros Вудлайн тёмный"),2.5,AND(F13="Нестандарт",F10="Soros Вудлайн тёмный"),2.5,AND(F13="Стандарт",F10="Veles Вяз шоколад"),2.5,AND(F13="Нестандарт",F10="Veles Вяз шоколад"),2.5,AND(F13="Стандарт",F10="Drevos SP Пино+чёрный"),2,AND(F13="Нестандарт",F10="Drevos SP Пино+чёрный"),2.5,AND(F13="Стандарт",F10="Darkwood SP вудлайн тёмный"),2,AND(F13="Нестандарт",F10="Darkwood SP вудлайн тёмный"),2.5,AND(F13="Стандарт",F10="Darkwood SP дуб чарлстон"),2,AND(F13="Нестандарт",F10="Darkwood SP дуб чарлстон"),2.5,AND(F13="Стандарт",F10="Imperato"),2.5,AND(F13="Нестандарт",F10="Imperato"),2.7,AND(F13="Стандарт",F10="Nova"),2.2,AND(F13="Нестандарт",F10="Nova"),2.4,AND(F13="Стандарт",F10="Senator Max SP"),2.5,AND(F13="Нестандарт",F10="Senator Max SP"),2.5,AND(F13="Стандарт",F10="Senator SP"),2.5,AND(F13="Нестандарт",F10="Senator SP"),2.5,AND(F13="Стандарт",F10="Credo SP"),2.5,AND(F13="Нестандарт",F10="Credo SP"),3,AND(F13="Стандарт",F10="Credo"),2.5,AND(F13="Нестандарт",F10="Credo"),3,AND(F13="Стандарт",F10="Soros Вяз шоколад"),2.5,AND(F13="Нестандарт",F10="Soros Вяз шоколад"),2.5,AND(F13="Стандарт",F10="Soros Пино"),2.5,AND(F13="Нестандарт",F10="Soros Пино"),2.5,AND(F13="Стандарт",F10="Veles Вудлайн тёмный"),2.5,AND(F13="Нестандарт",F10="Veles Вудлайн тёмный"),2.5,AND(F13="Стандарт",F10="Veles Дуб чарлстон"),2.5,AND(F13="Нестандарт",F10="Veles Дуб чарлстон"),2.5,AND(F13="Стандарт",F10="Veles Пино"),2.5,AND(F13="Нестандарт",F10="Veles Пино"),2.5,AND(F13="Стандарт",F10="Darkwood SP Вяз шоколад"),2,AND(F13="Нестандарт",F10="Darkwood SP Вяз шоколад"),2.5,AND(F13="Стандарт",F10="Darkwood SP Пино"),2,AND(F13="Нестандарт",F10="Darkwood SP Пино"),2.5,AND(F13="Стандарт",F10="Drevos SP Дуб чарлстон"),2,AND(F13="Нестандарт",F10="Drevos SP Дуб чарлстон"),2.5,AND(F13="Стандарт",F10="Drevos SP Вяз шоколад"),2,AND(F13="Нестандарт",F10="Drevos SP Вяз шоколад"),2.5,AND(F13="Стандарт",F10="Drevos SP Вудлайн тёмный"),2,AND(F13="Нестандарт",F10="Drevos SP Вудлайн тёмный"),2.5)-C282</f>
        <v>3</v>
      </c>
      <c r="D29" s="400" t="n">
        <f aca="false">IF(Термо!B22=A29,Управление!J18,0)</f>
        <v>0</v>
      </c>
      <c r="E29" s="400" t="n">
        <f aca="false">D29*C29</f>
        <v>0</v>
      </c>
      <c r="F29" s="379"/>
      <c r="G29" s="387"/>
      <c r="H29" s="101"/>
      <c r="I29" s="103"/>
      <c r="J29" s="103"/>
      <c r="K29" s="102"/>
    </row>
    <row r="30" customFormat="false" ht="17.35" hidden="false" customHeight="false" outlineLevel="0" collapsed="false">
      <c r="A30" s="85" t="s">
        <v>75</v>
      </c>
      <c r="B30" s="110" t="s">
        <v>29</v>
      </c>
      <c r="C30" s="400" t="n">
        <f aca="false">ifs(AND(F13="Стандарт",F10="Optima"),2.5,AND(F13="Нестандарт",F10="Optima"),2.5,AND(F13="Стандарт",F10="Soros Дуб чарлстон"),2.5,AND(F13="Нестандарт",F10="Soros Дуб чарлстон"),2.5,AND(F13="Стандарт",F10="Soros Вудлайн тёмный"),2.5,AND(F13="Нестандарт",F10="Soros Вудлайн тёмный"),2.5,AND(F13="Стандарт",F10="Veles Вяз шоколад"),2.5,AND(F13="Нестандарт",F10="Veles Вяз шоколад"),2.5,AND(F13="Стандарт",F10="Drevos SP Пино+чёрный"),2,AND(F13="Нестандарт",F10="Drevos SP Пино+чёрный"),2.5,AND(F13="Стандарт",F10="Darkwood SP вудлайн тёмный"),2,AND(F13="Нестандарт",F10="Darkwood SP вудлайн тёмный"),2.5,AND(F13="Стандарт",F10="Darkwood SP дуб чарлстон"),2,AND(F13="Нестандарт",F10="Darkwood SP дуб чарлстон"),2.5,AND(F13="Стандарт",F10="Imperato"),2.5,AND(F13="Нестандарт",F10="Imperato"),2.7,AND(F13="Стандарт",F10="Nova"),2.2,AND(F13="Нестандарт",F10="Nova"),2.4,AND(F13="Стандарт",F10="Senator Max SP"),2.5,AND(F13="Нестандарт",F10="Senator Max SP"),2.5,AND(F13="Стандарт",F10="Senator SP"),2.5,AND(F13="Нестандарт",F10="Senator SP"),2.5,AND(F13="Стандарт",F10="Credo SP"),2.5,AND(F13="Нестандарт",F10="Credo SP"),3,AND(F13="Стандарт",F10="Credo"),2.5,AND(F13="Нестандарт",F10="Credo"),3,AND(F13="Стандарт",F10="Soros Вяз шоколад"),2.5,AND(F13="Нестандарт",F10="Soros Вяз шоколад"),2.5,AND(F13="Стандарт",F10="Soros Пино"),2.5,AND(F13="Нестандарт",F10="Soros Пино"),2.5,AND(F13="Стандарт",F10="Veles Вудлайн тёмный"),2.5,AND(F13="Нестандарт",F10="Veles Вудлайн тёмный"),2.5,AND(F13="Стандарт",F10="Veles Дуб чарлстон"),2.5,AND(F13="Нестандарт",F10="Veles Дуб чарлстон"),2.5,AND(F13="Стандарт",F10="Veles Пино"),2.5,AND(F13="Нестандарт",F10="Veles Пино"),2.5,AND(F13="Стандарт",F10="Darkwood SP Вяз шоколад"),2,AND(F13="Нестандарт",F10="Darkwood SP Вяз шоколад"),2.5,AND(F13="Стандарт",F10="Darkwood SP Пино"),2,AND(F13="Нестандарт",F10="Darkwood SP Пино"),2.5,AND(F13="Стандарт",F10="Drevos SP Дуб чарлстон"),2,AND(F13="Нестандарт",F10="Drevos SP Дуб чарлстон"),2.5,AND(F13="Стандарт",F10="Drevos SP Вяз шоколад"),2,AND(F13="Нестандарт",F10="Drevos SP Вяз шоколад"),2.5,AND(F13="Стандарт",F10="Drevos SP Вудлайн тёмный"),2,AND(F13="Нестандарт",F10="Drevos SP Вудлайн тёмный"),2.5)-C283</f>
        <v>3</v>
      </c>
      <c r="D30" s="400" t="n">
        <f aca="false">IF(Термо!B22=A30,Управление!J19,0)</f>
        <v>0</v>
      </c>
      <c r="E30" s="400" t="n">
        <f aca="false">D30*C30</f>
        <v>0</v>
      </c>
      <c r="F30" s="379"/>
      <c r="G30" s="387"/>
      <c r="H30" s="101"/>
      <c r="I30" s="103"/>
      <c r="J30" s="103"/>
      <c r="K30" s="102"/>
    </row>
    <row r="31" customFormat="false" ht="17.35" hidden="false" customHeight="false" outlineLevel="0" collapsed="false">
      <c r="A31" s="85" t="s">
        <v>76</v>
      </c>
      <c r="B31" s="110" t="s">
        <v>29</v>
      </c>
      <c r="C31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тёмный"),2.2)-C284</f>
        <v>2.3</v>
      </c>
      <c r="D31" s="400" t="n">
        <f aca="false">IF(Термо!B22=A31,Управление!J20,0)</f>
        <v>0</v>
      </c>
      <c r="E31" s="400" t="n">
        <f aca="false">D31*C31</f>
        <v>0</v>
      </c>
      <c r="F31" s="379"/>
      <c r="G31" s="387"/>
      <c r="H31" s="101"/>
      <c r="I31" s="103"/>
      <c r="J31" s="103"/>
      <c r="K31" s="102"/>
    </row>
    <row r="32" customFormat="false" ht="17.35" hidden="false" customHeight="false" outlineLevel="0" collapsed="false">
      <c r="A32" s="85" t="s">
        <v>77</v>
      </c>
      <c r="B32" s="110" t="s">
        <v>29</v>
      </c>
      <c r="C32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тёмный"),2.2)-C285</f>
        <v>2.3</v>
      </c>
      <c r="D32" s="400" t="n">
        <f aca="false">IF(Термо!B22=A32,Управление!J21,0)</f>
        <v>0</v>
      </c>
      <c r="E32" s="400" t="n">
        <f aca="false">D32*C32</f>
        <v>0</v>
      </c>
      <c r="F32" s="379"/>
      <c r="G32" s="387"/>
      <c r="H32" s="101"/>
      <c r="I32" s="103"/>
      <c r="J32" s="103"/>
      <c r="K32" s="102"/>
    </row>
    <row r="33" customFormat="false" ht="17.35" hidden="false" customHeight="false" outlineLevel="0" collapsed="false">
      <c r="A33" s="85" t="s">
        <v>78</v>
      </c>
      <c r="B33" s="110" t="s">
        <v>29</v>
      </c>
      <c r="C33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тёмный"),2.2)-C286</f>
        <v>2.3</v>
      </c>
      <c r="D33" s="400" t="n">
        <f aca="false">IF(Термо!B22=A33,Управление!J22,0)</f>
        <v>0</v>
      </c>
      <c r="E33" s="400" t="n">
        <f aca="false">D33*C33</f>
        <v>0</v>
      </c>
      <c r="F33" s="379"/>
      <c r="G33" s="387"/>
      <c r="H33" s="101"/>
      <c r="I33" s="103"/>
      <c r="J33" s="103"/>
      <c r="K33" s="102"/>
    </row>
    <row r="34" customFormat="false" ht="17.35" hidden="false" customHeight="false" outlineLevel="0" collapsed="false">
      <c r="A34" s="85" t="s">
        <v>79</v>
      </c>
      <c r="B34" s="110" t="s">
        <v>29</v>
      </c>
      <c r="C34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тёмный"),2.2)-C287</f>
        <v>2.3</v>
      </c>
      <c r="D34" s="400" t="n">
        <f aca="false">IF(Термо!B22=A34,Управление!J23,0)</f>
        <v>0</v>
      </c>
      <c r="E34" s="400" t="n">
        <f aca="false">D34*C34</f>
        <v>0</v>
      </c>
      <c r="F34" s="379"/>
      <c r="G34" s="387"/>
      <c r="H34" s="101"/>
      <c r="I34" s="103"/>
      <c r="J34" s="103"/>
      <c r="K34" s="102"/>
    </row>
    <row r="35" customFormat="false" ht="17.35" hidden="false" customHeight="false" outlineLevel="0" collapsed="false">
      <c r="A35" s="85" t="s">
        <v>80</v>
      </c>
      <c r="B35" s="110" t="s">
        <v>29</v>
      </c>
      <c r="C35" s="400" t="n">
        <f aca="false">ifs(AND(F13="Стандарт",F10="Optima"),2,AND(F13="Нестандарт",F10="Optima"),2.2,AND(F13="Стандарт",F10="Soros Дуб чарлстон"),2,AND(F13="Нестандарт",F10="Soros Дуб чарлстон"),2.2,AND(F13="Стандарт",F10="Soros Вудлайн тёмный"),2,AND(F13="Нестандарт",F10="Soros Вудлайн тёмный"),2.2,AND(F13="Стандарт",F10="Veles Вяз шоколад"),2,AND(F13="Нестандарт",F10="Veles Вяз шоколад"),2.2,AND(F13="Стандарт",F10="Drevos SP Пино+чёрный"),2,AND(F13="Нестандарт",F10="Drevos SP Пино+чёрный"),2.2,AND(F13="Стандарт",F10="Darkwood SP вудлайн тёмный"),2,AND(F13="Нестандарт",F10="Darkwood SP вудлайн тёмный"),2.2,AND(F13="Стандарт",F10="Darkwood SP дуб чарлстон"),2,AND(F13="Нестандарт",F10="Darkwood SP дуб чарлстон"),2.2,AND(F13="Стандарт",F10="Imperato"),2.3,AND(F13="Нестандарт",F10="Imperato"),2.4,AND(F13="Стандарт",F10="Nova"),2.3,AND(F13="Нестандарт",F10="Nova"),2.4,AND(F13="Стандарт",F10="Senator Max SP"),2,AND(F13="Нестандарт",F10="Senator Max SP"),2.2,AND(F13="Стандарт",F10="Senator SP"),2,AND(F13="Нестандарт",F10="Senator SP"),2.2,AND(F13="Стандарт",F10="Credo SP"),2.1,AND(F13="Нестандарт",F10="Credo SP"),2.3,AND(F13="Стандарт",F10="Credo"),2.1,AND(F13="Нестандарт",F10="Credo"),2.3,AND(F13="Стандарт",F10="Soros Вяз шоколад"),2,AND(F13="Нестандарт",F10="Soros Вяз шоколад"),2.2,AND(F13="Стандарт",F10="Soros Пино"),2,AND(F13="Нестандарт",F10="Soros Пино"),2.2,AND(F13="Стандарт",F10="Veles Вудлайн тёмный"),2,AND(F13="Нестандарт",F10="Veles Вудлайн тёмный"),2.2,AND(F13="Стандарт",F10="Veles Дуб чарлстон"),2,AND(F13="Нестандарт",F10="Veles Дуб чарлстон"),2.2,AND(F13="Стандарт",F10="Veles Пино"),2,AND(F13="Нестандарт",F10="Veles Пино"),2.2,AND(F13="Стандарт",F10="Darkwood SP Вяз шоколад"),2,AND(F13="Нестандарт",F10="Darkwood SP Вяз шоколад"),2.2,AND(F13="Стандарт",F10="Darkwood SP Пино"),2,AND(F13="Нестандарт",F10="Darkwood SP Пино"),2.2,AND(F13="Стандарт",F10="Drevos SP Дуб чарлстон"),2,AND(F13="Нестандарт",F10="Drevos SP Дуб чарлстон"),2.2,AND(F13="Стандарт",F10="Drevos SP Вяз шоколад"),2,AND(F13="Нестандарт",F10="Drevos SP Вяз шоколад"),2.2,AND(F13="Стандарт",F10="Drevos SP Вудлайн тёмный"),2,AND(F13="Нестандарт",F10="Drevos SP Вудлайн тёмный"),2.2)-C288</f>
        <v>2.3</v>
      </c>
      <c r="D35" s="400" t="n">
        <f aca="false">IF(Термо!B22=A35,Управление!J24,0)</f>
        <v>0</v>
      </c>
      <c r="E35" s="400" t="n">
        <f aca="false">D35*C35</f>
        <v>0</v>
      </c>
      <c r="F35" s="379"/>
      <c r="G35" s="387"/>
      <c r="H35" s="101"/>
      <c r="I35" s="103"/>
      <c r="J35" s="103"/>
      <c r="K35" s="102"/>
    </row>
    <row r="36" customFormat="false" ht="17.35" hidden="false" customHeight="false" outlineLevel="0" collapsed="false">
      <c r="A36" s="403"/>
      <c r="B36" s="404"/>
      <c r="C36" s="73"/>
      <c r="D36" s="73"/>
      <c r="E36" s="405"/>
      <c r="F36" s="379"/>
      <c r="G36" s="387"/>
      <c r="H36" s="101"/>
      <c r="I36" s="103"/>
      <c r="J36" s="103"/>
      <c r="K36" s="102"/>
    </row>
    <row r="37" customFormat="false" ht="17.35" hidden="false" customHeight="false" outlineLevel="0" collapsed="false">
      <c r="A37" s="404"/>
      <c r="B37" s="404"/>
      <c r="C37" s="73"/>
      <c r="D37" s="312"/>
      <c r="E37" s="405"/>
      <c r="F37" s="379"/>
      <c r="G37" s="387"/>
      <c r="H37" s="101"/>
      <c r="I37" s="103"/>
      <c r="J37" s="103"/>
      <c r="K37" s="102"/>
    </row>
    <row r="38" customFormat="false" ht="17.35" hidden="false" customHeight="false" outlineLevel="0" collapsed="false">
      <c r="A38" s="77" t="s">
        <v>83</v>
      </c>
      <c r="B38" s="80"/>
      <c r="C38" s="313"/>
      <c r="D38" s="313"/>
      <c r="E38" s="81"/>
      <c r="F38" s="379"/>
      <c r="G38" s="387"/>
      <c r="H38" s="101"/>
      <c r="I38" s="103"/>
      <c r="J38" s="103"/>
      <c r="K38" s="102"/>
    </row>
    <row r="39" customFormat="false" ht="17.35" hidden="false" customHeight="false" outlineLevel="0" collapsed="false">
      <c r="A39" s="119" t="s">
        <v>319</v>
      </c>
      <c r="B39" s="119" t="s">
        <v>85</v>
      </c>
      <c r="C39" s="121" t="n">
        <v>12</v>
      </c>
      <c r="D39" s="121" t="n">
        <f aca="false">Управление!C10</f>
        <v>24.95</v>
      </c>
      <c r="E39" s="392" t="n">
        <f aca="false">D39*C39</f>
        <v>299.4</v>
      </c>
      <c r="F39" s="379"/>
      <c r="G39" s="387"/>
      <c r="H39" s="101"/>
      <c r="I39" s="103"/>
      <c r="J39" s="103"/>
      <c r="K39" s="102"/>
    </row>
    <row r="40" customFormat="false" ht="17.35" hidden="false" customHeight="false" outlineLevel="0" collapsed="false">
      <c r="A40" s="115" t="s">
        <v>293</v>
      </c>
      <c r="B40" s="115" t="s">
        <v>82</v>
      </c>
      <c r="C40" s="336" t="n">
        <v>1</v>
      </c>
      <c r="D40" s="194" t="n">
        <f aca="false">IF(Термо!B10&gt;2209,140,105)</f>
        <v>105</v>
      </c>
      <c r="E40" s="406" t="n">
        <f aca="false">D40*C40</f>
        <v>105</v>
      </c>
      <c r="F40" s="379"/>
      <c r="G40" s="387"/>
      <c r="H40" s="101"/>
      <c r="I40" s="103"/>
      <c r="J40" s="103"/>
      <c r="K40" s="102"/>
    </row>
    <row r="41" customFormat="false" ht="17.35" hidden="false" customHeight="false" outlineLevel="0" collapsed="false">
      <c r="A41" s="115" t="s">
        <v>294</v>
      </c>
      <c r="B41" s="316" t="s">
        <v>82</v>
      </c>
      <c r="C41" s="336" t="n">
        <v>1</v>
      </c>
      <c r="D41" s="194" t="n">
        <f aca="false">Управление!B25</f>
        <v>118.5</v>
      </c>
      <c r="E41" s="406" t="n">
        <f aca="false">D41*C41</f>
        <v>118.5</v>
      </c>
      <c r="F41" s="379"/>
      <c r="G41" s="387"/>
    </row>
    <row r="42" customFormat="false" ht="17.35" hidden="false" customHeight="false" outlineLevel="0" collapsed="false">
      <c r="A42" s="119" t="s">
        <v>295</v>
      </c>
      <c r="B42" s="120" t="s">
        <v>85</v>
      </c>
      <c r="C42" s="407" t="n">
        <v>2</v>
      </c>
      <c r="D42" s="122" t="n">
        <f aca="false">Управление!C12</f>
        <v>23</v>
      </c>
      <c r="E42" s="392" t="n">
        <f aca="false">D42*C42</f>
        <v>46</v>
      </c>
      <c r="F42" s="379"/>
      <c r="G42" s="387"/>
    </row>
    <row r="43" customFormat="false" ht="17.35" hidden="false" customHeight="false" outlineLevel="0" collapsed="false">
      <c r="A43" s="85" t="s">
        <v>296</v>
      </c>
      <c r="B43" s="85" t="s">
        <v>21</v>
      </c>
      <c r="C43" s="407" t="n">
        <f aca="false">O4/1000*P4/1000*0.05</f>
        <v>0.0889823</v>
      </c>
      <c r="D43" s="88" t="n">
        <f aca="false">Управление!F15</f>
        <v>3750</v>
      </c>
      <c r="E43" s="408" t="n">
        <f aca="false">D43*C43</f>
        <v>333.683625</v>
      </c>
      <c r="F43" s="379"/>
      <c r="G43" s="387"/>
      <c r="H43" s="409"/>
      <c r="I43" s="409"/>
      <c r="J43" s="409"/>
      <c r="K43" s="409"/>
    </row>
    <row r="44" customFormat="false" ht="17.35" hidden="false" customHeight="false" outlineLevel="0" collapsed="false">
      <c r="A44" s="119" t="s">
        <v>320</v>
      </c>
      <c r="B44" s="119" t="s">
        <v>21</v>
      </c>
      <c r="C44" s="121" t="n">
        <v>0.015</v>
      </c>
      <c r="D44" s="121" t="n">
        <f aca="false">Управление!F13</f>
        <v>2150</v>
      </c>
      <c r="E44" s="392" t="n">
        <f aca="false">D44*C44</f>
        <v>32.25</v>
      </c>
      <c r="F44" s="379"/>
      <c r="G44" s="387"/>
      <c r="H44" s="409"/>
      <c r="I44" s="409"/>
      <c r="J44" s="126" t="s">
        <v>91</v>
      </c>
      <c r="K44" s="127" t="n">
        <f aca="false">SUM(K4:K43)-K21</f>
        <v>43028.45703</v>
      </c>
    </row>
    <row r="45" customFormat="false" ht="17.35" hidden="false" customHeight="false" outlineLevel="0" collapsed="false">
      <c r="A45" s="85" t="s">
        <v>321</v>
      </c>
      <c r="B45" s="85" t="s">
        <v>21</v>
      </c>
      <c r="C45" s="407" t="n">
        <f aca="false">O4/1000*P4/1000*0.05</f>
        <v>0.0889823</v>
      </c>
      <c r="D45" s="88" t="n">
        <f aca="false">Управление!F14</f>
        <v>3500</v>
      </c>
      <c r="E45" s="410" t="n">
        <f aca="false">D45*C45</f>
        <v>311.43805</v>
      </c>
      <c r="F45" s="379"/>
      <c r="G45" s="387"/>
      <c r="H45" s="394"/>
      <c r="I45" s="394"/>
      <c r="J45" s="126" t="s">
        <v>93</v>
      </c>
      <c r="K45" s="128" t="n">
        <v>30</v>
      </c>
      <c r="L45" s="317" t="n">
        <f aca="false">K44*(K45/100)</f>
        <v>12908.53711</v>
      </c>
    </row>
    <row r="46" customFormat="false" ht="17.35" hidden="false" customHeight="false" outlineLevel="0" collapsed="false">
      <c r="A46" s="119" t="s">
        <v>322</v>
      </c>
      <c r="B46" s="119" t="s">
        <v>323</v>
      </c>
      <c r="C46" s="314" t="n">
        <f aca="false">ifs(AND(OR(Термо!B16='Наружная отделка'!B20,Термо!B16='Наружная отделка'!C20,Термо!B16='Наружная отделка'!F20,Термо!B16='Наружная отделка'!D16,Термо!B16='Наружная отделка'!E16,Термо!B16='Наружная отделка'!F16,Термо!B16='Наружная отделка'!B29,Термо!B16='Наружная отделка'!C29,Термо!B16='Наружная отделка'!F29,Термо!B16='Наружная отделка'!G29,Термо!B16='Наружная отделка'!H29),Термо!B10&gt;2099),22,AND(OR(Термо!B16='Наружная отделка'!B20,Термо!B16='Наружная отделка'!C20,Термо!B16='Наружная отделка'!F20,Термо!B16='Наружная отделка'!D16,Термо!B16='Наружная отделка'!E16,Термо!B16='Наружная отделка'!F16,Термо!B16='Наружная отделка'!B29,Термо!B16='Наружная отделка'!C29,Термо!B16='Наружная отделка'!F29,Термо!B16='Наружная отделка'!G29,Термо!B16='Наружная отделка'!H29),Термо!B10&lt;2099),18,AND(OR(Термо!B16='Наружная отделка'!B16,Термо!B16='Наружная отделка'!C16,Термо!B16='Наружная отделка'!G16,Термо!B16='Наружная отделка'!H16,Термо!B16='Наружная отделка'!D20,Термо!B16='Наружная отделка'!E20,Термо!B16='Наружная отделка'!G20,Термо!B16='Наружная отделка'!H20,Термо!B16='Наружная отделка'!I20,Термо!B16='Наружная отделка'!J20,Термо!B16='Наружная отделка'!D29,Термо!B16='Наружная отделка'!E29),Термо!B10&gt;2099),16,AND(OR(Термо!B16='Наружная отделка'!B16,Термо!B16='Наружная отделка'!C16,Термо!B16='Наружная отделка'!G16,Термо!B16='Наружная отделка'!H16,Термо!B16='Наружная отделка'!D20,Термо!B16='Наружная отделка'!E20,Термо!B16='Наружная отделка'!G20,Термо!B16='Наружная отделка'!H20,Термо!B16='Наружная отделка'!I20,Термо!B16='Наружная отделка'!J20,Термо!B16='Наружная отделка'!D29,Термо!B16='Наружная отделка'!E29),Термо!B10&lt;2099),12)</f>
        <v>22</v>
      </c>
      <c r="D46" s="121" t="n">
        <f aca="false">Управление!C28</f>
        <v>44</v>
      </c>
      <c r="E46" s="392" t="n">
        <f aca="false">D46*C46</f>
        <v>968</v>
      </c>
      <c r="F46" s="379"/>
      <c r="G46" s="387"/>
      <c r="H46" s="394"/>
      <c r="I46" s="394"/>
      <c r="J46" s="6" t="s">
        <v>96</v>
      </c>
      <c r="K46" s="129" t="n">
        <f aca="false">(K44 * (1 +K45  / 100))*1.035+K21</f>
        <v>64894.78893</v>
      </c>
      <c r="L46" s="409"/>
      <c r="M46" s="409"/>
      <c r="N46" s="409"/>
      <c r="O46" s="411"/>
    </row>
    <row r="47" customFormat="false" ht="17.35" hidden="false" customHeight="false" outlineLevel="0" collapsed="false">
      <c r="A47" s="119" t="s">
        <v>324</v>
      </c>
      <c r="B47" s="146"/>
      <c r="C47" s="121" t="n">
        <v>124</v>
      </c>
      <c r="D47" s="121" t="n">
        <f aca="false">Управление!B29</f>
        <v>0.2</v>
      </c>
      <c r="E47" s="392" t="n">
        <f aca="false">D47*C47</f>
        <v>24.8</v>
      </c>
      <c r="F47" s="379"/>
      <c r="G47" s="387"/>
      <c r="H47" s="412"/>
      <c r="I47" s="412"/>
      <c r="J47" s="130" t="s">
        <v>325</v>
      </c>
      <c r="K47" s="131" t="n">
        <f aca="false">Управление!J188</f>
        <v>0</v>
      </c>
      <c r="L47" s="409"/>
      <c r="M47" s="409"/>
      <c r="N47" s="409"/>
      <c r="O47" s="413"/>
    </row>
    <row r="48" customFormat="false" ht="17.35" hidden="false" customHeight="false" outlineLevel="0" collapsed="false">
      <c r="A48" s="119" t="s">
        <v>89</v>
      </c>
      <c r="B48" s="119" t="s">
        <v>35</v>
      </c>
      <c r="C48" s="121" t="n">
        <v>4</v>
      </c>
      <c r="D48" s="121" t="n">
        <f aca="false">Управление!B17</f>
        <v>1.6</v>
      </c>
      <c r="E48" s="392" t="n">
        <f aca="false">D48*C48</f>
        <v>6.4</v>
      </c>
      <c r="F48" s="379"/>
      <c r="G48" s="387"/>
      <c r="H48" s="394"/>
      <c r="I48" s="394"/>
      <c r="J48" s="130" t="s">
        <v>326</v>
      </c>
      <c r="K48" s="131" t="n">
        <f aca="false">100 * ROUNDUP((K46 * (1 +K47  / 100)) / 100, 0)</f>
        <v>64900</v>
      </c>
      <c r="L48" s="393"/>
      <c r="M48" s="394"/>
      <c r="N48" s="394"/>
      <c r="O48" s="395"/>
    </row>
    <row r="49" customFormat="false" ht="17.35" hidden="false" customHeight="false" outlineLevel="0" collapsed="false">
      <c r="A49" s="77" t="s">
        <v>45</v>
      </c>
      <c r="B49" s="80"/>
      <c r="C49" s="313"/>
      <c r="D49" s="313"/>
      <c r="E49" s="81"/>
      <c r="F49" s="379"/>
      <c r="G49" s="387"/>
      <c r="K49" s="132"/>
      <c r="L49" s="393"/>
      <c r="M49" s="394"/>
      <c r="N49" s="394"/>
      <c r="O49" s="395"/>
    </row>
    <row r="50" customFormat="false" ht="17.35" hidden="false" customHeight="false" outlineLevel="0" collapsed="false">
      <c r="A50" s="414" t="s">
        <v>90</v>
      </c>
      <c r="B50" s="414" t="s">
        <v>35</v>
      </c>
      <c r="C50" s="400" t="n">
        <f aca="false">IF(Термо!A28="Электронный",0,F50)</f>
        <v>1</v>
      </c>
      <c r="D50" s="400" t="n">
        <f aca="false">Управление!J27</f>
        <v>63</v>
      </c>
      <c r="E50" s="415" t="n">
        <f aca="false">C50*D50</f>
        <v>63</v>
      </c>
      <c r="F50" s="379" t="n">
        <f aca="false">IF(Термо!B45="Да",1,0)</f>
        <v>1</v>
      </c>
      <c r="G50" s="387"/>
      <c r="K50" s="70"/>
      <c r="L50" s="412"/>
      <c r="M50" s="412"/>
      <c r="N50" s="412"/>
      <c r="O50" s="416"/>
    </row>
    <row r="51" customFormat="false" ht="17.35" hidden="false" customHeight="false" outlineLevel="0" collapsed="false">
      <c r="A51" s="119" t="s">
        <v>92</v>
      </c>
      <c r="B51" s="119" t="s">
        <v>35</v>
      </c>
      <c r="C51" s="121" t="n">
        <v>1</v>
      </c>
      <c r="D51" s="121" t="n">
        <f aca="false">Управление!J28</f>
        <v>31.4</v>
      </c>
      <c r="E51" s="400" t="n">
        <f aca="false">C51*D51</f>
        <v>31.4</v>
      </c>
      <c r="F51" s="379"/>
      <c r="G51" s="387"/>
      <c r="K51" s="133"/>
      <c r="L51" s="394"/>
      <c r="M51" s="394"/>
      <c r="N51" s="394"/>
      <c r="O51" s="395"/>
    </row>
    <row r="52" customFormat="false" ht="17.35" hidden="false" customHeight="false" outlineLevel="0" collapsed="false">
      <c r="A52" s="119" t="s">
        <v>95</v>
      </c>
      <c r="B52" s="119" t="s">
        <v>35</v>
      </c>
      <c r="C52" s="121" t="n">
        <v>1</v>
      </c>
      <c r="D52" s="121" t="n">
        <f aca="false">Управление!B18</f>
        <v>4.94</v>
      </c>
      <c r="E52" s="400" t="n">
        <f aca="false">C52*D52</f>
        <v>4.94</v>
      </c>
      <c r="F52" s="379"/>
      <c r="G52" s="387"/>
      <c r="K52" s="133"/>
    </row>
    <row r="53" customFormat="false" ht="17.35" hidden="false" customHeight="false" outlineLevel="0" collapsed="false">
      <c r="A53" s="119" t="s">
        <v>98</v>
      </c>
      <c r="B53" s="119" t="s">
        <v>35</v>
      </c>
      <c r="C53" s="121" t="n">
        <v>2</v>
      </c>
      <c r="D53" s="121" t="n">
        <f aca="false">Управление!B19</f>
        <v>0.37</v>
      </c>
      <c r="E53" s="400" t="n">
        <f aca="false">C53*D53</f>
        <v>0.74</v>
      </c>
      <c r="F53" s="379"/>
      <c r="G53" s="387"/>
      <c r="K53" s="133"/>
    </row>
    <row r="54" customFormat="false" ht="17.35" hidden="false" customHeight="false" outlineLevel="0" collapsed="false">
      <c r="A54" s="119" t="s">
        <v>100</v>
      </c>
      <c r="B54" s="119" t="s">
        <v>35</v>
      </c>
      <c r="C54" s="121" t="n">
        <v>1</v>
      </c>
      <c r="D54" s="121" t="n">
        <f aca="false">Управление!B20</f>
        <v>0.66</v>
      </c>
      <c r="E54" s="400" t="n">
        <f aca="false">C54*D54</f>
        <v>0.66</v>
      </c>
      <c r="F54" s="379"/>
      <c r="G54" s="387"/>
    </row>
    <row r="55" customFormat="false" ht="17.35" hidden="false" customHeight="false" outlineLevel="0" collapsed="false">
      <c r="A55" s="77" t="s">
        <v>103</v>
      </c>
      <c r="B55" s="80"/>
      <c r="C55" s="313"/>
      <c r="D55" s="313"/>
      <c r="E55" s="81"/>
      <c r="F55" s="379"/>
      <c r="G55" s="387"/>
    </row>
    <row r="56" customFormat="false" ht="17.35" hidden="false" customHeight="false" outlineLevel="0" collapsed="false">
      <c r="A56" s="119" t="s">
        <v>104</v>
      </c>
      <c r="B56" s="119" t="s">
        <v>35</v>
      </c>
      <c r="C56" s="121" t="n">
        <v>2</v>
      </c>
      <c r="D56" s="122" t="n">
        <f aca="false">Управление!B22</f>
        <v>2.75</v>
      </c>
      <c r="E56" s="392" t="n">
        <f aca="false">D56*C56</f>
        <v>5.5</v>
      </c>
      <c r="F56" s="379"/>
      <c r="G56" s="387"/>
    </row>
    <row r="57" customFormat="false" ht="17.35" hidden="false" customHeight="false" outlineLevel="0" collapsed="false">
      <c r="A57" s="119" t="s">
        <v>327</v>
      </c>
      <c r="B57" s="119" t="s">
        <v>35</v>
      </c>
      <c r="C57" s="121" t="n">
        <v>3</v>
      </c>
      <c r="D57" s="121" t="n">
        <f aca="false">Управление!B30</f>
        <v>3</v>
      </c>
      <c r="E57" s="392" t="n">
        <f aca="false">D57*C57</f>
        <v>9</v>
      </c>
      <c r="F57" s="379"/>
      <c r="G57" s="387"/>
    </row>
    <row r="58" customFormat="false" ht="17.35" hidden="false" customHeight="false" outlineLevel="0" collapsed="false">
      <c r="A58" s="134" t="s">
        <v>328</v>
      </c>
      <c r="B58" s="134" t="s">
        <v>35</v>
      </c>
      <c r="C58" s="136" t="n">
        <v>6</v>
      </c>
      <c r="D58" s="136" t="n">
        <f aca="false">Управление!B31</f>
        <v>13</v>
      </c>
      <c r="E58" s="392" t="n">
        <f aca="false">D58*C58</f>
        <v>78</v>
      </c>
      <c r="F58" s="379"/>
      <c r="G58" s="387"/>
    </row>
    <row r="59" customFormat="false" ht="17.35" hidden="false" customHeight="false" outlineLevel="0" collapsed="false">
      <c r="A59" s="134" t="s">
        <v>106</v>
      </c>
      <c r="B59" s="134" t="s">
        <v>35</v>
      </c>
      <c r="C59" s="136" t="n">
        <v>1</v>
      </c>
      <c r="D59" s="136" t="n">
        <f aca="false">Управление!B27</f>
        <v>2.15</v>
      </c>
      <c r="E59" s="392" t="n">
        <f aca="false">D59*C59</f>
        <v>2.15</v>
      </c>
      <c r="F59" s="379"/>
      <c r="G59" s="387"/>
    </row>
    <row r="60" customFormat="false" ht="17.35" hidden="false" customHeight="false" outlineLevel="0" collapsed="false">
      <c r="A60" s="77" t="s">
        <v>107</v>
      </c>
      <c r="B60" s="80"/>
      <c r="C60" s="313"/>
      <c r="D60" s="313"/>
      <c r="E60" s="81"/>
      <c r="F60" s="379"/>
      <c r="G60" s="387"/>
    </row>
    <row r="61" customFormat="false" ht="17.35" hidden="false" customHeight="false" outlineLevel="0" collapsed="false">
      <c r="A61" s="119" t="s">
        <v>108</v>
      </c>
      <c r="B61" s="134" t="s">
        <v>35</v>
      </c>
      <c r="C61" s="121" t="n">
        <v>1</v>
      </c>
      <c r="D61" s="121" t="n">
        <f aca="false">Управление!B41</f>
        <v>19.31</v>
      </c>
      <c r="E61" s="400" t="n">
        <f aca="false">C61*D61</f>
        <v>19.31</v>
      </c>
      <c r="F61" s="379"/>
      <c r="G61" s="387"/>
    </row>
    <row r="62" customFormat="false" ht="17.35" hidden="false" customHeight="false" outlineLevel="0" collapsed="false">
      <c r="A62" s="119" t="s">
        <v>329</v>
      </c>
      <c r="B62" s="119" t="s">
        <v>35</v>
      </c>
      <c r="C62" s="122" t="n">
        <v>0.0045</v>
      </c>
      <c r="D62" s="121" t="n">
        <f aca="false">Управление!F42</f>
        <v>3250</v>
      </c>
      <c r="E62" s="392" t="n">
        <f aca="false">C62*D62</f>
        <v>14.625</v>
      </c>
      <c r="F62" s="379"/>
      <c r="G62" s="387"/>
    </row>
    <row r="63" customFormat="false" ht="17.35" hidden="false" customHeight="false" outlineLevel="0" collapsed="false">
      <c r="A63" s="119" t="s">
        <v>109</v>
      </c>
      <c r="B63" s="119" t="s">
        <v>85</v>
      </c>
      <c r="C63" s="121" t="n">
        <v>0.6</v>
      </c>
      <c r="D63" s="121" t="n">
        <f aca="false">Управление!C43</f>
        <v>11</v>
      </c>
      <c r="E63" s="392" t="n">
        <f aca="false">C63*D63</f>
        <v>6.6</v>
      </c>
      <c r="F63" s="379"/>
      <c r="G63" s="387"/>
    </row>
    <row r="64" customFormat="false" ht="17.35" hidden="false" customHeight="false" outlineLevel="0" collapsed="false">
      <c r="A64" s="119" t="s">
        <v>110</v>
      </c>
      <c r="B64" s="146"/>
      <c r="C64" s="121" t="n">
        <v>1.5</v>
      </c>
      <c r="D64" s="121" t="n">
        <f aca="false">Управление!B44</f>
        <v>17.7</v>
      </c>
      <c r="E64" s="392" t="n">
        <f aca="false">C64*D64</f>
        <v>26.55</v>
      </c>
      <c r="F64" s="379"/>
      <c r="G64" s="387"/>
    </row>
    <row r="65" customFormat="false" ht="17.35" hidden="false" customHeight="false" outlineLevel="0" collapsed="false">
      <c r="A65" s="85" t="s">
        <v>111</v>
      </c>
      <c r="B65" s="316"/>
      <c r="C65" s="417" t="n">
        <f aca="false">ifs(Термо!B10
     &lt;= 2050, 4,
    Термо!B10 &gt; 2100, 9,
    Термо!B10 &gt; 2050, 6
)</f>
        <v>6</v>
      </c>
      <c r="D65" s="88" t="n">
        <f aca="false">Управление!B45</f>
        <v>50</v>
      </c>
      <c r="E65" s="410" t="n">
        <f aca="false">C65*D65</f>
        <v>300</v>
      </c>
      <c r="F65" s="379"/>
      <c r="G65" s="387"/>
    </row>
    <row r="66" customFormat="false" ht="17.35" hidden="false" customHeight="false" outlineLevel="0" collapsed="false">
      <c r="A66" s="134" t="s">
        <v>112</v>
      </c>
      <c r="B66" s="134" t="s">
        <v>35</v>
      </c>
      <c r="C66" s="136" t="n">
        <v>1</v>
      </c>
      <c r="D66" s="136" t="n">
        <f aca="false">Управление!B46</f>
        <v>22.7</v>
      </c>
      <c r="E66" s="392" t="n">
        <f aca="false">C66*D66</f>
        <v>22.7</v>
      </c>
      <c r="F66" s="379"/>
      <c r="G66" s="387"/>
    </row>
    <row r="67" customFormat="false" ht="17.35" hidden="false" customHeight="false" outlineLevel="0" collapsed="false">
      <c r="A67" s="134" t="s">
        <v>113</v>
      </c>
      <c r="B67" s="134" t="s">
        <v>35</v>
      </c>
      <c r="C67" s="136" t="n">
        <v>16</v>
      </c>
      <c r="D67" s="136" t="n">
        <f aca="false">Управление!B47</f>
        <v>0.43</v>
      </c>
      <c r="E67" s="392" t="n">
        <f aca="false">C67*D67</f>
        <v>6.88</v>
      </c>
      <c r="F67" s="379"/>
      <c r="G67" s="387"/>
    </row>
    <row r="68" customFormat="false" ht="17.35" hidden="false" customHeight="false" outlineLevel="0" collapsed="false">
      <c r="A68" s="134" t="s">
        <v>114</v>
      </c>
      <c r="B68" s="134" t="s">
        <v>35</v>
      </c>
      <c r="C68" s="136" t="n">
        <v>4</v>
      </c>
      <c r="D68" s="136" t="n">
        <f aca="false">Управление!B48</f>
        <v>0.9</v>
      </c>
      <c r="E68" s="392" t="n">
        <f aca="false">C68*D68</f>
        <v>3.6</v>
      </c>
      <c r="F68" s="379"/>
      <c r="G68" s="387"/>
    </row>
    <row r="69" customFormat="false" ht="17.35" hidden="false" customHeight="false" outlineLevel="0" collapsed="false">
      <c r="A69" s="134" t="s">
        <v>115</v>
      </c>
      <c r="B69" s="134" t="s">
        <v>116</v>
      </c>
      <c r="C69" s="136" t="n">
        <v>13</v>
      </c>
      <c r="D69" s="136" t="n">
        <f aca="false">Управление!C49</f>
        <v>1.92</v>
      </c>
      <c r="E69" s="392" t="n">
        <f aca="false">C69*D69</f>
        <v>24.96</v>
      </c>
      <c r="F69" s="379"/>
      <c r="G69" s="387"/>
    </row>
    <row r="70" customFormat="false" ht="17.35" hidden="false" customHeight="false" outlineLevel="0" collapsed="false">
      <c r="A70" s="134" t="s">
        <v>117</v>
      </c>
      <c r="B70" s="134" t="s">
        <v>116</v>
      </c>
      <c r="C70" s="136" t="n">
        <v>0.387</v>
      </c>
      <c r="D70" s="136" t="n">
        <f aca="false">Управление!C50</f>
        <v>0.66</v>
      </c>
      <c r="E70" s="392" t="n">
        <f aca="false">C70*D70</f>
        <v>0.25542</v>
      </c>
      <c r="F70" s="379"/>
      <c r="G70" s="387"/>
    </row>
    <row r="71" customFormat="false" ht="17.35" hidden="false" customHeight="false" outlineLevel="0" collapsed="false">
      <c r="A71" s="134" t="s">
        <v>118</v>
      </c>
      <c r="B71" s="134" t="s">
        <v>119</v>
      </c>
      <c r="C71" s="136" t="n">
        <v>0.16</v>
      </c>
      <c r="D71" s="136" t="n">
        <f aca="false">Управление!E51</f>
        <v>119</v>
      </c>
      <c r="E71" s="392" t="n">
        <f aca="false">C71*D71</f>
        <v>19.04</v>
      </c>
      <c r="F71" s="379"/>
      <c r="G71" s="387"/>
    </row>
    <row r="72" customFormat="false" ht="17.35" hidden="false" customHeight="false" outlineLevel="0" collapsed="false">
      <c r="A72" s="119" t="s">
        <v>120</v>
      </c>
      <c r="B72" s="134" t="s">
        <v>29</v>
      </c>
      <c r="C72" s="121" t="n">
        <v>1.5</v>
      </c>
      <c r="D72" s="121" t="n">
        <f aca="false">Управление!B52</f>
        <v>54.08</v>
      </c>
      <c r="E72" s="392" t="n">
        <f aca="false">C72*D72</f>
        <v>81.12</v>
      </c>
      <c r="F72" s="379"/>
      <c r="G72" s="387"/>
    </row>
    <row r="73" customFormat="false" ht="17.35" hidden="false" customHeight="false" outlineLevel="0" collapsed="false">
      <c r="A73" s="134" t="s">
        <v>299</v>
      </c>
      <c r="B73" s="146"/>
      <c r="C73" s="121" t="n">
        <v>1</v>
      </c>
      <c r="D73" s="121" t="n">
        <f aca="false">Управление!B53</f>
        <v>35.5</v>
      </c>
      <c r="E73" s="392" t="n">
        <f aca="false">C73*D73</f>
        <v>35.5</v>
      </c>
      <c r="F73" s="379"/>
      <c r="G73" s="387"/>
    </row>
    <row r="74" customFormat="false" ht="17.35" hidden="false" customHeight="false" outlineLevel="0" collapsed="false">
      <c r="A74" s="141" t="s">
        <v>122</v>
      </c>
      <c r="B74" s="80"/>
      <c r="C74" s="313"/>
      <c r="D74" s="313"/>
      <c r="E74" s="81"/>
      <c r="F74" s="379"/>
      <c r="G74" s="387"/>
    </row>
    <row r="75" customFormat="false" ht="17.35" hidden="false" customHeight="false" outlineLevel="0" collapsed="false">
      <c r="A75" s="119" t="s">
        <v>123</v>
      </c>
      <c r="B75" s="181" t="s">
        <v>35</v>
      </c>
      <c r="C75" s="418" t="n">
        <v>2</v>
      </c>
      <c r="D75" s="418" t="n">
        <f aca="false">Управление!B56</f>
        <v>0.61</v>
      </c>
      <c r="E75" s="419" t="n">
        <f aca="false">C75*D75</f>
        <v>1.22</v>
      </c>
      <c r="F75" s="379"/>
      <c r="G75" s="387"/>
    </row>
    <row r="76" customFormat="false" ht="17.35" hidden="false" customHeight="false" outlineLevel="0" collapsed="false">
      <c r="A76" s="119" t="s">
        <v>124</v>
      </c>
      <c r="B76" s="140" t="s">
        <v>29</v>
      </c>
      <c r="C76" s="418" t="n">
        <v>0.165</v>
      </c>
      <c r="D76" s="418" t="n">
        <f aca="false">Управление!G57</f>
        <v>169</v>
      </c>
      <c r="E76" s="419" t="n">
        <f aca="false">C76*D76</f>
        <v>27.885</v>
      </c>
      <c r="F76" s="379"/>
      <c r="G76" s="387"/>
    </row>
    <row r="77" customFormat="false" ht="17.35" hidden="false" customHeight="false" outlineLevel="0" collapsed="false">
      <c r="A77" s="134" t="s">
        <v>125</v>
      </c>
      <c r="B77" s="140" t="s">
        <v>35</v>
      </c>
      <c r="C77" s="139" t="n">
        <v>1</v>
      </c>
      <c r="D77" s="139" t="n">
        <f aca="false">IF(Термо!B16="Optima",3000,3500)</f>
        <v>3500</v>
      </c>
      <c r="E77" s="420" t="n">
        <f aca="false">C77*D77</f>
        <v>3500</v>
      </c>
      <c r="F77" s="421" t="s">
        <v>330</v>
      </c>
      <c r="G77" s="387"/>
    </row>
    <row r="78" customFormat="false" ht="17.35" hidden="false" customHeight="false" outlineLevel="0" collapsed="false">
      <c r="A78" s="134" t="s">
        <v>126</v>
      </c>
      <c r="B78" s="140" t="s">
        <v>35</v>
      </c>
      <c r="C78" s="139" t="n">
        <v>2</v>
      </c>
      <c r="D78" s="139" t="n">
        <f aca="false">Управление!B60</f>
        <v>200</v>
      </c>
      <c r="E78" s="157" t="n">
        <f aca="false">C78*D78</f>
        <v>400</v>
      </c>
      <c r="F78" s="379"/>
      <c r="G78" s="387"/>
    </row>
    <row r="79" customFormat="false" ht="17.35" hidden="false" customHeight="false" outlineLevel="0" collapsed="false">
      <c r="A79" s="141" t="s">
        <v>133</v>
      </c>
      <c r="B79" s="78"/>
      <c r="C79" s="79"/>
      <c r="D79" s="80"/>
      <c r="E79" s="81"/>
      <c r="F79" s="379"/>
      <c r="G79" s="387"/>
    </row>
    <row r="80" customFormat="false" ht="17.35" hidden="false" customHeight="false" outlineLevel="0" collapsed="false">
      <c r="A80" s="134" t="s">
        <v>134</v>
      </c>
      <c r="B80" s="119" t="s">
        <v>35</v>
      </c>
      <c r="C80" s="142" t="n">
        <f aca="false">IF(Термо!A28="Электронный",0,F80)</f>
        <v>0</v>
      </c>
      <c r="D80" s="140" t="n">
        <f aca="false">Управление!J29</f>
        <v>360</v>
      </c>
      <c r="E80" s="157" t="n">
        <f aca="false">C80*D80</f>
        <v>0</v>
      </c>
      <c r="F80" s="422" t="n">
        <f aca="false">IF(Термо!B28=A80,1,0)</f>
        <v>0</v>
      </c>
      <c r="G80" s="387"/>
    </row>
    <row r="81" customFormat="false" ht="17.35" hidden="false" customHeight="false" outlineLevel="0" collapsed="false">
      <c r="A81" s="134" t="s">
        <v>135</v>
      </c>
      <c r="B81" s="119" t="s">
        <v>35</v>
      </c>
      <c r="C81" s="142" t="n">
        <f aca="false">IF(Термо!A28="Электронный",0,F81)</f>
        <v>0</v>
      </c>
      <c r="D81" s="140" t="n">
        <f aca="false">Управление!J30</f>
        <v>758</v>
      </c>
      <c r="E81" s="157" t="n">
        <f aca="false">C81*D81</f>
        <v>0</v>
      </c>
      <c r="F81" s="422" t="n">
        <f aca="false">IF(Термо!B28=A81,1,0)</f>
        <v>0</v>
      </c>
      <c r="G81" s="387"/>
    </row>
    <row r="82" customFormat="false" ht="17.35" hidden="false" customHeight="false" outlineLevel="0" collapsed="false">
      <c r="A82" s="134" t="s">
        <v>136</v>
      </c>
      <c r="B82" s="119" t="s">
        <v>35</v>
      </c>
      <c r="C82" s="142" t="n">
        <f aca="false">IF(Термо!A28="Электронный",0,F82)</f>
        <v>0</v>
      </c>
      <c r="D82" s="140" t="n">
        <f aca="false">Управление!J31</f>
        <v>875</v>
      </c>
      <c r="E82" s="157" t="n">
        <f aca="false">C82*D82</f>
        <v>0</v>
      </c>
      <c r="F82" s="422" t="n">
        <f aca="false">IF(Термо!B22=A80,1,0)</f>
        <v>0</v>
      </c>
      <c r="G82" s="387"/>
    </row>
    <row r="83" customFormat="false" ht="17.35" hidden="false" customHeight="false" outlineLevel="0" collapsed="false">
      <c r="A83" s="134" t="s">
        <v>137</v>
      </c>
      <c r="B83" s="119" t="s">
        <v>35</v>
      </c>
      <c r="C83" s="142" t="n">
        <f aca="false">IF(Термо!A28="Электронный",0,F83)</f>
        <v>0</v>
      </c>
      <c r="D83" s="140" t="n">
        <f aca="false">Управление!J32</f>
        <v>485</v>
      </c>
      <c r="E83" s="157" t="n">
        <f aca="false">C83*D83</f>
        <v>0</v>
      </c>
      <c r="F83" s="422" t="n">
        <f aca="false">IF(Термо!B28=A83,1,0)</f>
        <v>0</v>
      </c>
      <c r="G83" s="387"/>
    </row>
    <row r="84" customFormat="false" ht="17.35" hidden="false" customHeight="false" outlineLevel="0" collapsed="false">
      <c r="A84" s="134" t="s">
        <v>138</v>
      </c>
      <c r="B84" s="119" t="s">
        <v>35</v>
      </c>
      <c r="C84" s="142" t="n">
        <f aca="false">IF(Термо!A28="Электронный",0,F84)</f>
        <v>0</v>
      </c>
      <c r="D84" s="140" t="n">
        <f aca="false">Управление!J33</f>
        <v>1449</v>
      </c>
      <c r="E84" s="157" t="n">
        <f aca="false">C84*D84</f>
        <v>0</v>
      </c>
      <c r="F84" s="422" t="n">
        <f aca="false">IF(Термо!B28=A84,1,0)</f>
        <v>0</v>
      </c>
      <c r="G84" s="387"/>
    </row>
    <row r="85" customFormat="false" ht="17.35" hidden="false" customHeight="false" outlineLevel="0" collapsed="false">
      <c r="A85" s="134" t="s">
        <v>139</v>
      </c>
      <c r="B85" s="119" t="s">
        <v>35</v>
      </c>
      <c r="C85" s="142" t="n">
        <f aca="false">IF(Термо!A28="Электронный",0,F85)</f>
        <v>0</v>
      </c>
      <c r="D85" s="140" t="n">
        <f aca="false">Управление!J34</f>
        <v>2025</v>
      </c>
      <c r="E85" s="157" t="n">
        <f aca="false">C85*D85</f>
        <v>0</v>
      </c>
      <c r="F85" s="422" t="n">
        <f aca="false">IF(Термо!B28=A85,1,0)</f>
        <v>0</v>
      </c>
      <c r="G85" s="387"/>
    </row>
    <row r="86" customFormat="false" ht="17.35" hidden="false" customHeight="false" outlineLevel="0" collapsed="false">
      <c r="A86" s="148" t="s">
        <v>140</v>
      </c>
      <c r="B86" s="119" t="s">
        <v>35</v>
      </c>
      <c r="C86" s="142" t="n">
        <f aca="false">IF(Термо!B30=A86,1,0)</f>
        <v>0</v>
      </c>
      <c r="D86" s="140" t="n">
        <f aca="false">Управление!J35</f>
        <v>390</v>
      </c>
      <c r="E86" s="157" t="n">
        <f aca="false">C86*D86</f>
        <v>0</v>
      </c>
      <c r="F86" s="423"/>
      <c r="G86" s="387"/>
    </row>
    <row r="87" customFormat="false" ht="17.35" hidden="false" customHeight="false" outlineLevel="0" collapsed="false">
      <c r="A87" s="148" t="s">
        <v>141</v>
      </c>
      <c r="B87" s="119" t="s">
        <v>35</v>
      </c>
      <c r="C87" s="142" t="n">
        <f aca="false">IF(Термо!B30=A87,1,0)</f>
        <v>1</v>
      </c>
      <c r="D87" s="140" t="n">
        <f aca="false">Управление!J36</f>
        <v>967</v>
      </c>
      <c r="E87" s="157" t="n">
        <f aca="false">C87*D87</f>
        <v>967</v>
      </c>
      <c r="F87" s="422"/>
      <c r="G87" s="387"/>
    </row>
    <row r="88" customFormat="false" ht="17.35" hidden="false" customHeight="false" outlineLevel="0" collapsed="false">
      <c r="A88" s="148" t="s">
        <v>142</v>
      </c>
      <c r="B88" s="119" t="s">
        <v>35</v>
      </c>
      <c r="C88" s="142" t="n">
        <f aca="false">IF(Термо!B30=A88,1,0)</f>
        <v>0</v>
      </c>
      <c r="D88" s="140" t="n">
        <f aca="false">Управление!J37</f>
        <v>1060</v>
      </c>
      <c r="E88" s="157" t="n">
        <f aca="false">C88*D88</f>
        <v>0</v>
      </c>
      <c r="F88" s="422"/>
      <c r="G88" s="387"/>
    </row>
    <row r="89" customFormat="false" ht="17.35" hidden="false" customHeight="false" outlineLevel="0" collapsed="false">
      <c r="A89" s="148" t="s">
        <v>143</v>
      </c>
      <c r="B89" s="119" t="s">
        <v>35</v>
      </c>
      <c r="C89" s="142" t="n">
        <f aca="false">IF(Термо!B30=A89,1,0)</f>
        <v>0</v>
      </c>
      <c r="D89" s="140" t="n">
        <f aca="false">Управление!J38</f>
        <v>310</v>
      </c>
      <c r="E89" s="157" t="n">
        <f aca="false">C89*D89</f>
        <v>0</v>
      </c>
      <c r="F89" s="422"/>
      <c r="G89" s="387"/>
    </row>
    <row r="90" customFormat="false" ht="17.35" hidden="false" customHeight="false" outlineLevel="0" collapsed="false">
      <c r="A90" s="148" t="s">
        <v>144</v>
      </c>
      <c r="B90" s="119" t="s">
        <v>35</v>
      </c>
      <c r="C90" s="142" t="n">
        <f aca="false">IF(Термо!B30=A90,1,0)</f>
        <v>0</v>
      </c>
      <c r="D90" s="140" t="n">
        <f aca="false">Управление!J39</f>
        <v>701</v>
      </c>
      <c r="E90" s="157" t="n">
        <f aca="false">C90*D90</f>
        <v>0</v>
      </c>
      <c r="F90" s="422"/>
      <c r="G90" s="387"/>
    </row>
    <row r="91" customFormat="false" ht="17.35" hidden="false" customHeight="false" outlineLevel="0" collapsed="false">
      <c r="A91" s="148" t="s">
        <v>145</v>
      </c>
      <c r="B91" s="119" t="s">
        <v>35</v>
      </c>
      <c r="C91" s="142" t="n">
        <f aca="false">IF(Термо!B30=A91,1,0)</f>
        <v>0</v>
      </c>
      <c r="D91" s="140" t="n">
        <f aca="false">Управление!J40</f>
        <v>993</v>
      </c>
      <c r="E91" s="157" t="n">
        <f aca="false">C91*D91</f>
        <v>0</v>
      </c>
      <c r="F91" s="422"/>
      <c r="G91" s="387"/>
    </row>
    <row r="92" customFormat="false" ht="17.35" hidden="false" customHeight="false" outlineLevel="0" collapsed="false">
      <c r="A92" s="149" t="s">
        <v>331</v>
      </c>
      <c r="B92" s="150"/>
      <c r="C92" s="151"/>
      <c r="D92" s="152"/>
      <c r="E92" s="153"/>
      <c r="F92" s="379"/>
      <c r="G92" s="387"/>
    </row>
    <row r="93" customFormat="false" ht="17.35" hidden="false" customHeight="false" outlineLevel="0" collapsed="false">
      <c r="A93" s="154" t="s">
        <v>332</v>
      </c>
      <c r="B93" s="119" t="s">
        <v>35</v>
      </c>
      <c r="C93" s="142" t="n">
        <f aca="false">IF(AND(OR(Термо!A28="Цилиндровый",Термо!A28="Специальный"),Термо!B32="Fuaro D-Proterm 507"),1,0)</f>
        <v>1</v>
      </c>
      <c r="D93" s="140" t="n">
        <f aca="false">Управление!J49</f>
        <v>798</v>
      </c>
      <c r="E93" s="157" t="n">
        <f aca="false">C93*D93</f>
        <v>798</v>
      </c>
      <c r="F93" s="379"/>
      <c r="G93" s="387"/>
    </row>
    <row r="94" customFormat="false" ht="17.35" hidden="false" customHeight="false" outlineLevel="0" collapsed="false">
      <c r="A94" s="154" t="s">
        <v>333</v>
      </c>
      <c r="B94" s="119" t="s">
        <v>35</v>
      </c>
      <c r="C94" s="142" t="n">
        <f aca="false">IF(AND(OR(Термо!A28="Цилиндровый",Термо!A28="Специальный"),Термо!B32="Guardian GS Termo"),1,0)</f>
        <v>0</v>
      </c>
      <c r="D94" s="140" t="n">
        <f aca="false">Управление!J50</f>
        <v>1120</v>
      </c>
      <c r="E94" s="157" t="n">
        <f aca="false">C94*D94</f>
        <v>0</v>
      </c>
      <c r="F94" s="379"/>
      <c r="G94" s="387"/>
    </row>
    <row r="95" customFormat="false" ht="17.35" hidden="false" customHeight="false" outlineLevel="0" collapsed="false">
      <c r="A95" s="149" t="s">
        <v>334</v>
      </c>
      <c r="B95" s="150"/>
      <c r="C95" s="151"/>
      <c r="D95" s="152"/>
      <c r="E95" s="153"/>
      <c r="F95" s="379"/>
      <c r="G95" s="387"/>
    </row>
    <row r="96" customFormat="false" ht="17.35" hidden="false" customHeight="false" outlineLevel="0" collapsed="false">
      <c r="A96" s="154" t="s">
        <v>332</v>
      </c>
      <c r="B96" s="119" t="s">
        <v>35</v>
      </c>
      <c r="C96" s="142" t="n">
        <f aca="false">IF(AND(OR(Термо!A30="Цилиндровый",Термо!A30="Специальный"),Термо!B34="Fuaro D-Proterm 507"),1,0)</f>
        <v>0</v>
      </c>
      <c r="D96" s="140" t="n">
        <f aca="false">Управление!J49</f>
        <v>798</v>
      </c>
      <c r="E96" s="157" t="n">
        <f aca="false">C96*D96</f>
        <v>0</v>
      </c>
      <c r="F96" s="379"/>
      <c r="G96" s="387"/>
    </row>
    <row r="97" customFormat="false" ht="17.35" hidden="false" customHeight="false" outlineLevel="0" collapsed="false">
      <c r="A97" s="154" t="s">
        <v>333</v>
      </c>
      <c r="B97" s="119" t="s">
        <v>35</v>
      </c>
      <c r="C97" s="142" t="n">
        <f aca="false">IF(AND(OR(Термо!A30="Цилиндровый",Термо!A30="Специальный"),Термо!B34="Guardian GS Termo"),1,0)</f>
        <v>0</v>
      </c>
      <c r="D97" s="140" t="n">
        <f aca="false">Управление!J50</f>
        <v>1120</v>
      </c>
      <c r="E97" s="157" t="n">
        <f aca="false">C97*D97</f>
        <v>0</v>
      </c>
      <c r="F97" s="379"/>
      <c r="G97" s="387"/>
    </row>
    <row r="98" customFormat="false" ht="17.35" hidden="false" customHeight="false" outlineLevel="0" collapsed="false">
      <c r="A98" s="141" t="s">
        <v>154</v>
      </c>
      <c r="B98" s="141"/>
      <c r="C98" s="141"/>
      <c r="D98" s="141"/>
      <c r="E98" s="141"/>
      <c r="F98" s="379"/>
      <c r="G98" s="387"/>
    </row>
    <row r="99" customFormat="false" ht="17.35" hidden="false" customHeight="true" outlineLevel="0" collapsed="false">
      <c r="A99" s="122" t="s">
        <v>155</v>
      </c>
      <c r="B99" s="122"/>
      <c r="C99" s="122"/>
      <c r="D99" s="122"/>
      <c r="E99" s="122"/>
      <c r="F99" s="379"/>
      <c r="G99" s="387"/>
    </row>
    <row r="100" customFormat="false" ht="17.35" hidden="false" customHeight="false" outlineLevel="0" collapsed="false">
      <c r="A100" s="424" t="s">
        <v>156</v>
      </c>
      <c r="B100" s="119" t="s">
        <v>35</v>
      </c>
      <c r="C100" s="142" t="n">
        <f aca="false">IF(OR(Термо!A28="Электронный",Термо!B39="Бугельная"),0,F100)</f>
        <v>1</v>
      </c>
      <c r="D100" s="103" t="n">
        <f aca="false">Управление!J52</f>
        <v>480</v>
      </c>
      <c r="E100" s="157" t="n">
        <f aca="false">D100*C100</f>
        <v>480</v>
      </c>
      <c r="F100" s="422" t="n">
        <f aca="false">IF(AND(Термо!B37="Золото",Термо!C37="Квадратное"),1,0)</f>
        <v>1</v>
      </c>
      <c r="G100" s="387"/>
    </row>
    <row r="101" customFormat="false" ht="17.35" hidden="false" customHeight="false" outlineLevel="0" collapsed="false">
      <c r="A101" s="424" t="s">
        <v>157</v>
      </c>
      <c r="B101" s="119" t="s">
        <v>35</v>
      </c>
      <c r="C101" s="142" t="n">
        <f aca="false">IF(OR(Термо!A28="Электронный",Термо!B39="Бугельная"),0,F101)</f>
        <v>0</v>
      </c>
      <c r="D101" s="103" t="n">
        <f aca="false">Управление!J53</f>
        <v>390</v>
      </c>
      <c r="E101" s="157" t="n">
        <f aca="false">D101*C101</f>
        <v>0</v>
      </c>
      <c r="F101" s="422" t="n">
        <f aca="false">IF(AND(Термо!B37="Чёрная",Термо!C37="Квадратное"),1,0)</f>
        <v>0</v>
      </c>
      <c r="G101" s="387"/>
    </row>
    <row r="102" customFormat="false" ht="17.35" hidden="false" customHeight="false" outlineLevel="0" collapsed="false">
      <c r="A102" s="424" t="s">
        <v>158</v>
      </c>
      <c r="B102" s="119" t="s">
        <v>35</v>
      </c>
      <c r="C102" s="142" t="n">
        <f aca="false">IF(OR(Термо!A28="Электронный",Термо!B39="Бугельная"),0,F102)</f>
        <v>0</v>
      </c>
      <c r="D102" s="103" t="n">
        <f aca="false">Управление!J54</f>
        <v>390</v>
      </c>
      <c r="E102" s="157" t="n">
        <f aca="false">D102*C102</f>
        <v>0</v>
      </c>
      <c r="F102" s="422" t="n">
        <f aca="false">IF(AND(Термо!B37="Хром",Термо!C37="Квадратное"),1,0)</f>
        <v>0</v>
      </c>
      <c r="G102" s="387"/>
    </row>
    <row r="103" customFormat="false" ht="17.35" hidden="false" customHeight="false" outlineLevel="0" collapsed="false">
      <c r="A103" s="424" t="s">
        <v>159</v>
      </c>
      <c r="B103" s="119" t="s">
        <v>35</v>
      </c>
      <c r="C103" s="142" t="n">
        <f aca="false">IF(OR(Термо!A28="Электронный",Термо!B39="Бугельная"),0,F103)</f>
        <v>0</v>
      </c>
      <c r="D103" s="103" t="n">
        <f aca="false">Управление!J55</f>
        <v>277.1</v>
      </c>
      <c r="E103" s="157" t="n">
        <f aca="false">D103*C103</f>
        <v>0</v>
      </c>
      <c r="F103" s="422" t="n">
        <f aca="false">IF(AND(Термо!B37="Бронза",Термо!C37="Овальное"),1,0)</f>
        <v>0</v>
      </c>
      <c r="G103" s="387"/>
    </row>
    <row r="104" customFormat="false" ht="17.35" hidden="false" customHeight="false" outlineLevel="0" collapsed="false">
      <c r="A104" s="425" t="s">
        <v>160</v>
      </c>
      <c r="B104" s="414" t="s">
        <v>35</v>
      </c>
      <c r="C104" s="155" t="n">
        <f aca="false">IF(OR(Термо!A28="Электронный",Термо!B39="Бугельная"),0,F104)</f>
        <v>0</v>
      </c>
      <c r="D104" s="156" t="n">
        <f aca="false">Управление!J56</f>
        <v>240</v>
      </c>
      <c r="E104" s="157" t="n">
        <f aca="false">D104*C104</f>
        <v>0</v>
      </c>
      <c r="F104" s="422" t="n">
        <f aca="false">IF(AND(Термо!B37="Чёрная",Термо!C37="Овальное"),1,0)</f>
        <v>0</v>
      </c>
      <c r="G104" s="387"/>
    </row>
    <row r="105" customFormat="false" ht="17.35" hidden="false" customHeight="false" outlineLevel="0" collapsed="false">
      <c r="A105" s="424" t="s">
        <v>161</v>
      </c>
      <c r="B105" s="119" t="s">
        <v>35</v>
      </c>
      <c r="C105" s="142" t="n">
        <f aca="false">IF(OR(Термо!A28="Электронный",Термо!B39="Бугельная"),0,F105)</f>
        <v>0</v>
      </c>
      <c r="D105" s="103" t="n">
        <f aca="false">Управление!J57</f>
        <v>218.7</v>
      </c>
      <c r="E105" s="157" t="n">
        <f aca="false">D105*C105</f>
        <v>0</v>
      </c>
      <c r="F105" s="422" t="n">
        <f aca="false">IF(AND(Термо!B37="Хром",Термо!C37="Овальное"),1,0)</f>
        <v>0</v>
      </c>
      <c r="G105" s="387"/>
    </row>
    <row r="106" customFormat="false" ht="17.35" hidden="false" customHeight="true" outlineLevel="0" collapsed="false">
      <c r="A106" s="122" t="s">
        <v>335</v>
      </c>
      <c r="B106" s="122"/>
      <c r="C106" s="122"/>
      <c r="D106" s="122"/>
      <c r="E106" s="122"/>
      <c r="F106" s="422"/>
      <c r="G106" s="387"/>
    </row>
    <row r="107" customFormat="false" ht="17.35" hidden="false" customHeight="false" outlineLevel="0" collapsed="false">
      <c r="A107" s="424" t="s">
        <v>163</v>
      </c>
      <c r="B107" s="119" t="s">
        <v>35</v>
      </c>
      <c r="C107" s="142" t="n">
        <f aca="false">IF(Термо!A28="Электронный",0,SUM(F107+G107))</f>
        <v>1</v>
      </c>
      <c r="D107" s="102" t="n">
        <f aca="false">Управление!J59</f>
        <v>369</v>
      </c>
      <c r="E107" s="157" t="n">
        <f aca="false">D107*C107</f>
        <v>369</v>
      </c>
      <c r="F107" s="422" t="n">
        <f aca="false">IF(AND(OR(Термо!A28="Цилиндровый",Термо!A28="Специальный"), Термо!C37="Квадратное",Термо!B37="Золото"),1,0)</f>
        <v>1</v>
      </c>
      <c r="G107" s="387" t="n">
        <f aca="false">IF(AND(Термо!A30="Цилиндровый", Термо!C37="Квадратное",Термо!B37="Золото"),1,0)</f>
        <v>0</v>
      </c>
    </row>
    <row r="108" customFormat="false" ht="17.35" hidden="false" customHeight="false" outlineLevel="0" collapsed="false">
      <c r="A108" s="424" t="s">
        <v>164</v>
      </c>
      <c r="B108" s="119" t="s">
        <v>35</v>
      </c>
      <c r="C108" s="142" t="n">
        <f aca="false">IF(Термо!A28="Электронный",0,SUM(F108+G108))</f>
        <v>1</v>
      </c>
      <c r="D108" s="102" t="n">
        <f aca="false">Управление!J60</f>
        <v>84</v>
      </c>
      <c r="E108" s="157" t="n">
        <f aca="false">D108*C108</f>
        <v>84</v>
      </c>
      <c r="F108" s="422" t="n">
        <f aca="false">IF(AND(OR(Термо!A28="Цилиндровый",Термо!A28="Специальный"), Термо!C37="Квадратное",Термо!B37="Золото"),1,0)</f>
        <v>1</v>
      </c>
      <c r="G108" s="387" t="n">
        <f aca="false">IF(AND(Термо!A30="Цилиндровый", Термо!C37="Квадратное",Термо!B37="Золото"),1,0)</f>
        <v>0</v>
      </c>
    </row>
    <row r="109" customFormat="false" ht="17.35" hidden="false" customHeight="false" outlineLevel="0" collapsed="false">
      <c r="A109" s="424" t="s">
        <v>165</v>
      </c>
      <c r="B109" s="119" t="s">
        <v>35</v>
      </c>
      <c r="C109" s="142" t="n">
        <f aca="false">IF(Термо!A28="Электронный",0,SUM(F109+G109))</f>
        <v>0</v>
      </c>
      <c r="D109" s="102" t="n">
        <f aca="false">Управление!J61</f>
        <v>360</v>
      </c>
      <c r="E109" s="157" t="n">
        <f aca="false">D109*C109</f>
        <v>0</v>
      </c>
      <c r="F109" s="422" t="n">
        <f aca="false">IF(AND(OR(Термо!A28="Цилиндровый",Термо!A28="Специальный"), Термо!C37="Квадратное",Термо!B37="Чёрная"),1,0)</f>
        <v>0</v>
      </c>
      <c r="G109" s="387" t="n">
        <f aca="false">IF(AND(Термо!A30="Цилиндровый", Термо!C37="Квадратное",Термо!B37="Чёрная"),1,0)</f>
        <v>0</v>
      </c>
    </row>
    <row r="110" customFormat="false" ht="17.35" hidden="false" customHeight="false" outlineLevel="0" collapsed="false">
      <c r="A110" s="424" t="s">
        <v>166</v>
      </c>
      <c r="B110" s="119" t="s">
        <v>35</v>
      </c>
      <c r="C110" s="142" t="n">
        <f aca="false">IF(Термо!A28="Электронный",0,SUM(F110+G110))</f>
        <v>0</v>
      </c>
      <c r="D110" s="102" t="n">
        <f aca="false">Управление!J62</f>
        <v>70</v>
      </c>
      <c r="E110" s="157" t="n">
        <f aca="false">D110*C110</f>
        <v>0</v>
      </c>
      <c r="F110" s="422" t="n">
        <f aca="false">IF(AND(OR(Термо!A28="Цилиндровый",Термо!A28="Специальный"), Термо!C37="Квадратное",Термо!B37="Чёрная"),1,0)</f>
        <v>0</v>
      </c>
      <c r="G110" s="387" t="n">
        <f aca="false">IF(AND(Термо!A30="Цилиндровый", Термо!C37="Квадратное",Термо!B37="Чёрная"),1,0)</f>
        <v>0</v>
      </c>
    </row>
    <row r="111" customFormat="false" ht="17.35" hidden="false" customHeight="false" outlineLevel="0" collapsed="false">
      <c r="A111" s="424" t="s">
        <v>167</v>
      </c>
      <c r="B111" s="119" t="s">
        <v>35</v>
      </c>
      <c r="C111" s="142" t="n">
        <f aca="false">IF(Термо!A28="Электронный",0,SUM(F111+G111))</f>
        <v>0</v>
      </c>
      <c r="D111" s="102" t="n">
        <f aca="false">Управление!J63</f>
        <v>360</v>
      </c>
      <c r="E111" s="157" t="n">
        <f aca="false">D111*C111</f>
        <v>0</v>
      </c>
      <c r="F111" s="422" t="n">
        <f aca="false">IF(AND(OR(Термо!A28="Цилиндровый",Термо!A28="Специальный"), Термо!C37="Квадратное",Термо!B37="Хром"),1,0)</f>
        <v>0</v>
      </c>
      <c r="G111" s="387" t="n">
        <f aca="false">IF(AND(Термо!A30="Цилиндровый", Термо!C37="Квадратное",Термо!B37="Хром"),1,0)</f>
        <v>0</v>
      </c>
    </row>
    <row r="112" customFormat="false" ht="17.35" hidden="false" customHeight="false" outlineLevel="0" collapsed="false">
      <c r="A112" s="424" t="s">
        <v>168</v>
      </c>
      <c r="B112" s="119" t="s">
        <v>35</v>
      </c>
      <c r="C112" s="142" t="n">
        <f aca="false">IF(Термо!A28="Электронный",0,SUM(F112+G112))</f>
        <v>0</v>
      </c>
      <c r="D112" s="102" t="n">
        <f aca="false">Управление!J64</f>
        <v>70</v>
      </c>
      <c r="E112" s="157" t="n">
        <f aca="false">D112*C112</f>
        <v>0</v>
      </c>
      <c r="F112" s="422" t="n">
        <f aca="false">IF(AND(OR(Термо!A28="Цилиндровый",Термо!A28="Специальный"), Термо!C37="Квадратное",Термо!B37="Хром"),1,0)</f>
        <v>0</v>
      </c>
      <c r="G112" s="387" t="n">
        <f aca="false">IF(AND(Термо!A30="Цилиндровый", Термо!C37="Квадратное",Термо!B37="Хром"),1,0)</f>
        <v>0</v>
      </c>
    </row>
    <row r="113" customFormat="false" ht="17.35" hidden="false" customHeight="false" outlineLevel="0" collapsed="false">
      <c r="A113" s="424" t="s">
        <v>169</v>
      </c>
      <c r="B113" s="119" t="s">
        <v>35</v>
      </c>
      <c r="C113" s="142" t="n">
        <f aca="false">IF(Термо!A28="Электронный",0,SUM(F113+G113))</f>
        <v>0</v>
      </c>
      <c r="D113" s="102" t="n">
        <f aca="false">Управление!J65</f>
        <v>395</v>
      </c>
      <c r="E113" s="157" t="n">
        <f aca="false">D113*C113</f>
        <v>0</v>
      </c>
      <c r="F113" s="422" t="n">
        <f aca="false">IF(AND(OR(Термо!A28="Цилиндровый",Термо!A28="Специальный"), Термо!C37="Овальное",Термо!B37="Бронза"),1,0)</f>
        <v>0</v>
      </c>
      <c r="G113" s="387" t="n">
        <f aca="false">IF(AND(Термо!A30="Цилиндровый", Термо!C37="Овальное",Термо!B37="Бронза"),1,0)</f>
        <v>0</v>
      </c>
    </row>
    <row r="114" customFormat="false" ht="17.35" hidden="false" customHeight="false" outlineLevel="0" collapsed="false">
      <c r="A114" s="424" t="s">
        <v>170</v>
      </c>
      <c r="B114" s="119" t="s">
        <v>35</v>
      </c>
      <c r="C114" s="142" t="n">
        <f aca="false">IF(Термо!A28="Электронный",0,SUM(F114+G114))</f>
        <v>0</v>
      </c>
      <c r="D114" s="102" t="n">
        <f aca="false">Управление!J66</f>
        <v>81</v>
      </c>
      <c r="E114" s="157" t="n">
        <f aca="false">D114*C114</f>
        <v>0</v>
      </c>
      <c r="F114" s="422" t="n">
        <f aca="false">IF(AND(OR(Термо!A28="Цилиндровый",Термо!A28="Специальный"), Термо!C37="Овальное",Термо!B37="Бронза"),1,0)</f>
        <v>0</v>
      </c>
      <c r="G114" s="387" t="n">
        <f aca="false">IF(AND(Термо!A30="Цилиндровый", Термо!C37="Овальное",Термо!B37="Бронза"),1,0)</f>
        <v>0</v>
      </c>
    </row>
    <row r="115" customFormat="false" ht="17.35" hidden="false" customHeight="false" outlineLevel="0" collapsed="false">
      <c r="A115" s="425" t="s">
        <v>171</v>
      </c>
      <c r="B115" s="414" t="s">
        <v>35</v>
      </c>
      <c r="C115" s="155" t="n">
        <f aca="false">IF(Термо!A28="Электронный",0,SUM(F115+G115))</f>
        <v>0</v>
      </c>
      <c r="D115" s="157" t="n">
        <f aca="false">Управление!J67</f>
        <v>220</v>
      </c>
      <c r="E115" s="157" t="n">
        <f aca="false">D115*C115</f>
        <v>0</v>
      </c>
      <c r="F115" s="422" t="n">
        <f aca="false">IF(AND(OR(Термо!A28="Цилиндровый",Термо!A28="Специальный"), Термо!C37="Овальное",Термо!B37="Чёрная"),1,0)</f>
        <v>0</v>
      </c>
      <c r="G115" s="387" t="n">
        <f aca="false">IF(AND(Термо!A30="Цилиндровый", Термо!C37="Овальное",Термо!B37="Чёрная"),1,0)</f>
        <v>0</v>
      </c>
    </row>
    <row r="116" customFormat="false" ht="17.35" hidden="false" customHeight="false" outlineLevel="0" collapsed="false">
      <c r="A116" s="425" t="s">
        <v>172</v>
      </c>
      <c r="B116" s="414" t="s">
        <v>35</v>
      </c>
      <c r="C116" s="155" t="n">
        <f aca="false">IF(Термо!A28="Электронный",0,SUM(F116+G116))</f>
        <v>0</v>
      </c>
      <c r="D116" s="157" t="n">
        <f aca="false">Управление!J68</f>
        <v>50</v>
      </c>
      <c r="E116" s="157" t="n">
        <f aca="false">D116*C116</f>
        <v>0</v>
      </c>
      <c r="F116" s="422" t="n">
        <f aca="false">IF(AND(OR(Термо!A28="Цилиндровый",Термо!A28="Специальный"), Термо!C37="Овальное",Термо!B37="Чёрная"),1,0)</f>
        <v>0</v>
      </c>
      <c r="G116" s="387" t="n">
        <f aca="false">IF(AND(Термо!A30="Цилиндровый", Термо!C37="Овальное",Термо!B37="Чёрная"),1,0)</f>
        <v>0</v>
      </c>
    </row>
    <row r="117" customFormat="false" ht="17.35" hidden="false" customHeight="false" outlineLevel="0" collapsed="false">
      <c r="A117" s="424" t="s">
        <v>173</v>
      </c>
      <c r="B117" s="119" t="s">
        <v>35</v>
      </c>
      <c r="C117" s="142" t="n">
        <f aca="false">IF(Термо!A28="Электронный",0,SUM(F117+G117))</f>
        <v>0</v>
      </c>
      <c r="D117" s="102" t="n">
        <f aca="false">Управление!J69</f>
        <v>260</v>
      </c>
      <c r="E117" s="157" t="n">
        <f aca="false">D117*C117</f>
        <v>0</v>
      </c>
      <c r="F117" s="422" t="n">
        <f aca="false">IF(AND(OR(Термо!A28="Цилиндровый",Термо!A28="Специальный"), Термо!C37="Овальное",Термо!B37="Хром"),1,0)</f>
        <v>0</v>
      </c>
      <c r="G117" s="387" t="n">
        <f aca="false">IF(AND(Термо!A30="Цилиндровый", Термо!C37="Овальное",Термо!B37="Хром"),1,0)</f>
        <v>0</v>
      </c>
    </row>
    <row r="118" customFormat="false" ht="17.35" hidden="false" customHeight="false" outlineLevel="0" collapsed="false">
      <c r="A118" s="424" t="s">
        <v>174</v>
      </c>
      <c r="B118" s="119" t="s">
        <v>35</v>
      </c>
      <c r="C118" s="142" t="n">
        <f aca="false">IF(Термо!A28="Электронный",0,SUM(F118+G118))</f>
        <v>0</v>
      </c>
      <c r="D118" s="102" t="n">
        <f aca="false">Управление!J70</f>
        <v>19</v>
      </c>
      <c r="E118" s="157" t="n">
        <f aca="false">D118*C118</f>
        <v>0</v>
      </c>
      <c r="F118" s="422" t="n">
        <f aca="false">IF(AND(OR(Термо!A28="Цилиндровый",Термо!A28="Специальный"), Термо!C37="Овальное",Термо!B37="Хром"),1,0)</f>
        <v>0</v>
      </c>
      <c r="G118" s="387" t="n">
        <f aca="false">IF(AND(Термо!A30="Цилиндровый", Термо!C37="Овальное",Термо!B37="Хром"),1,0)</f>
        <v>0</v>
      </c>
    </row>
    <row r="119" customFormat="false" ht="17.35" hidden="false" customHeight="false" outlineLevel="0" collapsed="false">
      <c r="A119" s="424" t="s">
        <v>175</v>
      </c>
      <c r="B119" s="119" t="s">
        <v>132</v>
      </c>
      <c r="C119" s="142" t="n">
        <f aca="false">IF(Термо!A28="Электронный",0,SUM(F119+G119))</f>
        <v>1</v>
      </c>
      <c r="D119" s="102" t="n">
        <f aca="false">Управление!J71</f>
        <v>280.54</v>
      </c>
      <c r="E119" s="157" t="n">
        <f aca="false">D119*C119</f>
        <v>280.54</v>
      </c>
      <c r="F119" s="422" t="n">
        <f aca="false">IF(AND(Термо!A28="Сувальдный", Термо!C37="Квадратное",Термо!B37="Золото"),1,0)</f>
        <v>0</v>
      </c>
      <c r="G119" s="387" t="n">
        <f aca="false">IF(AND(Термо!A30="Сувальдный", Термо!C37="Квадратное",Термо!B37="Золото"),1,0)</f>
        <v>1</v>
      </c>
    </row>
    <row r="120" customFormat="false" ht="17.35" hidden="false" customHeight="false" outlineLevel="0" collapsed="false">
      <c r="A120" s="424" t="s">
        <v>176</v>
      </c>
      <c r="B120" s="119" t="s">
        <v>35</v>
      </c>
      <c r="C120" s="142" t="n">
        <f aca="false">IF(Термо!A28="Электронный",0,SUM(F120+G120))</f>
        <v>0</v>
      </c>
      <c r="D120" s="102" t="n">
        <f aca="false">Управление!J72</f>
        <v>160</v>
      </c>
      <c r="E120" s="157" t="n">
        <f aca="false">D120*C120</f>
        <v>0</v>
      </c>
      <c r="F120" s="422" t="n">
        <f aca="false">IF(AND(Термо!A28="Сувальдный", Термо!C37="Квадратное",Термо!B37="Чёрная"),1,0)</f>
        <v>0</v>
      </c>
      <c r="G120" s="387" t="n">
        <f aca="false">IF(AND(Термо!A30="Сувальдный", Термо!C37="Квадратное",Термо!B37="Чёрная"),1,0)</f>
        <v>0</v>
      </c>
    </row>
    <row r="121" customFormat="false" ht="17.35" hidden="false" customHeight="false" outlineLevel="0" collapsed="false">
      <c r="A121" s="424" t="s">
        <v>177</v>
      </c>
      <c r="B121" s="119" t="s">
        <v>35</v>
      </c>
      <c r="C121" s="142" t="n">
        <f aca="false">IF(Термо!A28="Электронный",0,SUM(F121+G121))</f>
        <v>0</v>
      </c>
      <c r="D121" s="102" t="n">
        <f aca="false">Управление!J73</f>
        <v>160</v>
      </c>
      <c r="E121" s="157" t="n">
        <f aca="false">D121*C121</f>
        <v>0</v>
      </c>
      <c r="F121" s="422" t="n">
        <f aca="false">IF(AND(Термо!A28="Сувальдный", Термо!C37="Квадратное",Термо!B37="Хром"),1,0)</f>
        <v>0</v>
      </c>
      <c r="G121" s="387" t="n">
        <f aca="false">IF(AND(Термо!A30="Сувальдный", Термо!C37="Квадратное",Термо!B37="Хром"),1,0)</f>
        <v>0</v>
      </c>
    </row>
    <row r="122" customFormat="false" ht="17.35" hidden="false" customHeight="false" outlineLevel="0" collapsed="false">
      <c r="A122" s="424" t="s">
        <v>178</v>
      </c>
      <c r="B122" s="119" t="s">
        <v>35</v>
      </c>
      <c r="C122" s="142" t="n">
        <f aca="false">IF(Термо!A28="Электронный",0,SUM(F122+G122))</f>
        <v>0</v>
      </c>
      <c r="D122" s="102" t="n">
        <f aca="false">Управление!J74</f>
        <v>90</v>
      </c>
      <c r="E122" s="157" t="n">
        <f aca="false">D122*C122</f>
        <v>0</v>
      </c>
      <c r="F122" s="422" t="n">
        <f aca="false">IF(AND(Термо!A28="Сувальдный", Термо!C37="Овальное",Термо!B37="Бронза"),1,0)</f>
        <v>0</v>
      </c>
      <c r="G122" s="387" t="n">
        <f aca="false">IF(AND(Термо!A30="Сувальдный", Термо!C37="Овальное",Термо!B37="Бронза"),1,0)</f>
        <v>0</v>
      </c>
    </row>
    <row r="123" customFormat="false" ht="17.35" hidden="false" customHeight="false" outlineLevel="0" collapsed="false">
      <c r="A123" s="424" t="s">
        <v>179</v>
      </c>
      <c r="B123" s="119" t="s">
        <v>35</v>
      </c>
      <c r="C123" s="142" t="n">
        <f aca="false">IF(Термо!A28="Электронный",0,SUM(F123+G123))</f>
        <v>0</v>
      </c>
      <c r="D123" s="102" t="n">
        <f aca="false">Управление!J75</f>
        <v>120</v>
      </c>
      <c r="E123" s="157" t="n">
        <f aca="false">D123*C123</f>
        <v>0</v>
      </c>
      <c r="F123" s="422" t="n">
        <f aca="false">IF(AND(Термо!A28="Сувальдный", Термо!C37="Овальное",Термо!B37="Бронза"),1,0)</f>
        <v>0</v>
      </c>
      <c r="G123" s="387" t="n">
        <f aca="false">IF(AND(Термо!A30="Сувальдный", Термо!C37="Овальное",Термо!B37="Бронза"),1,0)</f>
        <v>0</v>
      </c>
    </row>
    <row r="124" customFormat="false" ht="17.35" hidden="false" customHeight="false" outlineLevel="0" collapsed="false">
      <c r="A124" s="424" t="s">
        <v>180</v>
      </c>
      <c r="B124" s="119" t="s">
        <v>35</v>
      </c>
      <c r="C124" s="142" t="n">
        <f aca="false">IF(Термо!A28="Электронный",0,SUM(F124+G124))</f>
        <v>0</v>
      </c>
      <c r="D124" s="102" t="n">
        <f aca="false">Управление!J76</f>
        <v>151</v>
      </c>
      <c r="E124" s="157" t="n">
        <f aca="false">D124*C124</f>
        <v>0</v>
      </c>
      <c r="F124" s="422" t="n">
        <f aca="false">IF(AND(Термо!A28="Сувальдный", Термо!C37="Овальное",Термо!B37="Чёрная"),1,0)</f>
        <v>0</v>
      </c>
      <c r="G124" s="387" t="n">
        <f aca="false">IF(AND(Термо!A30="Сувальдный", Термо!C37="Овальное",Термо!B37="Чёрная"),1,0)</f>
        <v>0</v>
      </c>
    </row>
    <row r="125" customFormat="false" ht="17.35" hidden="false" customHeight="false" outlineLevel="0" collapsed="false">
      <c r="A125" s="424" t="s">
        <v>181</v>
      </c>
      <c r="B125" s="119" t="s">
        <v>35</v>
      </c>
      <c r="C125" s="142" t="n">
        <f aca="false">IF(Термо!A28="Электронный",0,SUM(F125+G125))</f>
        <v>0</v>
      </c>
      <c r="D125" s="102" t="n">
        <f aca="false">Управление!J77</f>
        <v>50</v>
      </c>
      <c r="E125" s="157" t="n">
        <f aca="false">D125*C125</f>
        <v>0</v>
      </c>
      <c r="F125" s="422" t="n">
        <f aca="false">IF(AND(Термо!A28="Сувальдный", Термо!C37="Овальное",Термо!B37="Чёрная"),1,0)</f>
        <v>0</v>
      </c>
      <c r="G125" s="387" t="n">
        <f aca="false">IF(AND(Термо!A30="Сувальдный", Термо!C37="Овальное",Термо!B37="Чёрная"),1,0)</f>
        <v>0</v>
      </c>
    </row>
    <row r="126" customFormat="false" ht="17.35" hidden="false" customHeight="false" outlineLevel="0" collapsed="false">
      <c r="A126" s="424" t="s">
        <v>182</v>
      </c>
      <c r="B126" s="119" t="s">
        <v>35</v>
      </c>
      <c r="C126" s="142" t="n">
        <f aca="false">IF(Термо!A28="Электронный",0,SUM(F126+G126))</f>
        <v>0</v>
      </c>
      <c r="D126" s="102" t="n">
        <f aca="false">Управление!J78</f>
        <v>55</v>
      </c>
      <c r="E126" s="157" t="n">
        <f aca="false">D126*C126</f>
        <v>0</v>
      </c>
      <c r="F126" s="422" t="n">
        <f aca="false">IF(AND(Термо!A28="Сувальдный", Термо!C37="Овальное",Термо!B37="Хром"),1,0)</f>
        <v>0</v>
      </c>
      <c r="G126" s="387" t="n">
        <f aca="false">IF(AND(Термо!A30="Сувальдный", Термо!C37="Овальное",Термо!B37="Хром"),1,0)</f>
        <v>0</v>
      </c>
    </row>
    <row r="127" customFormat="false" ht="17.35" hidden="false" customHeight="false" outlineLevel="0" collapsed="false">
      <c r="A127" s="424" t="s">
        <v>183</v>
      </c>
      <c r="B127" s="119" t="s">
        <v>35</v>
      </c>
      <c r="C127" s="142" t="n">
        <f aca="false">IF(Термо!A28="Электронный",0,SUM(F127+G127))</f>
        <v>0</v>
      </c>
      <c r="D127" s="102" t="n">
        <f aca="false">Управление!J79</f>
        <v>30</v>
      </c>
      <c r="E127" s="157" t="n">
        <f aca="false">D127*C127</f>
        <v>0</v>
      </c>
      <c r="F127" s="422" t="n">
        <f aca="false">IF(AND(Термо!A28="Сувальдный", Термо!C37="Овальное",Термо!B37="Хром"),1,0)</f>
        <v>0</v>
      </c>
      <c r="G127" s="387" t="n">
        <f aca="false">IF(AND(Термо!A30="Сувальдный", Термо!C37="Овальное",Термо!B37="Хром"),1,0)</f>
        <v>0</v>
      </c>
    </row>
    <row r="128" customFormat="false" ht="17.35" hidden="false" customHeight="true" outlineLevel="0" collapsed="false">
      <c r="A128" s="122" t="s">
        <v>336</v>
      </c>
      <c r="B128" s="122"/>
      <c r="C128" s="122"/>
      <c r="D128" s="122"/>
      <c r="E128" s="122"/>
      <c r="F128" s="422"/>
      <c r="G128" s="387"/>
    </row>
    <row r="129" customFormat="false" ht="17.35" hidden="false" customHeight="false" outlineLevel="0" collapsed="false">
      <c r="A129" s="426" t="s">
        <v>186</v>
      </c>
      <c r="B129" s="119" t="s">
        <v>35</v>
      </c>
      <c r="C129" s="142" t="n">
        <v>0</v>
      </c>
      <c r="D129" s="103" t="n">
        <f aca="false">Управление!J81</f>
        <v>209.67</v>
      </c>
      <c r="E129" s="102" t="n">
        <f aca="false">D129*C129</f>
        <v>0</v>
      </c>
      <c r="F129" s="422"/>
      <c r="G129" s="387"/>
    </row>
    <row r="130" customFormat="false" ht="17.35" hidden="false" customHeight="false" outlineLevel="0" collapsed="false">
      <c r="A130" s="426" t="s">
        <v>187</v>
      </c>
      <c r="B130" s="119" t="s">
        <v>35</v>
      </c>
      <c r="C130" s="142" t="n">
        <v>0</v>
      </c>
      <c r="D130" s="103" t="n">
        <f aca="false">Управление!J82</f>
        <v>114</v>
      </c>
      <c r="E130" s="102" t="n">
        <f aca="false">D130*C130</f>
        <v>0</v>
      </c>
      <c r="F130" s="379"/>
      <c r="G130" s="387"/>
    </row>
    <row r="131" customFormat="false" ht="17.35" hidden="false" customHeight="false" outlineLevel="0" collapsed="false">
      <c r="A131" s="426" t="s">
        <v>188</v>
      </c>
      <c r="B131" s="119" t="s">
        <v>35</v>
      </c>
      <c r="C131" s="142" t="n">
        <v>0</v>
      </c>
      <c r="D131" s="103" t="n">
        <f aca="false">Управление!J83</f>
        <v>115</v>
      </c>
      <c r="E131" s="102" t="n">
        <f aca="false">D131*C131</f>
        <v>0</v>
      </c>
      <c r="F131" s="379"/>
      <c r="G131" s="387"/>
    </row>
    <row r="132" customFormat="false" ht="17.35" hidden="false" customHeight="false" outlineLevel="0" collapsed="false">
      <c r="A132" s="427" t="s">
        <v>189</v>
      </c>
      <c r="B132" s="119" t="s">
        <v>35</v>
      </c>
      <c r="C132" s="142" t="n">
        <v>0</v>
      </c>
      <c r="D132" s="103" t="n">
        <f aca="false">Управление!J84</f>
        <v>205</v>
      </c>
      <c r="E132" s="102" t="n">
        <f aca="false">D132*C132</f>
        <v>0</v>
      </c>
      <c r="F132" s="379"/>
      <c r="G132" s="387"/>
    </row>
    <row r="133" customFormat="false" ht="17.35" hidden="false" customHeight="false" outlineLevel="0" collapsed="false">
      <c r="A133" s="426" t="s">
        <v>190</v>
      </c>
      <c r="B133" s="119" t="s">
        <v>35</v>
      </c>
      <c r="C133" s="142" t="n">
        <v>0</v>
      </c>
      <c r="D133" s="103" t="n">
        <f aca="false">Управление!J85</f>
        <v>43</v>
      </c>
      <c r="E133" s="102" t="n">
        <f aca="false">D133*C133</f>
        <v>0</v>
      </c>
      <c r="F133" s="379"/>
      <c r="G133" s="387"/>
    </row>
    <row r="134" customFormat="false" ht="17.35" hidden="false" customHeight="false" outlineLevel="0" collapsed="false">
      <c r="A134" s="427" t="s">
        <v>191</v>
      </c>
      <c r="B134" s="119" t="s">
        <v>35</v>
      </c>
      <c r="C134" s="142" t="n">
        <v>0</v>
      </c>
      <c r="D134" s="103" t="n">
        <f aca="false">Управление!J86</f>
        <v>100</v>
      </c>
      <c r="E134" s="102" t="n">
        <f aca="false">D134*C134</f>
        <v>0</v>
      </c>
      <c r="F134" s="379"/>
      <c r="G134" s="387"/>
    </row>
    <row r="135" customFormat="false" ht="17.35" hidden="false" customHeight="false" outlineLevel="0" collapsed="false">
      <c r="A135" s="427" t="s">
        <v>192</v>
      </c>
      <c r="B135" s="119" t="s">
        <v>35</v>
      </c>
      <c r="C135" s="142" t="n">
        <v>0</v>
      </c>
      <c r="D135" s="103" t="n">
        <f aca="false">Управление!J87</f>
        <v>73</v>
      </c>
      <c r="E135" s="102" t="n">
        <f aca="false">D135*C135</f>
        <v>0</v>
      </c>
      <c r="F135" s="379"/>
      <c r="G135" s="387"/>
    </row>
    <row r="136" customFormat="false" ht="17.35" hidden="false" customHeight="true" outlineLevel="0" collapsed="false">
      <c r="A136" s="122" t="s">
        <v>193</v>
      </c>
      <c r="B136" s="122"/>
      <c r="C136" s="122"/>
      <c r="D136" s="122"/>
      <c r="E136" s="122"/>
      <c r="F136" s="379"/>
      <c r="G136" s="387"/>
    </row>
    <row r="137" customFormat="false" ht="17.35" hidden="false" customHeight="false" outlineLevel="0" collapsed="false">
      <c r="A137" s="428" t="s">
        <v>194</v>
      </c>
      <c r="B137" s="119" t="s">
        <v>35</v>
      </c>
      <c r="C137" s="142" t="n">
        <f aca="false">IF(AND(Термо!B45="Да",Термо!C37="Квадратное",Термо!B37="Золото"),1,0)</f>
        <v>1</v>
      </c>
      <c r="D137" s="103" t="n">
        <f aca="false">Управление!J89</f>
        <v>180.11</v>
      </c>
      <c r="E137" s="157" t="n">
        <f aca="false">D137*C137</f>
        <v>180.11</v>
      </c>
      <c r="F137" s="379"/>
      <c r="G137" s="387" t="n">
        <v>948</v>
      </c>
      <c r="H137" s="6" t="s">
        <v>337</v>
      </c>
    </row>
    <row r="138" customFormat="false" ht="17.35" hidden="false" customHeight="false" outlineLevel="0" collapsed="false">
      <c r="A138" s="429" t="s">
        <v>195</v>
      </c>
      <c r="B138" s="119" t="s">
        <v>35</v>
      </c>
      <c r="C138" s="142" t="n">
        <f aca="false">IF(AND(Термо!B45="Да",Термо!C37="Квадратное",Термо!B37="Чёрная"),1,0)</f>
        <v>0</v>
      </c>
      <c r="D138" s="103" t="n">
        <f aca="false">Управление!J90</f>
        <v>110</v>
      </c>
      <c r="E138" s="157" t="n">
        <f aca="false">D138*C138</f>
        <v>0</v>
      </c>
      <c r="F138" s="379"/>
      <c r="G138" s="387" t="n">
        <v>882</v>
      </c>
      <c r="H138" s="6" t="s">
        <v>338</v>
      </c>
    </row>
    <row r="139" customFormat="false" ht="17.35" hidden="false" customHeight="false" outlineLevel="0" collapsed="false">
      <c r="A139" s="429" t="s">
        <v>196</v>
      </c>
      <c r="B139" s="119" t="s">
        <v>35</v>
      </c>
      <c r="C139" s="142" t="n">
        <f aca="false">IF(AND(Термо!B45="Да",Термо!C37="Квадратное",Термо!B37="Хром"),1,0)</f>
        <v>0</v>
      </c>
      <c r="D139" s="103" t="n">
        <f aca="false">Управление!J91</f>
        <v>110</v>
      </c>
      <c r="E139" s="157" t="n">
        <f aca="false">D139*C139</f>
        <v>0</v>
      </c>
      <c r="F139" s="379"/>
      <c r="G139" s="387"/>
    </row>
    <row r="140" customFormat="false" ht="17.35" hidden="false" customHeight="false" outlineLevel="0" collapsed="false">
      <c r="A140" s="427" t="s">
        <v>197</v>
      </c>
      <c r="B140" s="119" t="s">
        <v>35</v>
      </c>
      <c r="C140" s="142" t="n">
        <f aca="false">IF(AND(Термо!B45="Да",Термо!C37="Овальное",Термо!B37="Бронза"),1,0)</f>
        <v>0</v>
      </c>
      <c r="D140" s="103" t="n">
        <f aca="false">Управление!J92</f>
        <v>145</v>
      </c>
      <c r="E140" s="157" t="n">
        <f aca="false">D140*C140</f>
        <v>0</v>
      </c>
      <c r="F140" s="379"/>
      <c r="G140" s="387"/>
    </row>
    <row r="141" customFormat="false" ht="17.35" hidden="false" customHeight="false" outlineLevel="0" collapsed="false">
      <c r="A141" s="427" t="s">
        <v>198</v>
      </c>
      <c r="B141" s="119" t="s">
        <v>35</v>
      </c>
      <c r="C141" s="142" t="n">
        <f aca="false">IF(AND(Термо!B45="Да",Термо!C37="Овальное",Термо!B37="Чёрная"),1,0)</f>
        <v>0</v>
      </c>
      <c r="D141" s="103" t="n">
        <f aca="false">Управление!J93</f>
        <v>100</v>
      </c>
      <c r="E141" s="157" t="n">
        <f aca="false">D141*C141</f>
        <v>0</v>
      </c>
      <c r="F141" s="379"/>
      <c r="G141" s="387"/>
    </row>
    <row r="142" customFormat="false" ht="17.35" hidden="false" customHeight="false" outlineLevel="0" collapsed="false">
      <c r="A142" s="430" t="s">
        <v>199</v>
      </c>
      <c r="B142" s="414" t="s">
        <v>35</v>
      </c>
      <c r="C142" s="155" t="n">
        <f aca="false">IF(AND(Термо!B45="Да",Термо!C37="Овальное",Термо!B37="Хром"),1,0)</f>
        <v>0</v>
      </c>
      <c r="D142" s="156" t="n">
        <f aca="false">Управление!J94</f>
        <v>64</v>
      </c>
      <c r="E142" s="157" t="n">
        <f aca="false">D142*C142</f>
        <v>0</v>
      </c>
      <c r="F142" s="379"/>
      <c r="G142" s="387"/>
    </row>
    <row r="143" customFormat="false" ht="17.35" hidden="false" customHeight="false" outlineLevel="0" collapsed="false">
      <c r="A143" s="431" t="s">
        <v>282</v>
      </c>
      <c r="B143" s="432"/>
      <c r="C143" s="433"/>
      <c r="D143" s="433"/>
      <c r="E143" s="434"/>
      <c r="F143" s="379"/>
      <c r="G143" s="387"/>
    </row>
    <row r="144" customFormat="false" ht="17.35" hidden="false" customHeight="false" outlineLevel="0" collapsed="false">
      <c r="A144" s="255" t="s">
        <v>283</v>
      </c>
      <c r="B144" s="271" t="s">
        <v>82</v>
      </c>
      <c r="C144" s="257" t="n">
        <f aca="false">IF(Термо!A28="Электронный",0,F144)</f>
        <v>1</v>
      </c>
      <c r="D144" s="257" t="n">
        <f aca="false">Управление!J167</f>
        <v>100</v>
      </c>
      <c r="E144" s="258" t="n">
        <f aca="false">D144*C144</f>
        <v>100</v>
      </c>
      <c r="F144" s="379" t="n">
        <f aca="false">IF(AND(OR(Термо!A28="Цилиндровый",Термо!A28="Специальный"), Термо!C37="Квадратное",Термо!B37="Золото"),1,0)</f>
        <v>1</v>
      </c>
      <c r="G144" s="387"/>
    </row>
    <row r="145" customFormat="false" ht="17.35" hidden="false" customHeight="false" outlineLevel="0" collapsed="false">
      <c r="A145" s="255" t="s">
        <v>284</v>
      </c>
      <c r="B145" s="271" t="s">
        <v>82</v>
      </c>
      <c r="C145" s="257" t="n">
        <f aca="false">IF(Термо!A28="Электронный",0,F145)</f>
        <v>0</v>
      </c>
      <c r="D145" s="257" t="n">
        <f aca="false">Управление!J168</f>
        <v>57</v>
      </c>
      <c r="E145" s="258" t="n">
        <f aca="false">D145*C145</f>
        <v>0</v>
      </c>
      <c r="F145" s="379" t="n">
        <f aca="false">IF(AND(OR(Термо!A28="Цилиндровый",Термо!A28="Специальный"), OR(Термо!C37="Квадратное",Термо!C37="Овальное"),Термо!B37="Чёрная"),1,0)</f>
        <v>0</v>
      </c>
      <c r="G145" s="387"/>
    </row>
    <row r="146" customFormat="false" ht="17.35" hidden="false" customHeight="false" outlineLevel="0" collapsed="false">
      <c r="A146" s="255" t="s">
        <v>285</v>
      </c>
      <c r="B146" s="271" t="s">
        <v>82</v>
      </c>
      <c r="C146" s="257" t="n">
        <f aca="false">IF(Термо!A28="Электронный",0,F146)</f>
        <v>0</v>
      </c>
      <c r="D146" s="257" t="n">
        <f aca="false">Управление!J169</f>
        <v>60</v>
      </c>
      <c r="E146" s="258" t="n">
        <f aca="false">D146*C146</f>
        <v>0</v>
      </c>
      <c r="F146" s="379" t="n">
        <f aca="false">IF(AND(OR(Термо!A28="Цилиндровый",Термо!A28="Специальный"), Термо!C37="Квадратное",Термо!B37="Хром"),1,0)</f>
        <v>0</v>
      </c>
      <c r="G146" s="387"/>
    </row>
    <row r="147" customFormat="false" ht="17.35" hidden="false" customHeight="false" outlineLevel="0" collapsed="false">
      <c r="A147" s="255" t="s">
        <v>286</v>
      </c>
      <c r="B147" s="271" t="s">
        <v>82</v>
      </c>
      <c r="C147" s="257" t="n">
        <f aca="false">IF(Термо!A28="Электронный",0,F147)</f>
        <v>0</v>
      </c>
      <c r="D147" s="257" t="n">
        <f aca="false">Управление!J170</f>
        <v>100</v>
      </c>
      <c r="E147" s="258" t="n">
        <f aca="false">D147*C147</f>
        <v>0</v>
      </c>
      <c r="F147" s="379" t="n">
        <f aca="false">IF(AND(OR(Термо!A28="Цилиндровый",Термо!A28="Специальный"), Термо!C37="Овальное",Термо!B37="Бронза"),1,0)</f>
        <v>0</v>
      </c>
      <c r="G147" s="387"/>
    </row>
    <row r="148" customFormat="false" ht="17.35" hidden="false" customHeight="false" outlineLevel="0" collapsed="false">
      <c r="A148" s="260" t="s">
        <v>287</v>
      </c>
      <c r="B148" s="435" t="s">
        <v>82</v>
      </c>
      <c r="C148" s="262" t="n">
        <f aca="false">IF(Термо!A28="Электронный",0,F148)</f>
        <v>0</v>
      </c>
      <c r="D148" s="262" t="n">
        <f aca="false">Управление!J171</f>
        <v>74</v>
      </c>
      <c r="E148" s="436" t="n">
        <f aca="false">D148*C148</f>
        <v>0</v>
      </c>
      <c r="F148" s="379" t="n">
        <f aca="false">IF(AND(OR(Термо!A28="Цилиндровый",Термо!A28="Специальный"), Термо!C37="Овальное",Термо!B37="Хром"),1,0)</f>
        <v>0</v>
      </c>
      <c r="G148" s="387"/>
    </row>
    <row r="149" customFormat="false" ht="17.35" hidden="false" customHeight="false" outlineLevel="0" collapsed="false">
      <c r="A149" s="431" t="s">
        <v>288</v>
      </c>
      <c r="B149" s="432"/>
      <c r="C149" s="433"/>
      <c r="D149" s="433"/>
      <c r="E149" s="437"/>
      <c r="F149" s="379"/>
      <c r="G149" s="387"/>
    </row>
    <row r="150" customFormat="false" ht="17.35" hidden="false" customHeight="false" outlineLevel="0" collapsed="false">
      <c r="A150" s="255" t="s">
        <v>283</v>
      </c>
      <c r="B150" s="271" t="s">
        <v>82</v>
      </c>
      <c r="C150" s="257" t="n">
        <f aca="false">F150</f>
        <v>0</v>
      </c>
      <c r="D150" s="257" t="n">
        <f aca="false">Управление!J167</f>
        <v>100</v>
      </c>
      <c r="E150" s="258" t="n">
        <f aca="false">D150*C150</f>
        <v>0</v>
      </c>
      <c r="F150" s="379" t="n">
        <f aca="false">IF(AND(Термо!A30="Цилиндровый", Термо!C37="Квадратное",Термо!B37="Золото"),1,0)</f>
        <v>0</v>
      </c>
      <c r="G150" s="387"/>
    </row>
    <row r="151" customFormat="false" ht="17.35" hidden="false" customHeight="false" outlineLevel="0" collapsed="false">
      <c r="A151" s="255" t="s">
        <v>284</v>
      </c>
      <c r="B151" s="271" t="s">
        <v>82</v>
      </c>
      <c r="C151" s="257" t="n">
        <f aca="false">F151</f>
        <v>0</v>
      </c>
      <c r="D151" s="257" t="n">
        <f aca="false">Управление!J168</f>
        <v>57</v>
      </c>
      <c r="E151" s="258" t="n">
        <f aca="false">D151*C151</f>
        <v>0</v>
      </c>
      <c r="F151" s="379" t="n">
        <f aca="false">IF(AND(Термо!A30="Цилиндровый", OR(Термо!C37="Квадратное",Термо!C37="Овальное"),Термо!B37="Чёрная"),1,0)</f>
        <v>0</v>
      </c>
      <c r="G151" s="387"/>
    </row>
    <row r="152" customFormat="false" ht="17.35" hidden="false" customHeight="false" outlineLevel="0" collapsed="false">
      <c r="A152" s="255" t="s">
        <v>285</v>
      </c>
      <c r="B152" s="271" t="s">
        <v>82</v>
      </c>
      <c r="C152" s="257" t="n">
        <f aca="false">F152</f>
        <v>0</v>
      </c>
      <c r="D152" s="257" t="n">
        <f aca="false">Управление!J169</f>
        <v>60</v>
      </c>
      <c r="E152" s="258" t="n">
        <f aca="false">D152*C152</f>
        <v>0</v>
      </c>
      <c r="F152" s="379" t="n">
        <f aca="false">IF(AND(Термо!A30="Цилиндровый", Термо!C37="Квадратное",Термо!B37="Хром"),1,0)</f>
        <v>0</v>
      </c>
      <c r="G152" s="387"/>
    </row>
    <row r="153" customFormat="false" ht="17.35" hidden="false" customHeight="false" outlineLevel="0" collapsed="false">
      <c r="A153" s="255" t="s">
        <v>286</v>
      </c>
      <c r="B153" s="271" t="s">
        <v>82</v>
      </c>
      <c r="C153" s="257" t="n">
        <f aca="false">F153</f>
        <v>0</v>
      </c>
      <c r="D153" s="257" t="n">
        <f aca="false">Управление!J170</f>
        <v>100</v>
      </c>
      <c r="E153" s="258" t="n">
        <f aca="false">D153*C153</f>
        <v>0</v>
      </c>
      <c r="F153" s="379" t="n">
        <f aca="false">IF(AND(Термо!A30="Цилиндровый", Термо!C37="Овальное",Термо!B37="Бронза"),1,0)</f>
        <v>0</v>
      </c>
      <c r="G153" s="387"/>
    </row>
    <row r="154" customFormat="false" ht="17.35" hidden="false" customHeight="false" outlineLevel="0" collapsed="false">
      <c r="A154" s="260" t="s">
        <v>287</v>
      </c>
      <c r="B154" s="435" t="s">
        <v>82</v>
      </c>
      <c r="C154" s="262" t="n">
        <f aca="false">F154</f>
        <v>0</v>
      </c>
      <c r="D154" s="262" t="n">
        <f aca="false">Управление!J171</f>
        <v>74</v>
      </c>
      <c r="E154" s="436" t="n">
        <f aca="false">D154*C154</f>
        <v>0</v>
      </c>
      <c r="F154" s="379" t="n">
        <f aca="false">IF(AND(Термо!A30="Цилиндровый", Термо!C37="Овальное",Термо!B37="Хром"),1,0)</f>
        <v>0</v>
      </c>
      <c r="G154" s="387"/>
    </row>
    <row r="155" customFormat="false" ht="17.35" hidden="false" customHeight="false" outlineLevel="0" collapsed="false">
      <c r="A155" s="438" t="s">
        <v>339</v>
      </c>
      <c r="B155" s="322"/>
      <c r="C155" s="79"/>
      <c r="D155" s="79"/>
      <c r="E155" s="439"/>
      <c r="F155" s="379"/>
      <c r="G155" s="387"/>
    </row>
    <row r="156" customFormat="false" ht="17.35" hidden="false" customHeight="false" outlineLevel="0" collapsed="false">
      <c r="A156" s="404" t="s">
        <v>324</v>
      </c>
      <c r="B156" s="322" t="s">
        <v>132</v>
      </c>
      <c r="C156" s="73" t="n">
        <f aca="false">IF(OR(Термо!B16='Наружная отделка'!B20,Термо!B16='Наружная отделка'!C20,Термо!B16='Наружная отделка'!D20,Термо!B16='Наружная отделка'!E20,Термо!B16='Наружная отделка'!F20,Термо!B16='Наружная отделка'!G20,Термо!B16='Наружная отделка'!H20,Термо!B16='Наружная отделка'!I20,Термо!B16='Наружная отделка'!J20,Термо!B16='Наружная отделка'!B29,Термо!B16='Наружная отделка'!C29,Термо!B16='Наружная отделка'!D29,Термо!B16='Наружная отделка'!E29,Термо!B16='Наружная отделка'!F29,Термо!B16='Наружная отделка'!G29,Термо!B16='Наружная отделка'!H29),100,0)</f>
        <v>0</v>
      </c>
      <c r="D156" s="73" t="n">
        <f aca="false">Управление!B29</f>
        <v>0.2</v>
      </c>
      <c r="E156" s="392" t="n">
        <f aca="false">C156*D156</f>
        <v>0</v>
      </c>
      <c r="F156" s="379"/>
      <c r="G156" s="387"/>
    </row>
    <row r="157" customFormat="false" ht="17.35" hidden="false" customHeight="false" outlineLevel="0" collapsed="false">
      <c r="A157" s="404" t="s">
        <v>89</v>
      </c>
      <c r="B157" s="440" t="s">
        <v>35</v>
      </c>
      <c r="C157" s="73" t="n">
        <f aca="false">IF(OR(Термо!B16='Наружная отделка'!B20,Термо!B16='Наружная отделка'!C20,Термо!B16='Наружная отделка'!D20,Термо!B16='Наружная отделка'!E20,Термо!B16='Наружная отделка'!F20,Термо!B16='Наружная отделка'!G20,Термо!B16='Наружная отделка'!H20,Термо!B16='Наружная отделка'!I20,Термо!B16='Наружная отделка'!J20,Термо!B16='Наружная отделка'!B29,Термо!B16='Наружная отделка'!C29,Термо!B16='Наружная отделка'!D29,Термо!B16='Наружная отделка'!E29,Термо!B16='Наружная отделка'!F29,Термо!B16='Наружная отделка'!G29,Термо!B16='Наружная отделка'!H29),4,0)</f>
        <v>0</v>
      </c>
      <c r="D157" s="73" t="n">
        <f aca="false">Управление!B17</f>
        <v>1.6</v>
      </c>
      <c r="E157" s="392" t="n">
        <f aca="false">C157*D157</f>
        <v>0</v>
      </c>
      <c r="F157" s="379"/>
      <c r="G157" s="387"/>
    </row>
    <row r="158" customFormat="false" ht="17.35" hidden="false" customHeight="false" outlineLevel="0" collapsed="false">
      <c r="A158" s="174" t="s">
        <v>242</v>
      </c>
      <c r="B158" s="333"/>
      <c r="C158" s="334"/>
      <c r="D158" s="334"/>
      <c r="E158" s="441"/>
      <c r="F158" s="379"/>
      <c r="G158" s="387"/>
    </row>
    <row r="159" customFormat="false" ht="17.35" hidden="false" customHeight="false" outlineLevel="0" collapsed="false">
      <c r="A159" s="177" t="s">
        <v>243</v>
      </c>
      <c r="B159" s="124" t="s">
        <v>202</v>
      </c>
      <c r="C159" s="336" t="n">
        <f aca="false">IF(F174="Стандарт",1.932,2.89)</f>
        <v>1.932</v>
      </c>
      <c r="D159" s="442" t="n">
        <f aca="false">IF(OR(Термо!C16='Внутренняя отделка'!B13,Термо!C16='Внутренняя отделка'!C13,Термо!C16='Внутренняя отделка'!D13,Термо!C16='Внутренняя отделка'!E13),Управление!E78,Управление!E64)</f>
        <v>250.6901311</v>
      </c>
      <c r="E159" s="340" t="n">
        <f aca="false">D159*C159</f>
        <v>484.3333332852</v>
      </c>
      <c r="F159" s="379"/>
      <c r="G159" s="387"/>
    </row>
    <row r="160" customFormat="false" ht="17.35" hidden="false" customHeight="false" outlineLevel="0" collapsed="false">
      <c r="A160" s="180" t="s">
        <v>203</v>
      </c>
      <c r="B160" s="122" t="s">
        <v>29</v>
      </c>
      <c r="C160" s="194" t="n">
        <v>0.15</v>
      </c>
      <c r="D160" s="368" t="n">
        <f aca="false">Управление!G65</f>
        <v>1000</v>
      </c>
      <c r="E160" s="340" t="n">
        <f aca="false">D160*C160</f>
        <v>150</v>
      </c>
      <c r="F160" s="379"/>
      <c r="G160" s="387"/>
    </row>
    <row r="161" customFormat="false" ht="17.35" hidden="false" customHeight="false" outlineLevel="0" collapsed="false">
      <c r="A161" s="183" t="s">
        <v>204</v>
      </c>
      <c r="B161" s="122" t="s">
        <v>119</v>
      </c>
      <c r="C161" s="194" t="n">
        <v>0.005</v>
      </c>
      <c r="D161" s="442" t="n">
        <f aca="false">Управление!E66</f>
        <v>214</v>
      </c>
      <c r="E161" s="340" t="n">
        <f aca="false">D161*C161</f>
        <v>1.07</v>
      </c>
      <c r="F161" s="379"/>
      <c r="G161" s="387"/>
    </row>
    <row r="162" customFormat="false" ht="17.35" hidden="false" customHeight="false" outlineLevel="0" collapsed="false">
      <c r="A162" s="183" t="s">
        <v>205</v>
      </c>
      <c r="B162" s="122" t="s">
        <v>119</v>
      </c>
      <c r="C162" s="194" t="n">
        <v>0.05</v>
      </c>
      <c r="D162" s="442" t="n">
        <f aca="false">Управление!E67</f>
        <v>60</v>
      </c>
      <c r="E162" s="340" t="n">
        <f aca="false">D162*C162</f>
        <v>3</v>
      </c>
      <c r="F162" s="379"/>
      <c r="G162" s="387"/>
    </row>
    <row r="163" customFormat="false" ht="17.35" hidden="false" customHeight="false" outlineLevel="0" collapsed="false">
      <c r="A163" s="180" t="s">
        <v>206</v>
      </c>
      <c r="B163" s="122" t="s">
        <v>49</v>
      </c>
      <c r="C163" s="194" t="n">
        <v>0.018</v>
      </c>
      <c r="D163" s="368" t="n">
        <f aca="false">Управление!D68</f>
        <v>55</v>
      </c>
      <c r="E163" s="340" t="n">
        <f aca="false">D163*C163</f>
        <v>0.99</v>
      </c>
      <c r="F163" s="379"/>
      <c r="G163" s="387"/>
    </row>
    <row r="164" customFormat="false" ht="17.35" hidden="false" customHeight="false" outlineLevel="0" collapsed="false">
      <c r="A164" s="180" t="s">
        <v>107</v>
      </c>
      <c r="B164" s="122" t="s">
        <v>82</v>
      </c>
      <c r="C164" s="194" t="n">
        <v>1</v>
      </c>
      <c r="D164" s="368" t="n">
        <v>20</v>
      </c>
      <c r="E164" s="340" t="n">
        <f aca="false">D164*C164</f>
        <v>20</v>
      </c>
      <c r="F164" s="379"/>
      <c r="G164" s="387"/>
    </row>
    <row r="165" customFormat="false" ht="17.35" hidden="false" customHeight="false" outlineLevel="0" collapsed="false">
      <c r="A165" s="180" t="s">
        <v>207</v>
      </c>
      <c r="B165" s="122" t="s">
        <v>82</v>
      </c>
      <c r="C165" s="194" t="n">
        <v>1</v>
      </c>
      <c r="D165" s="368" t="n">
        <f aca="false">Управление!B70</f>
        <v>734</v>
      </c>
      <c r="E165" s="340" t="n">
        <f aca="false">D165*C165</f>
        <v>734</v>
      </c>
      <c r="F165" s="379"/>
      <c r="G165" s="387"/>
    </row>
    <row r="166" customFormat="false" ht="17.35" hidden="false" customHeight="false" outlineLevel="0" collapsed="false">
      <c r="A166" s="180" t="s">
        <v>208</v>
      </c>
      <c r="B166" s="122" t="s">
        <v>82</v>
      </c>
      <c r="C166" s="194" t="n">
        <v>1</v>
      </c>
      <c r="D166" s="368" t="n">
        <f aca="false">Управление!B71</f>
        <v>65</v>
      </c>
      <c r="E166" s="340" t="n">
        <f aca="false">D166*C166</f>
        <v>65</v>
      </c>
      <c r="F166" s="379"/>
      <c r="G166" s="387"/>
    </row>
    <row r="167" customFormat="false" ht="17.35" hidden="false" customHeight="false" outlineLevel="0" collapsed="false">
      <c r="A167" s="184" t="s">
        <v>209</v>
      </c>
      <c r="B167" s="363" t="s">
        <v>82</v>
      </c>
      <c r="C167" s="194" t="n">
        <v>1</v>
      </c>
      <c r="D167" s="368" t="n">
        <f aca="false">ifs(Термо!C16='Внутренняя отделка'!B3,700,Термо!C16='Внутренняя отделка'!C3,700,Термо!C16='Внутренняя отделка'!D3,700,Термо!C16='Внутренняя отделка'!E3,700,Термо!C16='Внутренняя отделка'!F3,500,Термо!C16='Внутренняя отделка'!G3,700,Термо!C16='Внутренняя отделка'!H3,500,Термо!C16='Внутренняя отделка'!I3,700,Термо!C16='Внутренняя отделка'!J3,700,Термо!C16='Внутренняя отделка'!K3,700,Термо!C16='Внутренняя отделка'!L3,700,Термо!C16='Внутренняя отделка'!M3,700,Термо!C16='Внутренняя отделка'!N3,700,Термо!C16='Внутренняя отделка'!B8,500,Термо!C16='Внутренняя отделка'!C8,500,Термо!C16='Внутренняя отделка'!D8,500,Термо!C16='Внутренняя отделка'!E8,700,Термо!C16='Внутренняя отделка'!F8,700,Термо!C16='Внутренняя отделка'!G8,700,Термо!C16='Внутренняя отделка'!H8,500,Термо!C16='Внутренняя отделка'!I8,500,Термо!C16='Внутренняя отделка'!J8,900,Термо!C16='Внутренняя отделка'!K8,700,Термо!C16='Внутренняя отделка'!B13,900,Термо!C16='Внутренняя отделка'!C13,900,Термо!C16='Внутренняя отделка'!D13,900,Термо!C16='Внутренняя отделка'!E13,900,Термо!C16='Внутренняя отделка'!L8,500,Термо!C16='Внутренняя отделка'!B18,700,Термо!C16='Внутренняя отделка'!C18,700,Термо!C16='Внутренняя отделка'!D18,700,Термо!C16='Внутренняя отделка'!E18,700,Термо!C16='Внутренняя отделка'!F18,700,Термо!C16='Внутренняя отделка'!M8,0)</f>
        <v>700</v>
      </c>
      <c r="E167" s="340" t="n">
        <f aca="false">D167*C167</f>
        <v>700</v>
      </c>
      <c r="F167" s="379"/>
      <c r="G167" s="387"/>
    </row>
    <row r="168" customFormat="false" ht="17.35" hidden="false" customHeight="false" outlineLevel="0" collapsed="false">
      <c r="A168" s="364" t="str">
        <f aca="false">Термо!C18</f>
        <v>Астана Эш Уайт</v>
      </c>
      <c r="B168" s="365" t="s">
        <v>119</v>
      </c>
      <c r="C168" s="366" t="n">
        <f aca="false">IF(F174="Стандарт",3.5,4.55)</f>
        <v>3.5</v>
      </c>
      <c r="D168" s="443" t="n">
        <f aca="false">ifs(A168="Нет",0,A168=Управление!I97,Управление!J97,A168=Управление!I98,Управление!J98,A168=Управление!I99,Управление!J99,A168=Управление!I100,Управление!J100,A168=Управление!I101,Управление!J101,A168=Управление!I102,Управление!J102,A168=Управление!I103,Управление!J103,A168=Управление!I104,Управление!J104,A168=Управление!I105,Управление!J105,A168=Управление!I106,Управление!J106,A168=Управление!I107,Управление!J107,A168=Управление!I108,Управление!J108,A168=Управление!I109,Управление!J109,A168=Управление!I110,Управление!J110,A168=Управление!I111,Управление!J111,A168=Управление!I112,Управление!J112,A168=Управление!I113,Управление!J113,A168=Управление!I114,Управление!J114,A168=Управление!I115,Управление!J115,A168=Управление!I116,Управление!J116,A168=Управление!I117,Управление!J117,A168=Управление!I118,Управление!J118,A168=Управление!I119,Управление!J119,A168=Управление!I120,Управление!J120,A168=Управление!I121,Управление!J121,A168=Управление!I122,Управление!J122,A168=Управление!I123,Управление!J123,A168=Управление!I124,Управление!J124,A168=Управление!I125,Управление!J125,A168=Управление!I126,Управление!J126,A168=Управление!I127,Управление!J127,A168=Управление!I128,Управление!J128,A168=Управление!I129,Управление!J129,A168=Управление!I130,Управление!J130,A168=Управление!I131,Управление!J131,A168=Управление!I132,Управление!J132,A168=Управление!I133,Управление!J133,A168=Управление!I134,Управление!J134,A168=Управление!I135,Управление!J135,A168=Управление!I136,Управление!J136,A168=Управление!I137,Управление!J137,A168=Управление!I138,Управление!J138,A168=Управление!I139,Управление!J139,A168=Управление!I140,Управление!J140)</f>
        <v>132</v>
      </c>
      <c r="E168" s="340" t="n">
        <f aca="false">D168*C168</f>
        <v>462</v>
      </c>
      <c r="F168" s="379"/>
      <c r="G168" s="387"/>
    </row>
    <row r="169" customFormat="false" ht="17.35" hidden="false" customHeight="false" outlineLevel="0" collapsed="false">
      <c r="A169" s="235" t="s">
        <v>226</v>
      </c>
      <c r="B169" s="236" t="s">
        <v>119</v>
      </c>
      <c r="C169" s="194" t="n">
        <f aca="false">ifs(Термо!C16='Внутренняя отделка'!B3,0,Термо!C16='Внутренняя отделка'!C3,0,Термо!C16='Внутренняя отделка'!D3,0,Термо!C16='Внутренняя отделка'!E3,0,Термо!C16='Внутренняя отделка'!G3,0,Термо!C16='Внутренняя отделка'!H3,0,Термо!C16='Внутренняя отделка'!I3,0,Термо!C16='Внутренняя отделка'!J3,0,Термо!C16='Внутренняя отделка'!K3,0,Термо!C16='Внутренняя отделка'!L3,0,Термо!C16='Внутренняя отделка'!M3,0,Термо!C16='Внутренняя отделка'!N3,0,Термо!C16='Внутренняя отделка'!B8,0,Термо!C16='Внутренняя отделка'!C8,0,Термо!C16='Внутренняя отделка'!D8,0,Термо!C16='Внутренняя отделка'!E8,0,Термо!C16='Внутренняя отделка'!G8,0.1,Термо!C16='Внутренняя отделка'!H8,0.1,Термо!C16='Внутренняя отделка'!I8,0.15,Термо!C16='Внутренняя отделка'!K8,0.05,Термо!C16='Внутренняя отделка'!B13,0.4,Термо!C16='Внутренняя отделка'!C13,0.4,Термо!C16='Внутренняя отделка'!D13,0.4,Термо!C16='Внутренняя отделка'!E13,0.4,Термо!C16='Внутренняя отделка'!F8,0,Термо!C16='Внутренняя отделка'!F3,0,Термо!C16='Внутренняя отделка'!J8,0,Термо!C16='Внутренняя отделка'!B18,0,Термо!C16='Внутренняя отделка'!C18,0,Термо!C16='Внутренняя отделка'!D18,0,Термо!C16='Внутренняя отделка'!E18,0,Термо!C16='Внутренняя отделка'!F18,0,Термо!C16='Внутренняя отделка'!L8,0,Термо!C16='Внутренняя отделка'!M8,0)</f>
        <v>0</v>
      </c>
      <c r="D169" s="194" t="n">
        <f aca="false">IF(F174="Стандарт",315,366)</f>
        <v>315</v>
      </c>
      <c r="E169" s="340" t="n">
        <f aca="false">D169*C169</f>
        <v>0</v>
      </c>
      <c r="F169" s="379"/>
      <c r="G169" s="387"/>
    </row>
    <row r="170" customFormat="false" ht="17.35" hidden="false" customHeight="false" outlineLevel="0" collapsed="false">
      <c r="A170" s="203" t="s">
        <v>217</v>
      </c>
      <c r="B170" s="236" t="s">
        <v>49</v>
      </c>
      <c r="C170" s="368" t="n">
        <f aca="false">ifs(Термо!C16='Внутренняя отделка'!B3,0,Термо!C16='Внутренняя отделка'!C3,0,Термо!C16='Внутренняя отделка'!D3,0,Термо!C16='Внутренняя отделка'!E3,0,Термо!C16='Внутренняя отделка'!G3,0,Термо!C16='Внутренняя отделка'!H3,0,Термо!C16='Внутренняя отделка'!I3,0,Термо!C16='Внутренняя отделка'!J3,0,Термо!C16='Внутренняя отделка'!K3,0,Термо!C16='Внутренняя отделка'!L3,0,Термо!C16='Внутренняя отделка'!M3,0,Термо!C16='Внутренняя отделка'!N3,0,Термо!C16='Внутренняя отделка'!B8,0,Термо!C16='Внутренняя отделка'!C8,0,Термо!C16='Внутренняя отделка'!D8,0,Термо!C16='Внутренняя отделка'!E8,0,Термо!C16='Внутренняя отделка'!G8,0.1,Термо!C16='Внутренняя отделка'!H8,0.1,Термо!C16='Внутренняя отделка'!I8,0.15,Термо!C16='Внутренняя отделка'!K8,0.05,Термо!C16='Внутренняя отделка'!B13,0.4,Термо!C16='Внутренняя отделка'!C13,0.4,Термо!C16='Внутренняя отделка'!D13,0.4,Термо!C16='Внутренняя отделка'!E13,0.4,Термо!C16='Внутренняя отделка'!F8,0,Термо!C16='Внутренняя отделка'!F3,0,Термо!C16='Внутренняя отделка'!J8,0,Термо!C16='Внутренняя отделка'!B18,0,Термо!C16='Внутренняя отделка'!C18,0,Термо!C16='Внутренняя отделка'!D18,0,Термо!C16='Внутренняя отделка'!E18,0,Термо!C16='Внутренняя отделка'!F18,0,Термо!C16='Внутренняя отделка'!L8,0,Термо!C16='Внутренняя отделка'!M8,0)</f>
        <v>0</v>
      </c>
      <c r="D170" s="194" t="n">
        <f aca="false">Управление!D79</f>
        <v>430</v>
      </c>
      <c r="E170" s="340" t="n">
        <f aca="false">C170*D170</f>
        <v>0</v>
      </c>
      <c r="F170" s="379"/>
      <c r="G170" s="387"/>
    </row>
    <row r="171" customFormat="false" ht="17.35" hidden="false" customHeight="false" outlineLevel="0" collapsed="false">
      <c r="A171" s="235" t="s">
        <v>244</v>
      </c>
      <c r="B171" s="236" t="s">
        <v>119</v>
      </c>
      <c r="C171" s="194" t="n">
        <f aca="false">IF(AND(Термо!C16="Ф-30",F174="Стандарт"),0.12084,0.12864)</f>
        <v>0.12864</v>
      </c>
      <c r="D171" s="194" t="n">
        <f aca="false">IF(AND(Термо!C16="Ф-30",F174="Стандарт"),Управление!E80,0)</f>
        <v>0</v>
      </c>
      <c r="E171" s="340" t="n">
        <f aca="false">D171*C171</f>
        <v>0</v>
      </c>
      <c r="F171" s="379"/>
      <c r="G171" s="387"/>
    </row>
    <row r="172" customFormat="false" ht="17.35" hidden="false" customHeight="false" outlineLevel="0" collapsed="false">
      <c r="A172" s="235" t="s">
        <v>223</v>
      </c>
      <c r="B172" s="236" t="s">
        <v>224</v>
      </c>
      <c r="C172" s="194" t="n">
        <f aca="false">IF(AND(Термо!C16="Ф-30",F174="Стандарт"),8.176,8.696)</f>
        <v>8.696</v>
      </c>
      <c r="D172" s="194" t="n">
        <f aca="false">IF(AND(Термо!C16="Ф-30",F174="Стандарт"),Управление!C88,0)</f>
        <v>0</v>
      </c>
      <c r="E172" s="340" t="n">
        <f aca="false">D172*C172</f>
        <v>0</v>
      </c>
      <c r="F172" s="379"/>
      <c r="G172" s="387"/>
    </row>
    <row r="173" customFormat="false" ht="17.35" hidden="false" customHeight="false" outlineLevel="0" collapsed="false">
      <c r="A173" s="235" t="s">
        <v>245</v>
      </c>
      <c r="B173" s="236" t="s">
        <v>119</v>
      </c>
      <c r="C173" s="194" t="n">
        <f aca="false">IF(AND(Термо!C16="Ф-32",F174="Стандарт"),0.116812,0.124352)</f>
        <v>0.124352</v>
      </c>
      <c r="D173" s="194" t="n">
        <f aca="false">IF(AND(Термо!C16="Ф-32",F174="Стандарт"),Управление!E80,0)</f>
        <v>0</v>
      </c>
      <c r="E173" s="340" t="n">
        <f aca="false">C173*D173</f>
        <v>0</v>
      </c>
      <c r="F173" s="379"/>
      <c r="G173" s="387"/>
    </row>
    <row r="174" customFormat="false" ht="17.35" hidden="false" customHeight="false" outlineLevel="0" collapsed="false">
      <c r="A174" s="235" t="s">
        <v>223</v>
      </c>
      <c r="B174" s="236" t="s">
        <v>224</v>
      </c>
      <c r="C174" s="194" t="n">
        <f aca="false">IF(AND(Термо!C16="Ф-32",F174="Стандарт"),4.144,4.404)</f>
        <v>4.404</v>
      </c>
      <c r="D174" s="194" t="n">
        <f aca="false">IF(AND(Термо!C16="Ф-32",F174="Стандарт"),Управление!C88,0)</f>
        <v>0</v>
      </c>
      <c r="E174" s="340" t="n">
        <f aca="false">D174*C174</f>
        <v>0</v>
      </c>
      <c r="F174" s="379" t="str">
        <f aca="false">IF(O4&gt;2052,"Нестандарт","Стандарт")</f>
        <v>Стандарт</v>
      </c>
      <c r="G174" s="387"/>
    </row>
    <row r="175" customFormat="false" ht="17.35" hidden="false" customHeight="false" outlineLevel="0" collapsed="false">
      <c r="A175" s="235" t="s">
        <v>246</v>
      </c>
      <c r="B175" s="236" t="s">
        <v>119</v>
      </c>
      <c r="C175" s="194" t="n">
        <f aca="false">IF(AND(Термо!C16="Ф-79",F174="Стандарт"),0.06042,0.06432)</f>
        <v>0.06432</v>
      </c>
      <c r="D175" s="194" t="n">
        <f aca="false">IF(AND(Термо!C16="Ф-79",F174="Стандарт"),Управление!E80,0)</f>
        <v>0</v>
      </c>
      <c r="E175" s="340" t="n">
        <f aca="false">D175*C175</f>
        <v>0</v>
      </c>
      <c r="F175" s="379" t="str">
        <f aca="false">IF(P4&gt;934,"Нестандарт","Стандарт")</f>
        <v>Стандарт</v>
      </c>
      <c r="G175" s="387"/>
    </row>
    <row r="176" customFormat="false" ht="17.35" hidden="false" customHeight="false" outlineLevel="0" collapsed="false">
      <c r="A176" s="235" t="s">
        <v>223</v>
      </c>
      <c r="B176" s="236" t="s">
        <v>224</v>
      </c>
      <c r="C176" s="194" t="n">
        <f aca="false">IF(AND(Термо!C16="Ф-79",F174="Стандарт"),4.088,4.348)</f>
        <v>4.348</v>
      </c>
      <c r="D176" s="194" t="n">
        <f aca="false">IF(AND(Термо!C16="Ф-79",F174="Стандарт"),Управление!C88,0)</f>
        <v>0</v>
      </c>
      <c r="E176" s="340" t="n">
        <f aca="false">C176*D176</f>
        <v>0</v>
      </c>
      <c r="F176" s="444" t="str">
        <f aca="false">IF(AND(F174="Стандарт",F175="Стандарт"),"Стандарт","Нестандарт")</f>
        <v>Стандарт</v>
      </c>
      <c r="G176" s="387"/>
    </row>
    <row r="177" customFormat="false" ht="17.35" hidden="false" customHeight="false" outlineLevel="0" collapsed="false">
      <c r="A177" s="203" t="s">
        <v>247</v>
      </c>
      <c r="B177" s="236" t="s">
        <v>82</v>
      </c>
      <c r="C177" s="194" t="n">
        <f aca="false">IF(Термо!C16='Внутренняя отделка'!E13,0.1,0)</f>
        <v>0</v>
      </c>
      <c r="D177" s="194" t="n">
        <f aca="false">Управление!B91</f>
        <v>260</v>
      </c>
      <c r="E177" s="340" t="n">
        <f aca="false">D177*C177</f>
        <v>0</v>
      </c>
      <c r="F177" s="379"/>
      <c r="G177" s="387"/>
    </row>
    <row r="178" customFormat="false" ht="17.35" hidden="false" customHeight="false" outlineLevel="0" collapsed="false">
      <c r="A178" s="203" t="s">
        <v>248</v>
      </c>
      <c r="B178" s="236" t="s">
        <v>224</v>
      </c>
      <c r="C178" s="194" t="n">
        <f aca="false">IF(AND(Термо!C16="ФЗ-1",F174="Стандарт"),4.476,4.736)</f>
        <v>4.736</v>
      </c>
      <c r="D178" s="194" t="n">
        <f aca="false">IF(AND(Термо!C16="ФЗ-1",F174="Стандарт"),Управление!C90,0)</f>
        <v>0</v>
      </c>
      <c r="E178" s="340" t="n">
        <f aca="false">D178*C178</f>
        <v>0</v>
      </c>
      <c r="F178" s="379"/>
      <c r="G178" s="387"/>
    </row>
    <row r="179" customFormat="false" ht="17.35" hidden="false" customHeight="false" outlineLevel="0" collapsed="false">
      <c r="A179" s="203" t="s">
        <v>249</v>
      </c>
      <c r="B179" s="236" t="s">
        <v>119</v>
      </c>
      <c r="C179" s="194" t="n">
        <f aca="false">IF(AND(Термо!C16="ФЗ-1",F174="Стандарт"),0.451136,0.480256)</f>
        <v>0.480256</v>
      </c>
      <c r="D179" s="194" t="n">
        <f aca="false">IF(AND(Термо!C16="ФЗ-1",F174="Стандарт"),Управление!E81,0)</f>
        <v>0</v>
      </c>
      <c r="E179" s="340" t="n">
        <f aca="false">C179*D179</f>
        <v>0</v>
      </c>
      <c r="F179" s="379"/>
      <c r="G179" s="387"/>
    </row>
    <row r="180" customFormat="false" ht="17.35" hidden="false" customHeight="false" outlineLevel="0" collapsed="false">
      <c r="A180" s="203" t="s">
        <v>250</v>
      </c>
      <c r="B180" s="236" t="s">
        <v>119</v>
      </c>
      <c r="C180" s="194" t="n">
        <f aca="false">IF(AND(Термо!C16="ФЗ-6",F174="Стандарт"),1.28896,1.37216)</f>
        <v>1.37216</v>
      </c>
      <c r="D180" s="194" t="n">
        <f aca="false">IF(AND(Термо!C16="ФЗ-6",F174="Стандарт"),Управление!E81,0)</f>
        <v>0</v>
      </c>
      <c r="E180" s="340" t="n">
        <f aca="false">D180*C180</f>
        <v>0</v>
      </c>
      <c r="F180" s="379"/>
      <c r="G180" s="387"/>
    </row>
    <row r="181" customFormat="false" ht="17.35" hidden="false" customHeight="false" outlineLevel="0" collapsed="false">
      <c r="A181" s="235" t="s">
        <v>223</v>
      </c>
      <c r="B181" s="236" t="s">
        <v>224</v>
      </c>
      <c r="C181" s="194" t="n">
        <f aca="false">IF(AND(Термо!C16="ФЗ-6",F174="Стандарт"),5.308,5.568)</f>
        <v>5.568</v>
      </c>
      <c r="D181" s="194" t="n">
        <f aca="false">IF(AND(Термо!C16="ФЗ-6",F174="Стандарт"),Управление!C88,0)</f>
        <v>0</v>
      </c>
      <c r="E181" s="340" t="n">
        <f aca="false">D181*C181</f>
        <v>0</v>
      </c>
      <c r="F181" s="379"/>
      <c r="G181" s="387"/>
    </row>
    <row r="182" customFormat="false" ht="17.35" hidden="false" customHeight="false" outlineLevel="0" collapsed="false">
      <c r="A182" s="203" t="s">
        <v>251</v>
      </c>
      <c r="B182" s="236" t="s">
        <v>119</v>
      </c>
      <c r="C182" s="194" t="n">
        <f aca="false">IF(AND(Термо!C16="ФЗ-7",F174="Стандарт"),1.583004,1.685184)</f>
        <v>1.685184</v>
      </c>
      <c r="D182" s="194" t="n">
        <f aca="false">IF(AND(Термо!C16="ФЗ-7",F174="Стандарт"),Управление!E81,0)</f>
        <v>0</v>
      </c>
      <c r="E182" s="340" t="n">
        <f aca="false">C182*D182</f>
        <v>0</v>
      </c>
      <c r="F182" s="379"/>
      <c r="G182" s="387"/>
    </row>
    <row r="183" customFormat="false" ht="17.35" hidden="false" customHeight="false" outlineLevel="0" collapsed="false">
      <c r="A183" s="235" t="s">
        <v>223</v>
      </c>
      <c r="B183" s="236" t="s">
        <v>224</v>
      </c>
      <c r="C183" s="194" t="n">
        <f aca="false">IF(AND(Термо!C16="ФЗ-7",F174="Стандарт"),5.6,5.86)</f>
        <v>5.86</v>
      </c>
      <c r="D183" s="194" t="n">
        <f aca="false">IF(AND(Термо!C16="ФЗ-7",F174="Стандарт"),Управление!C88,0)</f>
        <v>0</v>
      </c>
      <c r="E183" s="340" t="n">
        <f aca="false">D183*C183</f>
        <v>0</v>
      </c>
      <c r="F183" s="379"/>
      <c r="G183" s="387"/>
    </row>
    <row r="184" customFormat="false" ht="17.35" hidden="false" customHeight="false" outlineLevel="0" collapsed="false">
      <c r="A184" s="212" t="s">
        <v>304</v>
      </c>
      <c r="B184" s="237" t="s">
        <v>119</v>
      </c>
      <c r="C184" s="332" t="n">
        <f aca="false">IF(AND(Термо!C16="ФЗ-8",F174="Стандарт"),1.2573,1.33985)</f>
        <v>1.33985</v>
      </c>
      <c r="D184" s="332" t="n">
        <f aca="false">IF(AND(Термо!C16="ФЗ-8",F174="Стандарт"),Управление!E81,0)</f>
        <v>0</v>
      </c>
      <c r="E184" s="436" t="n">
        <f aca="false">D184*C184</f>
        <v>0</v>
      </c>
      <c r="F184" s="379"/>
      <c r="G184" s="387"/>
      <c r="I184" s="445" t="s">
        <v>340</v>
      </c>
    </row>
    <row r="185" customFormat="false" ht="17.35" hidden="false" customHeight="false" outlineLevel="0" collapsed="false">
      <c r="A185" s="431" t="s">
        <v>272</v>
      </c>
      <c r="B185" s="349"/>
      <c r="C185" s="350"/>
      <c r="D185" s="350"/>
      <c r="E185" s="351"/>
      <c r="F185" s="379"/>
      <c r="G185" s="387"/>
      <c r="I185" s="324" t="s">
        <v>341</v>
      </c>
      <c r="J185" s="6" t="s">
        <v>342</v>
      </c>
    </row>
    <row r="186" customFormat="false" ht="17.35" hidden="false" customHeight="false" outlineLevel="0" collapsed="false">
      <c r="A186" s="446" t="s">
        <v>58</v>
      </c>
      <c r="B186" s="302" t="s">
        <v>29</v>
      </c>
      <c r="C186" s="262" t="n">
        <f aca="false">IF(Термо!B50="Порог шлифованный. Цвет: Хром",1.6318,0)</f>
        <v>1.6318</v>
      </c>
      <c r="D186" s="262" t="n">
        <f aca="false">Управление!G82</f>
        <v>187</v>
      </c>
      <c r="E186" s="436" t="n">
        <f aca="false">D186*C186</f>
        <v>305.1466</v>
      </c>
      <c r="F186" s="379"/>
      <c r="G186" s="387"/>
      <c r="I186" s="324" t="n">
        <f aca="false">Термо!B10-415</f>
        <v>1685</v>
      </c>
      <c r="J186" s="324" t="n">
        <f aca="false">Термо!B11-597</f>
        <v>433</v>
      </c>
      <c r="K186" s="6" t="s">
        <v>343</v>
      </c>
    </row>
    <row r="187" customFormat="false" ht="17.35" hidden="false" customHeight="false" outlineLevel="0" collapsed="false">
      <c r="A187" s="431" t="s">
        <v>344</v>
      </c>
      <c r="B187" s="220" t="s">
        <v>119</v>
      </c>
      <c r="C187" s="221" t="s">
        <v>345</v>
      </c>
      <c r="D187" s="221" t="s">
        <v>346</v>
      </c>
      <c r="E187" s="221" t="s">
        <v>347</v>
      </c>
      <c r="F187" s="221" t="s">
        <v>348</v>
      </c>
      <c r="G187" s="447" t="s">
        <v>349</v>
      </c>
      <c r="H187" s="222" t="s">
        <v>350</v>
      </c>
      <c r="I187" s="324" t="n">
        <f aca="false">Термо!B10-995</f>
        <v>1105</v>
      </c>
      <c r="J187" s="324" t="n">
        <f aca="false">Термо!B11-570</f>
        <v>460</v>
      </c>
      <c r="K187" s="6" t="s">
        <v>351</v>
      </c>
    </row>
    <row r="188" customFormat="false" ht="17.35" hidden="false" customHeight="false" outlineLevel="0" collapsed="false">
      <c r="A188" s="255" t="s">
        <v>352</v>
      </c>
      <c r="B188" s="448" t="n">
        <f aca="false">IF(OR(Термо!B16="Darkwood SP Дуб чарлстон",Термо!B16="Darkwood SP Вудлайн тёмный",Термо!B16="Drevos SP Пино+чёрный",Термо!B16="Darkwood SP Вяз шоколад",Термо!B16="Darkwood SP Пино",Термо!B16="Drevos SP дуб чарлстон",Термо!B16="Drevos SP вяз шоколад",Термо!B16="Drevos SP вудлайн тёмный"),J190,0)</f>
        <v>0</v>
      </c>
      <c r="C188" s="113" t="n">
        <f aca="false">Управление!E93</f>
        <v>5000</v>
      </c>
      <c r="D188" s="449" t="n">
        <f aca="false">IF(OR(Термо!A25&lt;&gt;"Нет", Термо!B25&lt;&gt;"Нет"), 1500, 0)</f>
        <v>1500</v>
      </c>
      <c r="E188" s="449" t="n">
        <f aca="false">IF(AND(Термо!A25&lt;&gt;"Нет", Термо!B25&lt;&gt;"Нет"), 1000, 0)</f>
        <v>1000</v>
      </c>
      <c r="F188" s="113" t="n">
        <f aca="false">IF(J186&lt;200,20,0)</f>
        <v>0</v>
      </c>
      <c r="G188" s="450" t="n">
        <f aca="false">SUM(B188*C188)+(B188*D188)+(B188*E188)</f>
        <v>0</v>
      </c>
      <c r="H188" s="217" t="n">
        <f aca="false">(G188 * (1 +F188  / 100))</f>
        <v>0</v>
      </c>
      <c r="I188" s="324" t="n">
        <f aca="false">Термо!B10-440</f>
        <v>1660</v>
      </c>
      <c r="J188" s="324" t="n">
        <f aca="false">Термо!B11-570</f>
        <v>460</v>
      </c>
      <c r="K188" s="6" t="s">
        <v>353</v>
      </c>
    </row>
    <row r="189" customFormat="false" ht="17.35" hidden="false" customHeight="false" outlineLevel="0" collapsed="false">
      <c r="A189" s="255" t="s">
        <v>354</v>
      </c>
      <c r="B189" s="103" t="n">
        <f aca="false">IF(Термо!B16="Senator SP",J191,0)</f>
        <v>0</v>
      </c>
      <c r="C189" s="113" t="n">
        <f aca="false">Управление!E94</f>
        <v>7000</v>
      </c>
      <c r="D189" s="155" t="n">
        <f aca="false">IF(OR(Термо!A25&lt;&gt;"Нет", Термо!B25&lt;&gt;"Нет"), 1500, 0)</f>
        <v>1500</v>
      </c>
      <c r="E189" s="155" t="n">
        <f aca="false">IF(AND(Термо!A25&lt;&gt;"Нет", Термо!B25&lt;&gt;"Нет"), 1000, 0)</f>
        <v>1000</v>
      </c>
      <c r="F189" s="113" t="n">
        <f aca="false">IF(J187&lt;200,20,0)</f>
        <v>0</v>
      </c>
      <c r="G189" s="450" t="n">
        <f aca="false">SUM(B189*C189)+(B189*D189)+(B189*E189)</f>
        <v>0</v>
      </c>
      <c r="H189" s="217" t="n">
        <f aca="false">(G189 * (1 +F189  / 100))</f>
        <v>0</v>
      </c>
      <c r="I189" s="324" t="n">
        <f aca="false">Термо!B10-350</f>
        <v>1750</v>
      </c>
      <c r="J189" s="324" t="n">
        <f aca="false">Термо!B11-680</f>
        <v>350</v>
      </c>
      <c r="K189" s="6" t="s">
        <v>355</v>
      </c>
    </row>
    <row r="190" customFormat="false" ht="17.35" hidden="false" customHeight="false" outlineLevel="0" collapsed="false">
      <c r="A190" s="255" t="s">
        <v>356</v>
      </c>
      <c r="B190" s="103" t="n">
        <f aca="false">IF(Термо!B16="Senator Max SP",J192,0)</f>
        <v>0</v>
      </c>
      <c r="C190" s="113" t="n">
        <f aca="false">Управление!E94</f>
        <v>7000</v>
      </c>
      <c r="D190" s="155" t="n">
        <f aca="false">IF(OR(Термо!A25&lt;&gt;"Нет", Термо!B25&lt;&gt;"Нет"), 1500, 0)</f>
        <v>1500</v>
      </c>
      <c r="E190" s="155" t="n">
        <f aca="false">IF(AND(Термо!A25&lt;&gt;"Нет", Термо!B25&lt;&gt;"Нет"), 1000, 0)</f>
        <v>1000</v>
      </c>
      <c r="F190" s="113" t="n">
        <f aca="false">IF(J188&lt;200,20,0)</f>
        <v>0</v>
      </c>
      <c r="G190" s="450" t="n">
        <f aca="false">SUM(B190*C190)+(B190*D190)+(B190*E190)</f>
        <v>0</v>
      </c>
      <c r="H190" s="217" t="n">
        <f aca="false">(G190 * (1 +F190  / 100))</f>
        <v>0</v>
      </c>
      <c r="I190" s="324"/>
      <c r="J190" s="324" t="n">
        <f aca="false">I186/1000*J186/1000</f>
        <v>0.729605</v>
      </c>
      <c r="K190" s="6" t="s">
        <v>357</v>
      </c>
    </row>
    <row r="191" customFormat="false" ht="17.35" hidden="false" customHeight="false" outlineLevel="0" collapsed="false">
      <c r="A191" s="260" t="s">
        <v>358</v>
      </c>
      <c r="B191" s="293" t="n">
        <f aca="false">IF(Термо!B16="Credo SP",J193,0)</f>
        <v>0.6125</v>
      </c>
      <c r="C191" s="294" t="n">
        <f aca="false">Управление!E95</f>
        <v>7000</v>
      </c>
      <c r="D191" s="451" t="n">
        <f aca="false">IF(OR(Термо!A25&lt;&gt;"Нет", Термо!B25&lt;&gt;"Нет"), 1500, 0)</f>
        <v>1500</v>
      </c>
      <c r="E191" s="451" t="n">
        <f aca="false">IF(AND(Термо!A25&lt;&gt;"Нет", Термо!B25&lt;&gt;"Нет"), 1000, 0)</f>
        <v>1000</v>
      </c>
      <c r="F191" s="294" t="n">
        <f aca="false">IF(J189&lt;200,20,0)</f>
        <v>0</v>
      </c>
      <c r="G191" s="452" t="n">
        <f aca="false">SUM(B191*C191)+(B191*D191)+(B191*E191)</f>
        <v>5818.75</v>
      </c>
      <c r="H191" s="295" t="n">
        <f aca="false">(G191 * (1 +F191  / 100))</f>
        <v>5818.75</v>
      </c>
      <c r="I191" s="324"/>
      <c r="J191" s="324" t="n">
        <f aca="false">I187/1000*J187/1000</f>
        <v>0.5083</v>
      </c>
      <c r="K191" s="6" t="s">
        <v>359</v>
      </c>
    </row>
    <row r="192" customFormat="false" ht="17.35" hidden="false" customHeight="false" outlineLevel="0" collapsed="false">
      <c r="A192" s="431" t="s">
        <v>360</v>
      </c>
      <c r="B192" s="349"/>
      <c r="C192" s="350"/>
      <c r="D192" s="350"/>
      <c r="E192" s="351"/>
      <c r="F192" s="290" t="n">
        <f aca="false">Управление!G88</f>
        <v>0</v>
      </c>
      <c r="G192" s="453"/>
      <c r="H192" s="454"/>
      <c r="I192" s="324"/>
      <c r="J192" s="455" t="n">
        <f aca="false">I188/1000*J188/1000</f>
        <v>0.7636</v>
      </c>
      <c r="K192" s="96" t="s">
        <v>361</v>
      </c>
    </row>
    <row r="193" customFormat="false" ht="17.35" hidden="false" customHeight="false" outlineLevel="0" collapsed="false">
      <c r="A193" s="260" t="s">
        <v>312</v>
      </c>
      <c r="B193" s="302" t="s">
        <v>362</v>
      </c>
      <c r="C193" s="262" t="n">
        <f aca="false">IF(Термо!B52="Да",8,0)</f>
        <v>8</v>
      </c>
      <c r="D193" s="262" t="n">
        <f aca="false">Управление!C98</f>
        <v>177</v>
      </c>
      <c r="E193" s="436" t="n">
        <f aca="false">D193*C193</f>
        <v>1416</v>
      </c>
      <c r="F193" s="113" t="n">
        <f aca="false">Управление!G89</f>
        <v>0</v>
      </c>
      <c r="G193" s="456"/>
      <c r="H193" s="457"/>
      <c r="I193" s="324"/>
      <c r="J193" s="455" t="n">
        <f aca="false">I189/1000*J189/1000</f>
        <v>0.6125</v>
      </c>
      <c r="K193" s="96" t="s">
        <v>363</v>
      </c>
    </row>
    <row r="194" customFormat="false" ht="17.35" hidden="false" customHeight="false" outlineLevel="0" collapsed="false">
      <c r="A194" s="285" t="s">
        <v>273</v>
      </c>
      <c r="B194" s="269"/>
      <c r="C194" s="298"/>
      <c r="D194" s="298"/>
      <c r="E194" s="299"/>
      <c r="F194" s="113" t="n">
        <f aca="false">Управление!G90</f>
        <v>0</v>
      </c>
      <c r="G194" s="456"/>
      <c r="H194" s="457"/>
      <c r="I194" s="324"/>
      <c r="J194" s="324"/>
    </row>
    <row r="195" customFormat="false" ht="17.35" hidden="false" customHeight="false" outlineLevel="0" collapsed="false">
      <c r="A195" s="301" t="s">
        <v>277</v>
      </c>
      <c r="B195" s="302" t="s">
        <v>82</v>
      </c>
      <c r="C195" s="262" t="n">
        <f aca="false">IF(Термо!B28="Hogo D-01 с бугельной ручкой",1,0)</f>
        <v>0</v>
      </c>
      <c r="D195" s="262" t="n">
        <f aca="false">Управление!J163</f>
        <v>34000</v>
      </c>
      <c r="E195" s="264" t="n">
        <f aca="false">D195*C195</f>
        <v>0</v>
      </c>
      <c r="F195" s="113" t="n">
        <f aca="false">Управление!G94</f>
        <v>0</v>
      </c>
      <c r="G195" s="456"/>
      <c r="H195" s="457"/>
      <c r="I195" s="324"/>
      <c r="J195" s="324"/>
    </row>
    <row r="196" customFormat="false" ht="17.35" hidden="false" customHeight="false" outlineLevel="0" collapsed="false">
      <c r="A196" s="285" t="s">
        <v>278</v>
      </c>
      <c r="B196" s="269"/>
      <c r="C196" s="298"/>
      <c r="D196" s="298"/>
      <c r="E196" s="299"/>
      <c r="F196" s="113" t="n">
        <f aca="false">Управление!G95</f>
        <v>0</v>
      </c>
      <c r="G196" s="456"/>
      <c r="H196" s="457"/>
      <c r="I196" s="324"/>
      <c r="J196" s="324"/>
    </row>
    <row r="197" customFormat="false" ht="17.35" hidden="false" customHeight="false" outlineLevel="0" collapsed="false">
      <c r="A197" s="300" t="s">
        <v>306</v>
      </c>
      <c r="B197" s="271" t="s">
        <v>82</v>
      </c>
      <c r="C197" s="339" t="n">
        <f aca="false">IF(D197&gt;0,1,0)</f>
        <v>1</v>
      </c>
      <c r="D197" s="257" t="n">
        <f aca="false">IF(OR(Термо!B28="Гардиан 32.21",Термо!B28=A195),Управление!J162,0)</f>
        <v>880</v>
      </c>
      <c r="E197" s="258" t="n">
        <f aca="false">D197*C197</f>
        <v>880</v>
      </c>
      <c r="F197" s="113" t="n">
        <f aca="false">Управление!G96</f>
        <v>0</v>
      </c>
      <c r="G197" s="456"/>
      <c r="H197" s="457"/>
      <c r="I197" s="324"/>
      <c r="J197" s="324"/>
    </row>
    <row r="198" customFormat="false" ht="17.35" hidden="false" customHeight="false" outlineLevel="0" collapsed="false">
      <c r="A198" s="300" t="s">
        <v>280</v>
      </c>
      <c r="B198" s="271" t="s">
        <v>82</v>
      </c>
      <c r="C198" s="339" t="n">
        <f aca="false">IF(D198&gt;0,1,0)</f>
        <v>0</v>
      </c>
      <c r="D198" s="257" t="n">
        <f aca="false">IF(AND(Термо!B39="Бугельная", OR(Термо!C39="Стандартный размер", Термо!C39="1600мм х 60мм")), Управление!J164, 0)</f>
        <v>0</v>
      </c>
      <c r="E198" s="258" t="n">
        <f aca="false">D198*C198</f>
        <v>0</v>
      </c>
      <c r="F198" s="113" t="n">
        <f aca="false">Управление!G97</f>
        <v>0</v>
      </c>
      <c r="G198" s="456"/>
      <c r="H198" s="457"/>
      <c r="I198" s="324"/>
      <c r="J198" s="324"/>
    </row>
    <row r="199" customFormat="false" ht="17.35" hidden="false" customHeight="false" outlineLevel="0" collapsed="false">
      <c r="A199" s="303" t="s">
        <v>281</v>
      </c>
      <c r="B199" s="304" t="s">
        <v>82</v>
      </c>
      <c r="C199" s="458" t="n">
        <f aca="false">IF(D199&gt;0,1,0)</f>
        <v>0</v>
      </c>
      <c r="D199" s="305" t="n">
        <f aca="false">IF(AND(Термо!B39="Бугельная", Термо!C39="1800мм х 60мм"), Управление!J165, 0)</f>
        <v>0</v>
      </c>
      <c r="E199" s="306" t="n">
        <f aca="false">D199*C199</f>
        <v>0</v>
      </c>
      <c r="F199" s="459" t="n">
        <f aca="false">Управление!G98</f>
        <v>0</v>
      </c>
      <c r="G199" s="456"/>
      <c r="H199" s="457"/>
      <c r="I199" s="324"/>
      <c r="J199" s="324"/>
    </row>
    <row r="200" customFormat="false" ht="17.35" hidden="false" customHeight="false" outlineLevel="0" collapsed="false">
      <c r="A200" s="193" t="s">
        <v>364</v>
      </c>
      <c r="B200" s="460"/>
      <c r="C200" s="461"/>
      <c r="D200" s="461"/>
      <c r="E200" s="254"/>
      <c r="F200" s="462" t="str">
        <f aca="false">IF(O3&gt;1999,"Нестандарт","Стандарт")</f>
        <v>Нестандарт</v>
      </c>
      <c r="G200" s="463"/>
      <c r="H200" s="457"/>
    </row>
    <row r="201" customFormat="false" ht="17.35" hidden="false" customHeight="false" outlineLevel="0" collapsed="false">
      <c r="A201" s="464" t="s">
        <v>365</v>
      </c>
      <c r="B201" s="276" t="s">
        <v>132</v>
      </c>
      <c r="C201" s="277" t="n">
        <f aca="false">IF(Термо!B16='Наружная отделка'!B20,1,0)</f>
        <v>0</v>
      </c>
      <c r="D201" s="277" t="n">
        <f aca="false">IF(F202="Стандарт",Управление!B101,Управление!B102)</f>
        <v>17200</v>
      </c>
      <c r="E201" s="258" t="n">
        <f aca="false">D201*C201</f>
        <v>0</v>
      </c>
      <c r="F201" s="465" t="str">
        <f aca="false">IF(P3&gt;909,"Нестандарт","Стандарт")</f>
        <v>Нестандарт</v>
      </c>
      <c r="G201" s="463"/>
      <c r="H201" s="457"/>
    </row>
    <row r="202" customFormat="false" ht="17.35" hidden="false" customHeight="false" outlineLevel="0" collapsed="false">
      <c r="A202" s="464" t="s">
        <v>366</v>
      </c>
      <c r="B202" s="276" t="s">
        <v>132</v>
      </c>
      <c r="C202" s="277" t="n">
        <f aca="false">IF(Термо!B16='Наружная отделка'!C20,1,0)</f>
        <v>0</v>
      </c>
      <c r="D202" s="277" t="n">
        <f aca="false">IF(F202="Стандарт",Управление!B105,Управление!B106)</f>
        <v>18100</v>
      </c>
      <c r="E202" s="258" t="n">
        <f aca="false">D202*C202</f>
        <v>0</v>
      </c>
      <c r="F202" s="466" t="str">
        <f aca="false">IF(AND(F200="Стандарт",F201="Стандарт"),"Стандарт","Нестандарт")</f>
        <v>Нестандарт</v>
      </c>
      <c r="G202" s="467"/>
      <c r="H202" s="468"/>
    </row>
    <row r="203" customFormat="false" ht="17.35" hidden="false" customHeight="false" outlineLevel="0" collapsed="false">
      <c r="A203" s="464" t="s">
        <v>367</v>
      </c>
      <c r="B203" s="276" t="s">
        <v>132</v>
      </c>
      <c r="C203" s="277" t="n">
        <f aca="false">IF(Термо!B16='Наружная отделка'!D20,1,0)</f>
        <v>0</v>
      </c>
      <c r="D203" s="277" t="n">
        <f aca="false">IF(F202="Стандарт",Управление!B99,Управление!B100)</f>
        <v>16200</v>
      </c>
      <c r="E203" s="258" t="n">
        <f aca="false">D203*C203</f>
        <v>0</v>
      </c>
      <c r="F203" s="379"/>
      <c r="G203" s="387"/>
    </row>
    <row r="204" customFormat="false" ht="17.35" hidden="false" customHeight="false" outlineLevel="0" collapsed="false">
      <c r="A204" s="464" t="s">
        <v>368</v>
      </c>
      <c r="B204" s="276" t="s">
        <v>132</v>
      </c>
      <c r="C204" s="277" t="n">
        <f aca="false">IF(Термо!B16='Наружная отделка'!E20,1,0)</f>
        <v>0</v>
      </c>
      <c r="D204" s="277" t="n">
        <f aca="false">IF(F202="Стандарт",Управление!B103,Управление!B104)</f>
        <v>17100</v>
      </c>
      <c r="E204" s="258" t="n">
        <f aca="false">D204*C204</f>
        <v>0</v>
      </c>
      <c r="F204" s="379"/>
      <c r="G204" s="387"/>
    </row>
    <row r="205" customFormat="false" ht="17.35" hidden="false" customHeight="false" outlineLevel="0" collapsed="false">
      <c r="A205" s="464" t="s">
        <v>369</v>
      </c>
      <c r="B205" s="276" t="s">
        <v>132</v>
      </c>
      <c r="C205" s="277" t="n">
        <f aca="false">IF(Термо!B16='Наружная отделка'!F20,1,0)</f>
        <v>0</v>
      </c>
      <c r="D205" s="277" t="n">
        <f aca="false">IF(F202="Стандарт",Управление!B123,Управление!B124)</f>
        <v>18400</v>
      </c>
      <c r="E205" s="258" t="n">
        <f aca="false">D205*C205</f>
        <v>0</v>
      </c>
      <c r="F205" s="379"/>
      <c r="G205" s="387"/>
    </row>
    <row r="206" customFormat="false" ht="17.35" hidden="false" customHeight="false" outlineLevel="0" collapsed="false">
      <c r="A206" s="464" t="s">
        <v>370</v>
      </c>
      <c r="B206" s="276" t="s">
        <v>132</v>
      </c>
      <c r="C206" s="277" t="n">
        <f aca="false">IF(Термо!B16='Наружная отделка'!G20,1,0)</f>
        <v>0</v>
      </c>
      <c r="D206" s="277" t="n">
        <f aca="false">IF(F202="Стандарт",Управление!B129,Управление!B130)</f>
        <v>18700</v>
      </c>
      <c r="E206" s="258" t="n">
        <f aca="false">D206*C206</f>
        <v>0</v>
      </c>
      <c r="F206" s="379"/>
      <c r="G206" s="387"/>
    </row>
    <row r="207" customFormat="false" ht="17.35" hidden="false" customHeight="false" outlineLevel="0" collapsed="false">
      <c r="A207" s="464" t="s">
        <v>371</v>
      </c>
      <c r="B207" s="276" t="s">
        <v>132</v>
      </c>
      <c r="C207" s="277" t="n">
        <f aca="false">IF(Термо!B16='Наружная отделка'!B29,1,0)</f>
        <v>0</v>
      </c>
      <c r="D207" s="277" t="n">
        <f aca="false">IF(F202="Стандарт",Управление!B113,Управление!B114)</f>
        <v>18900</v>
      </c>
      <c r="E207" s="258" t="n">
        <f aca="false">D207*C207</f>
        <v>0</v>
      </c>
      <c r="F207" s="379"/>
      <c r="G207" s="387"/>
    </row>
    <row r="208" customFormat="false" ht="17.35" hidden="false" customHeight="false" outlineLevel="0" collapsed="false">
      <c r="A208" s="464" t="s">
        <v>372</v>
      </c>
      <c r="B208" s="276" t="s">
        <v>132</v>
      </c>
      <c r="C208" s="277" t="n">
        <f aca="false">IF(Термо!B16='Наружная отделка'!C29,1,0)</f>
        <v>0</v>
      </c>
      <c r="D208" s="277" t="n">
        <f aca="false">IF(F203="Стандарт",Управление!B109,Управление!B110)</f>
        <v>16500</v>
      </c>
      <c r="E208" s="258" t="n">
        <f aca="false">D208*C208</f>
        <v>0</v>
      </c>
      <c r="F208" s="379"/>
      <c r="G208" s="387"/>
    </row>
    <row r="209" customFormat="false" ht="17.35" hidden="false" customHeight="false" outlineLevel="0" collapsed="false">
      <c r="A209" s="464" t="s">
        <v>373</v>
      </c>
      <c r="B209" s="276" t="s">
        <v>132</v>
      </c>
      <c r="C209" s="277" t="n">
        <f aca="false">IF(Термо!B16='Наружная отделка'!F29,1,0)</f>
        <v>0</v>
      </c>
      <c r="D209" s="277" t="n">
        <f aca="false">IF(F204="Стандарт",Управление!B115,Управление!B116)</f>
        <v>18800</v>
      </c>
      <c r="E209" s="258" t="n">
        <f aca="false">D209*C209</f>
        <v>0</v>
      </c>
      <c r="F209" s="379"/>
      <c r="G209" s="387"/>
    </row>
    <row r="210" customFormat="false" ht="17.35" hidden="false" customHeight="false" outlineLevel="0" collapsed="false">
      <c r="A210" s="464" t="s">
        <v>374</v>
      </c>
      <c r="B210" s="276" t="s">
        <v>132</v>
      </c>
      <c r="C210" s="277" t="n">
        <f aca="false">IF(Термо!B16='Наружная отделка'!G29,1,0)</f>
        <v>0</v>
      </c>
      <c r="D210" s="277" t="n">
        <f aca="false">IF(F205="Стандарт",Управление!B127,Управление!B128)</f>
        <v>19700</v>
      </c>
      <c r="E210" s="258" t="n">
        <f aca="false">D210*C210</f>
        <v>0</v>
      </c>
      <c r="F210" s="379"/>
      <c r="G210" s="387"/>
    </row>
    <row r="211" customFormat="false" ht="17.35" hidden="false" customHeight="false" outlineLevel="0" collapsed="false">
      <c r="A211" s="464" t="s">
        <v>375</v>
      </c>
      <c r="B211" s="276" t="s">
        <v>132</v>
      </c>
      <c r="C211" s="277" t="n">
        <f aca="false">IF(Термо!B16='Наружная отделка'!H29,1,0)</f>
        <v>0</v>
      </c>
      <c r="D211" s="277" t="n">
        <f aca="false">IF(F206="Стандарт",Управление!B119,Управление!B120)</f>
        <v>19300</v>
      </c>
      <c r="E211" s="258" t="n">
        <f aca="false">D211*C211</f>
        <v>0</v>
      </c>
      <c r="F211" s="379"/>
      <c r="G211" s="387"/>
    </row>
    <row r="212" customFormat="false" ht="17.35" hidden="false" customHeight="false" outlineLevel="0" collapsed="false">
      <c r="A212" s="464" t="s">
        <v>376</v>
      </c>
      <c r="B212" s="276" t="s">
        <v>132</v>
      </c>
      <c r="C212" s="277" t="n">
        <f aca="false">IF(Термо!B16='Наружная отделка'!D29,1,0)</f>
        <v>0</v>
      </c>
      <c r="D212" s="277" t="n">
        <f aca="false">IF(F202="Стандарт",Управление!B111,Управление!B112)</f>
        <v>17900</v>
      </c>
      <c r="E212" s="258" t="n">
        <f aca="false">D212*C212</f>
        <v>0</v>
      </c>
      <c r="F212" s="379"/>
      <c r="G212" s="387"/>
    </row>
    <row r="213" customFormat="false" ht="17.35" hidden="false" customHeight="false" outlineLevel="0" collapsed="false">
      <c r="A213" s="464" t="s">
        <v>377</v>
      </c>
      <c r="B213" s="276" t="s">
        <v>132</v>
      </c>
      <c r="C213" s="277" t="n">
        <f aca="false">IF(Термо!B16='Наружная отделка'!E29,1,0)</f>
        <v>0</v>
      </c>
      <c r="D213" s="277" t="n">
        <f aca="false">IF(F203="Стандарт",Управление!B107,Управление!B108)</f>
        <v>15500</v>
      </c>
      <c r="E213" s="258" t="n">
        <f aca="false">D213*C213</f>
        <v>0</v>
      </c>
      <c r="F213" s="379"/>
      <c r="G213" s="387"/>
    </row>
    <row r="214" customFormat="false" ht="17.35" hidden="false" customHeight="false" outlineLevel="0" collapsed="false">
      <c r="A214" s="469" t="s">
        <v>378</v>
      </c>
      <c r="B214" s="276" t="s">
        <v>132</v>
      </c>
      <c r="C214" s="470" t="n">
        <f aca="false">IF(Термо!B16='Наружная отделка'!H20,1,0)</f>
        <v>0</v>
      </c>
      <c r="D214" s="277" t="n">
        <f aca="false">IF(F204="Стандарт",Управление!B121,Управление!B122)</f>
        <v>18300</v>
      </c>
      <c r="E214" s="258" t="n">
        <f aca="false">D214*C214</f>
        <v>0</v>
      </c>
      <c r="F214" s="379"/>
      <c r="G214" s="387"/>
    </row>
    <row r="215" customFormat="false" ht="17.35" hidden="false" customHeight="false" outlineLevel="0" collapsed="false">
      <c r="A215" s="469" t="s">
        <v>379</v>
      </c>
      <c r="B215" s="276" t="s">
        <v>132</v>
      </c>
      <c r="C215" s="470" t="n">
        <f aca="false">IF(Термо!B16='Наружная отделка'!I20,1,0)</f>
        <v>0</v>
      </c>
      <c r="D215" s="277" t="n">
        <f aca="false">IF(F205="Стандарт",Управление!B117,Управление!B118)</f>
        <v>17800</v>
      </c>
      <c r="E215" s="258" t="n">
        <f aca="false">D215*C215</f>
        <v>0</v>
      </c>
      <c r="F215" s="379"/>
      <c r="G215" s="387"/>
    </row>
    <row r="216" customFormat="false" ht="17.35" hidden="false" customHeight="false" outlineLevel="0" collapsed="false">
      <c r="A216" s="469" t="s">
        <v>380</v>
      </c>
      <c r="B216" s="276" t="s">
        <v>132</v>
      </c>
      <c r="C216" s="470" t="n">
        <f aca="false">IF(Термо!B16='Наружная отделка'!J20,1,0)</f>
        <v>0</v>
      </c>
      <c r="D216" s="277" t="n">
        <f aca="false">IF(F206="Стандарт",Управление!B125,Управление!B126)</f>
        <v>17400</v>
      </c>
      <c r="E216" s="258" t="n">
        <f aca="false">D216*C216</f>
        <v>0</v>
      </c>
      <c r="F216" s="379"/>
      <c r="G216" s="387"/>
    </row>
    <row r="217" customFormat="false" ht="17.35" hidden="false" customHeight="false" outlineLevel="0" collapsed="false">
      <c r="A217" s="469"/>
      <c r="B217" s="471"/>
      <c r="C217" s="470"/>
      <c r="D217" s="470"/>
      <c r="E217" s="306"/>
      <c r="F217" s="379"/>
      <c r="G217" s="387"/>
    </row>
    <row r="218" customFormat="false" ht="17.35" hidden="false" customHeight="false" outlineLevel="0" collapsed="false">
      <c r="A218" s="472"/>
      <c r="B218" s="279"/>
      <c r="C218" s="263"/>
      <c r="D218" s="263"/>
      <c r="E218" s="264"/>
      <c r="F218" s="379"/>
      <c r="G218" s="387"/>
    </row>
    <row r="219" customFormat="false" ht="18.55" hidden="false" customHeight="false" outlineLevel="0" collapsed="false">
      <c r="A219" s="473" t="s">
        <v>381</v>
      </c>
      <c r="B219" s="473"/>
      <c r="C219" s="473"/>
      <c r="D219" s="473"/>
      <c r="E219" s="473"/>
      <c r="F219" s="379"/>
      <c r="G219" s="387"/>
    </row>
    <row r="220" customFormat="false" ht="17.35" hidden="false" customHeight="false" outlineLevel="0" collapsed="false">
      <c r="A220" s="474" t="s">
        <v>382</v>
      </c>
      <c r="B220" s="475"/>
      <c r="C220" s="73" t="n">
        <f aca="false">IF(Термо!B16="Nova",2.42,0)</f>
        <v>0</v>
      </c>
      <c r="D220" s="476" t="n">
        <f aca="false">Управление!G3</f>
        <v>84</v>
      </c>
      <c r="E220" s="477" t="n">
        <f aca="false">C220*D220</f>
        <v>0</v>
      </c>
      <c r="F220" s="379"/>
      <c r="G220" s="387"/>
    </row>
    <row r="221" customFormat="false" ht="17.35" hidden="false" customHeight="false" outlineLevel="0" collapsed="false">
      <c r="A221" s="404" t="s">
        <v>262</v>
      </c>
      <c r="B221" s="475"/>
      <c r="C221" s="73" t="n">
        <f aca="false">IF(Термо!B16="Nova",22,0)</f>
        <v>0</v>
      </c>
      <c r="D221" s="73" t="n">
        <f aca="false">Управление!B83</f>
        <v>0.59</v>
      </c>
      <c r="E221" s="477" t="n">
        <f aca="false">C221*D221</f>
        <v>0</v>
      </c>
      <c r="F221" s="379"/>
      <c r="G221" s="387"/>
    </row>
    <row r="222" customFormat="false" ht="17.35" hidden="false" customHeight="false" outlineLevel="0" collapsed="false">
      <c r="A222" s="404" t="s">
        <v>263</v>
      </c>
      <c r="B222" s="475"/>
      <c r="C222" s="73" t="n">
        <f aca="false">IF(Термо!B16="Nova",22,0)</f>
        <v>0</v>
      </c>
      <c r="D222" s="73" t="n">
        <f aca="false">Управление!B84</f>
        <v>1.61</v>
      </c>
      <c r="E222" s="477" t="n">
        <f aca="false">C222*D222</f>
        <v>0</v>
      </c>
      <c r="F222" s="379"/>
      <c r="G222" s="387"/>
    </row>
    <row r="223" customFormat="false" ht="17.35" hidden="false" customHeight="false" outlineLevel="0" collapsed="false">
      <c r="A223" s="474" t="s">
        <v>383</v>
      </c>
      <c r="B223" s="475"/>
      <c r="C223" s="277" t="n">
        <f aca="false">IF(Термо!B16="Nova",16,0)</f>
        <v>0</v>
      </c>
      <c r="D223" s="277" t="n">
        <f aca="false">Управление!B131</f>
        <v>0.25</v>
      </c>
      <c r="E223" s="477" t="n">
        <f aca="false">C223*D223</f>
        <v>0</v>
      </c>
      <c r="F223" s="379"/>
      <c r="G223" s="387"/>
    </row>
    <row r="224" customFormat="false" ht="17.35" hidden="false" customHeight="false" outlineLevel="0" collapsed="false">
      <c r="A224" s="285" t="s">
        <v>266</v>
      </c>
      <c r="B224" s="220"/>
      <c r="C224" s="221"/>
      <c r="D224" s="220"/>
      <c r="E224" s="222"/>
      <c r="F224" s="379" t="str">
        <f aca="false">IF(Термо!B10&gt;2101,"Нестандарт","Стандарт")</f>
        <v>Стандарт</v>
      </c>
      <c r="G224" s="387"/>
    </row>
    <row r="225" customFormat="false" ht="17.35" hidden="false" customHeight="false" outlineLevel="0" collapsed="false">
      <c r="A225" s="287" t="s">
        <v>267</v>
      </c>
      <c r="B225" s="103" t="s">
        <v>82</v>
      </c>
      <c r="C225" s="113" t="n">
        <v>1</v>
      </c>
      <c r="D225" s="103" t="n">
        <f aca="false">ifs(Термо!B16='Наружная отделка'!B16,Управление!J173,Термо!B16='Наружная отделка'!C16,Управление!J176,Термо!B16='Наружная отделка'!D16,Управление!J177,Термо!B16='Наружная отделка'!E16,Управление!J181,Термо!B16='Наружная отделка'!F16,Управление!J178,Термо!B16='Наружная отделка'!G16,Управление!J182,Термо!B16='Наружная отделка'!H16,Управление!J182,OR(Термо!B16='Наружная отделка'!B20,Термо!B16='Наружная отделка'!C20,Термо!B16='Наружная отделка'!B29,Термо!B16='Наружная отделка'!C29),Управление!J175,OR(Термо!B16='Наружная отделка'!D20,Термо!B16='Наружная отделка'!E20,Термо!B16='Наружная отделка'!D29,Термо!B16='Наружная отделка'!E29),Управление!J174,OR(Термо!B16='Наружная отделка'!F20,Термо!B16='Наружная отделка'!F29,Термо!B16='Наружная отделка'!G29,Термо!B16='Наружная отделка'!H29),Управление!J179,OR(Термо!B16='Наружная отделка'!G20,Термо!B16='Наружная отделка'!H20,Термо!B16='Наружная отделка'!I20,Термо!B16='Наружная отделка'!J20),Управление!J180)</f>
        <v>6825</v>
      </c>
      <c r="E225" s="217" t="n">
        <f aca="false">D225*C225</f>
        <v>6825</v>
      </c>
      <c r="F225" s="379" t="str">
        <f aca="false">IF(Термо!B11&gt;1001,"Нестандарт","Стандарт")</f>
        <v>Нестандарт</v>
      </c>
      <c r="G225" s="387"/>
    </row>
    <row r="226" customFormat="false" ht="17.35" hidden="false" customHeight="false" outlineLevel="0" collapsed="false">
      <c r="A226" s="287" t="s">
        <v>268</v>
      </c>
      <c r="B226" s="103" t="s">
        <v>82</v>
      </c>
      <c r="C226" s="113" t="n">
        <f aca="false">IF(Термо!A22="Цинкогрунтование",1,0)</f>
        <v>1</v>
      </c>
      <c r="D226" s="103" t="n">
        <f aca="false">SUM(Управление!J185+Управление!J157)</f>
        <v>730</v>
      </c>
      <c r="E226" s="217" t="n">
        <f aca="false">D226*C226</f>
        <v>730</v>
      </c>
      <c r="F226" s="444" t="str">
        <f aca="false">IF(AND(F224="Стандарт",F225="Стандарт"),"Стандарт","Нестандарт")</f>
        <v>Нестандарт</v>
      </c>
      <c r="G226" s="387"/>
    </row>
    <row r="227" customFormat="false" ht="17.35" hidden="false" customHeight="false" outlineLevel="0" collapsed="false">
      <c r="A227" s="288" t="s">
        <v>269</v>
      </c>
      <c r="B227" s="289" t="s">
        <v>82</v>
      </c>
      <c r="C227" s="290" t="n">
        <f aca="false">IF(Термо!B50="Нет",0,1)</f>
        <v>1</v>
      </c>
      <c r="D227" s="289" t="n">
        <f aca="false">SUM(Управление!J154+Управление!J184)</f>
        <v>639</v>
      </c>
      <c r="E227" s="291" t="n">
        <f aca="false">D227*C227</f>
        <v>639</v>
      </c>
      <c r="F227" s="379"/>
      <c r="G227" s="387"/>
    </row>
    <row r="228" customFormat="false" ht="17.35" hidden="false" customHeight="false" outlineLevel="0" collapsed="false">
      <c r="A228" s="287" t="s">
        <v>384</v>
      </c>
      <c r="B228" s="103" t="s">
        <v>82</v>
      </c>
      <c r="C228" s="113" t="n">
        <f aca="false">IF(Термо!B16='Наружная отделка'!G16,1,0)</f>
        <v>0</v>
      </c>
      <c r="D228" s="103" t="n">
        <f aca="false">SUM(Управление!J152)</f>
        <v>400</v>
      </c>
      <c r="E228" s="291" t="n">
        <f aca="false">D228*C228</f>
        <v>0</v>
      </c>
      <c r="F228" s="379"/>
      <c r="G228" s="387"/>
    </row>
    <row r="229" customFormat="false" ht="17.35" hidden="false" customHeight="false" outlineLevel="0" collapsed="false">
      <c r="A229" s="287" t="s">
        <v>385</v>
      </c>
      <c r="B229" s="103" t="s">
        <v>82</v>
      </c>
      <c r="C229" s="113" t="n">
        <f aca="false">IF(Термо!B52="Да",1,0)</f>
        <v>1</v>
      </c>
      <c r="D229" s="103" t="n">
        <f aca="false">SUM(Управление!J186+Управление!J156)</f>
        <v>730</v>
      </c>
      <c r="E229" s="291" t="n">
        <f aca="false">D229*C229</f>
        <v>730</v>
      </c>
      <c r="F229" s="379"/>
      <c r="G229" s="387"/>
    </row>
    <row r="230" customFormat="false" ht="17.35" hidden="false" customHeight="false" outlineLevel="0" collapsed="false">
      <c r="A230" s="287"/>
      <c r="B230" s="103"/>
      <c r="C230" s="113"/>
      <c r="D230" s="103" t="s">
        <v>270</v>
      </c>
      <c r="E230" s="217" t="n">
        <f aca="false">SUM(E225:E229)</f>
        <v>8924</v>
      </c>
      <c r="F230" s="379"/>
      <c r="G230" s="387"/>
    </row>
    <row r="231" customFormat="false" ht="17.35" hidden="false" customHeight="false" outlineLevel="0" collapsed="false">
      <c r="A231" s="292"/>
      <c r="B231" s="293"/>
      <c r="C231" s="294"/>
      <c r="D231" s="293" t="s">
        <v>271</v>
      </c>
      <c r="E231" s="295" t="n">
        <f aca="false">IF(F226="Нестандарт",E230+(E230/100*5),E230)</f>
        <v>9370.2</v>
      </c>
      <c r="F231" s="379"/>
      <c r="G231" s="387"/>
    </row>
    <row r="232" customFormat="false" ht="19.7" hidden="false" customHeight="false" outlineLevel="0" collapsed="false">
      <c r="A232" s="478" t="s">
        <v>386</v>
      </c>
      <c r="B232" s="478"/>
      <c r="C232" s="478"/>
      <c r="D232" s="478"/>
      <c r="E232" s="478"/>
      <c r="F232" s="379"/>
      <c r="G232" s="387"/>
    </row>
    <row r="233" customFormat="false" ht="17.35" hidden="false" customHeight="false" outlineLevel="0" collapsed="false">
      <c r="A233" s="479" t="s">
        <v>387</v>
      </c>
      <c r="B233" s="479"/>
      <c r="C233" s="479"/>
      <c r="D233" s="479"/>
      <c r="E233" s="479"/>
      <c r="F233" s="379"/>
      <c r="G233" s="387"/>
    </row>
    <row r="234" customFormat="false" ht="17.35" hidden="false" customHeight="false" outlineLevel="0" collapsed="false">
      <c r="A234" s="480" t="s">
        <v>388</v>
      </c>
      <c r="B234" s="330" t="s">
        <v>132</v>
      </c>
      <c r="C234" s="73" t="n">
        <f aca="false">ifs(AND(Термо!B10&lt;2130,Термо!B11&lt;=1030),64.7625,AND(Термо!B10&gt;=2130,Термо!B10&lt;2300,Термо!B11&lt;=1030),69.9435,Термо!B10&gt;=2300,74.77125,AND(Термо!B10&lt;2130,Термо!B11&lt;1030),69.9435)</f>
        <v>64.7625</v>
      </c>
      <c r="D234" s="476" t="n">
        <f aca="false">IF(Термо!B16="Optima",Управление!G3,0)</f>
        <v>0</v>
      </c>
      <c r="E234" s="481" t="n">
        <f aca="false">D234*C234</f>
        <v>0</v>
      </c>
      <c r="F234" s="379"/>
      <c r="G234" s="387"/>
      <c r="H234" s="409" t="s">
        <v>389</v>
      </c>
      <c r="I234" s="409" t="s">
        <v>17</v>
      </c>
      <c r="J234" s="409" t="s">
        <v>390</v>
      </c>
      <c r="K234" s="409" t="s">
        <v>305</v>
      </c>
      <c r="L234" s="409" t="s">
        <v>391</v>
      </c>
      <c r="M234" s="409" t="s">
        <v>392</v>
      </c>
      <c r="N234" s="409" t="s">
        <v>393</v>
      </c>
      <c r="O234" s="411" t="s">
        <v>394</v>
      </c>
    </row>
    <row r="235" customFormat="false" ht="17.35" hidden="false" customHeight="false" outlineLevel="0" collapsed="false">
      <c r="A235" s="292" t="s">
        <v>395</v>
      </c>
      <c r="B235" s="293" t="s">
        <v>132</v>
      </c>
      <c r="C235" s="294" t="n">
        <f aca="false">IF(Термо!B10&gt;=2120,6.91,4.8)</f>
        <v>4.8</v>
      </c>
      <c r="D235" s="294" t="n">
        <f aca="false">IF(Термо!B16="Optima",Управление!G3,0)</f>
        <v>0</v>
      </c>
      <c r="E235" s="295" t="n">
        <f aca="false">D235*C235</f>
        <v>0</v>
      </c>
      <c r="F235" s="379"/>
      <c r="G235" s="387"/>
      <c r="H235" s="409" t="n">
        <v>1</v>
      </c>
      <c r="I235" s="409" t="n">
        <v>2.75</v>
      </c>
      <c r="J235" s="409" t="n">
        <v>7.85</v>
      </c>
      <c r="K235" s="409" t="n">
        <f aca="false">J235*I235</f>
        <v>21.5875</v>
      </c>
      <c r="L235" s="409" t="n">
        <v>0.8</v>
      </c>
      <c r="M235" s="409" t="n">
        <f aca="false">L235*K235</f>
        <v>17.27</v>
      </c>
      <c r="N235" s="409" t="n">
        <v>87.55</v>
      </c>
      <c r="O235" s="413" t="n">
        <f aca="false">ROUNDUP(N235*M235,0)</f>
        <v>1512</v>
      </c>
    </row>
    <row r="236" customFormat="false" ht="17.35" hidden="false" customHeight="false" outlineLevel="0" collapsed="false">
      <c r="A236" s="479" t="s">
        <v>396</v>
      </c>
      <c r="B236" s="479"/>
      <c r="C236" s="479"/>
      <c r="D236" s="479"/>
      <c r="E236" s="479"/>
      <c r="F236" s="379"/>
      <c r="G236" s="387"/>
      <c r="H236" s="394" t="n">
        <v>1.2</v>
      </c>
      <c r="I236" s="394" t="n">
        <v>2.75</v>
      </c>
      <c r="J236" s="394" t="n">
        <v>9.42</v>
      </c>
      <c r="K236" s="394" t="n">
        <f aca="false">J236*I236</f>
        <v>25.905</v>
      </c>
      <c r="L236" s="393" t="n">
        <v>2</v>
      </c>
      <c r="M236" s="394" t="n">
        <f aca="false">L236*K236</f>
        <v>51.81</v>
      </c>
      <c r="N236" s="394" t="n">
        <v>87.55</v>
      </c>
      <c r="O236" s="395" t="n">
        <f aca="false">ROUNDUP(N236*M236,0)</f>
        <v>4536</v>
      </c>
    </row>
    <row r="237" customFormat="false" ht="17.35" hidden="false" customHeight="false" outlineLevel="0" collapsed="false">
      <c r="A237" s="480" t="s">
        <v>388</v>
      </c>
      <c r="B237" s="103" t="s">
        <v>132</v>
      </c>
      <c r="C237" s="113" t="n">
        <f aca="false">ifs(AND(Термо!B10&lt;2130,Термо!B11&lt;=1030),51.81,AND(Термо!B10&gt;=2130,Термо!B10&lt;2300,Термо!B11&lt;=1030),51.81,Термо!B10&gt;=2300,59.817)</f>
        <v>51.81</v>
      </c>
      <c r="D237" s="113" t="n">
        <f aca="false">IF(OR(Термо!B16='Наружная отделка'!D20,Термо!B16='Наружная отделка'!E20,Термо!B16='Наружная отделка'!G20,Термо!B16='Наружная отделка'!H20,Термо!B16='Наружная отделка'!I20,Термо!B16='Наружная отделка'!J20,Термо!B16='Наружная отделка'!D29,Термо!B16='Наружная отделка'!E29),Управление!G3,0)</f>
        <v>0</v>
      </c>
      <c r="E237" s="217" t="n">
        <f aca="false">D237*C237</f>
        <v>0</v>
      </c>
      <c r="F237" s="379"/>
      <c r="G237" s="387"/>
      <c r="H237" s="394" t="n">
        <v>1.4</v>
      </c>
      <c r="I237" s="394" t="n">
        <v>3.125</v>
      </c>
      <c r="J237" s="394" t="n">
        <v>10.99</v>
      </c>
      <c r="K237" s="394" t="n">
        <f aca="false">J237*I237</f>
        <v>34.34375</v>
      </c>
      <c r="L237" s="393" t="n">
        <v>2</v>
      </c>
      <c r="M237" s="394" t="n">
        <f aca="false">L237*K237</f>
        <v>68.6875</v>
      </c>
      <c r="N237" s="394" t="n">
        <v>85.6</v>
      </c>
      <c r="O237" s="395" t="n">
        <f aca="false">ROUNDUP(N237*M237,0)</f>
        <v>5880</v>
      </c>
    </row>
    <row r="238" customFormat="false" ht="17.35" hidden="false" customHeight="false" outlineLevel="0" collapsed="false">
      <c r="A238" s="480" t="s">
        <v>397</v>
      </c>
      <c r="B238" s="103" t="s">
        <v>132</v>
      </c>
      <c r="C238" s="113" t="n">
        <f aca="false">ifs(AND(Термо!B10&lt;2130,Термо!B11&lt;=1030),24.178,AND(Термо!B10&gt;=2130,Термо!B10&lt;2300,Термо!B11&lt;=1030),24.178,Термо!B10&gt;=2300,24.407)</f>
        <v>24.178</v>
      </c>
      <c r="D238" s="113" t="n">
        <f aca="false">IF(OR(Термо!B16='Наружная отделка'!D20,Термо!B16='Наружная отделка'!E20,Термо!B16='Наружная отделка'!G20,Термо!B16='Наружная отделка'!H20,Термо!B16='Наружная отделка'!I20,Термо!B16='Наружная отделка'!J20,Термо!B16='Наружная отделка'!D29,Термо!B16='Наружная отделка'!E29),Управление!G3,0)</f>
        <v>0</v>
      </c>
      <c r="E238" s="217" t="n">
        <f aca="false">D238*C238</f>
        <v>0</v>
      </c>
      <c r="F238" s="379"/>
      <c r="G238" s="387"/>
      <c r="H238" s="412" t="n">
        <v>0.6</v>
      </c>
      <c r="I238" s="412" t="n">
        <v>2</v>
      </c>
      <c r="J238" s="412" t="n">
        <v>4.8</v>
      </c>
      <c r="K238" s="412" t="n">
        <v>9.6</v>
      </c>
      <c r="L238" s="412" t="n">
        <v>0.5</v>
      </c>
      <c r="M238" s="412" t="n">
        <f aca="false">L238*K238</f>
        <v>4.8</v>
      </c>
      <c r="N238" s="412" t="n">
        <v>87.55</v>
      </c>
      <c r="O238" s="416" t="n">
        <f aca="false">ROUNDUP(N238*M238,0)</f>
        <v>421</v>
      </c>
    </row>
    <row r="239" customFormat="false" ht="17.35" hidden="false" customHeight="false" outlineLevel="0" collapsed="false">
      <c r="A239" s="292" t="s">
        <v>395</v>
      </c>
      <c r="B239" s="293" t="s">
        <v>132</v>
      </c>
      <c r="C239" s="294" t="n">
        <f aca="false">IF(Термо!B10&gt;=2120,6.91,4.8)</f>
        <v>4.8</v>
      </c>
      <c r="D239" s="294" t="n">
        <f aca="false">IF(OR(Термо!B16='Наружная отделка'!D20,Термо!B16='Наружная отделка'!E20,Термо!B16='Наружная отделка'!G20,Термо!B16='Наружная отделка'!H20,Термо!B16='Наружная отделка'!I20,Термо!B16='Наружная отделка'!J20,Термо!B16='Наружная отделка'!D29,Термо!B16='Наружная отделка'!E29),Управление!G3,0)</f>
        <v>0</v>
      </c>
      <c r="E239" s="295" t="n">
        <f aca="false">D239*C239</f>
        <v>0</v>
      </c>
      <c r="F239" s="379"/>
      <c r="G239" s="387"/>
      <c r="H239" s="394" t="n">
        <v>0.8</v>
      </c>
      <c r="I239" s="394" t="n">
        <v>2.75</v>
      </c>
      <c r="J239" s="394" t="n">
        <v>6.28</v>
      </c>
      <c r="K239" s="394" t="n">
        <f aca="false">J239*I239</f>
        <v>17.27</v>
      </c>
      <c r="L239" s="394" t="n">
        <v>0.8</v>
      </c>
      <c r="M239" s="394" t="n">
        <f aca="false">L239*K239</f>
        <v>13.816</v>
      </c>
      <c r="N239" s="394" t="n">
        <v>87.55</v>
      </c>
      <c r="O239" s="395" t="n">
        <f aca="false">ROUNDUP(N239*M239,0)</f>
        <v>1210</v>
      </c>
    </row>
    <row r="240" customFormat="false" ht="17.35" hidden="false" customHeight="false" outlineLevel="0" collapsed="false">
      <c r="A240" s="479" t="s">
        <v>398</v>
      </c>
      <c r="B240" s="479"/>
      <c r="C240" s="479"/>
      <c r="D240" s="479"/>
      <c r="E240" s="479"/>
      <c r="F240" s="379"/>
      <c r="G240" s="387"/>
    </row>
    <row r="241" customFormat="false" ht="17.35" hidden="false" customHeight="false" outlineLevel="0" collapsed="false">
      <c r="A241" s="480" t="s">
        <v>388</v>
      </c>
      <c r="B241" s="103" t="s">
        <v>132</v>
      </c>
      <c r="C241" s="113" t="n">
        <f aca="false">ifs(AND(Термо!B10&lt;2130,Термо!B11&lt;=1030),25.905,AND(Термо!B10&gt;=2130,Термо!B10&lt;2300,Термо!B11&lt;=1030),25.905,Термо!B10&gt;=2300,29.4375)</f>
        <v>25.905</v>
      </c>
      <c r="D241" s="113" t="n">
        <f aca="false">IF(Термо!B16="Credo",Управление!G3,0)</f>
        <v>0</v>
      </c>
      <c r="E241" s="217" t="n">
        <f aca="false">C241*D241</f>
        <v>0</v>
      </c>
      <c r="F241" s="379"/>
      <c r="G241" s="387"/>
    </row>
    <row r="242" customFormat="false" ht="17.35" hidden="false" customHeight="false" outlineLevel="0" collapsed="false">
      <c r="A242" s="480" t="s">
        <v>397</v>
      </c>
      <c r="B242" s="103" t="s">
        <v>132</v>
      </c>
      <c r="C242" s="113" t="n">
        <f aca="false">ifs(AND(Термо!B10&lt;2130,Термо!B11&lt;=1030),69.51175,AND(Термо!B10&gt;=2130,Термо!B10&lt;2300,Термо!B11&lt;=1030),75.55625,Термо!B10&gt;=2300,82.425)</f>
        <v>69.51175</v>
      </c>
      <c r="D242" s="113" t="n">
        <f aca="false">IF(Термо!B16="Credo",Управление!G3,0)</f>
        <v>0</v>
      </c>
      <c r="E242" s="217" t="n">
        <f aca="false">C242*D242</f>
        <v>0</v>
      </c>
      <c r="F242" s="379"/>
      <c r="G242" s="387"/>
      <c r="H242" s="394"/>
      <c r="I242" s="394"/>
      <c r="J242" s="394"/>
      <c r="K242" s="394"/>
      <c r="L242" s="393"/>
      <c r="M242" s="394"/>
      <c r="N242" s="394"/>
      <c r="O242" s="395"/>
    </row>
    <row r="243" customFormat="false" ht="17.35" hidden="false" customHeight="false" outlineLevel="0" collapsed="false">
      <c r="A243" s="482" t="s">
        <v>399</v>
      </c>
      <c r="B243" s="293" t="s">
        <v>132</v>
      </c>
      <c r="C243" s="294" t="n">
        <f aca="false">ifs(AND(Термо!B10&lt;2130,Термо!B11&lt;=1030),6.47625,AND(Термо!B10&gt;=2130,Термо!B10&lt;2300,Термо!B11&lt;=1030),6.47625,Термо!B10&gt;=2300,7.359375)</f>
        <v>6.47625</v>
      </c>
      <c r="D243" s="294" t="n">
        <f aca="false">IF(Термо!B16="Credo",Управление!G3,0)</f>
        <v>0</v>
      </c>
      <c r="E243" s="295" t="n">
        <f aca="false">C243*D243</f>
        <v>0</v>
      </c>
      <c r="F243" s="379"/>
      <c r="G243" s="387"/>
      <c r="H243" s="394"/>
      <c r="I243" s="394"/>
      <c r="J243" s="394"/>
      <c r="K243" s="394"/>
      <c r="L243" s="393"/>
      <c r="M243" s="394"/>
      <c r="N243" s="394"/>
      <c r="O243" s="395"/>
    </row>
    <row r="244" customFormat="false" ht="17.35" hidden="false" customHeight="false" outlineLevel="0" collapsed="false">
      <c r="A244" s="479" t="s">
        <v>400</v>
      </c>
      <c r="B244" s="479"/>
      <c r="C244" s="479"/>
      <c r="D244" s="479"/>
      <c r="E244" s="479"/>
      <c r="F244" s="379"/>
      <c r="G244" s="387"/>
      <c r="H244" s="394"/>
      <c r="I244" s="394"/>
      <c r="J244" s="394"/>
      <c r="K244" s="394"/>
      <c r="L244" s="393"/>
      <c r="M244" s="394"/>
      <c r="N244" s="394"/>
      <c r="O244" s="395"/>
    </row>
    <row r="245" customFormat="false" ht="17.35" hidden="false" customHeight="false" outlineLevel="0" collapsed="false">
      <c r="A245" s="403" t="s">
        <v>308</v>
      </c>
      <c r="B245" s="103" t="s">
        <v>132</v>
      </c>
      <c r="C245" s="483" t="n">
        <v>25.905</v>
      </c>
      <c r="D245" s="476" t="n">
        <f aca="false">IF(Термо!B16="Credo SP",Управление!G3,0)</f>
        <v>84</v>
      </c>
      <c r="E245" s="477" t="n">
        <f aca="false">D245*C245</f>
        <v>2176.02</v>
      </c>
      <c r="F245" s="379"/>
      <c r="G245" s="387"/>
      <c r="H245" s="394"/>
      <c r="I245" s="394"/>
      <c r="J245" s="394"/>
      <c r="K245" s="394"/>
      <c r="L245" s="393"/>
      <c r="M245" s="394"/>
      <c r="N245" s="394"/>
      <c r="O245" s="395"/>
    </row>
    <row r="246" customFormat="false" ht="17.35" hidden="false" customHeight="false" outlineLevel="0" collapsed="false">
      <c r="A246" s="403" t="s">
        <v>401</v>
      </c>
      <c r="B246" s="103" t="s">
        <v>132</v>
      </c>
      <c r="C246" s="483" t="n">
        <v>68.6875</v>
      </c>
      <c r="D246" s="476" t="n">
        <f aca="false">IF(Термо!B16="Credo SP",Управление!G3,0)</f>
        <v>84</v>
      </c>
      <c r="E246" s="477" t="n">
        <f aca="false">D246*C246</f>
        <v>5769.75</v>
      </c>
      <c r="F246" s="379"/>
      <c r="G246" s="387"/>
      <c r="H246" s="394"/>
      <c r="I246" s="394"/>
      <c r="J246" s="394"/>
      <c r="K246" s="394"/>
      <c r="L246" s="393"/>
      <c r="M246" s="394"/>
      <c r="N246" s="394"/>
      <c r="O246" s="395"/>
    </row>
    <row r="247" customFormat="false" ht="17.35" hidden="false" customHeight="false" outlineLevel="0" collapsed="false">
      <c r="A247" s="404" t="s">
        <v>402</v>
      </c>
      <c r="B247" s="103" t="s">
        <v>132</v>
      </c>
      <c r="C247" s="483" t="n">
        <v>17.27</v>
      </c>
      <c r="D247" s="476" t="n">
        <f aca="false">IF(Термо!B16="Credo SP",Управление!G3,0)</f>
        <v>84</v>
      </c>
      <c r="E247" s="477" t="n">
        <f aca="false">C247*D247</f>
        <v>1450.68</v>
      </c>
      <c r="F247" s="379"/>
      <c r="G247" s="387"/>
      <c r="H247" s="394"/>
      <c r="I247" s="394"/>
      <c r="J247" s="394"/>
      <c r="K247" s="394"/>
      <c r="L247" s="393"/>
      <c r="M247" s="394"/>
      <c r="N247" s="394"/>
      <c r="O247" s="395"/>
    </row>
    <row r="248" customFormat="false" ht="17.35" hidden="false" customHeight="false" outlineLevel="0" collapsed="false">
      <c r="A248" s="479" t="s">
        <v>403</v>
      </c>
      <c r="B248" s="479"/>
      <c r="C248" s="479"/>
      <c r="D248" s="479"/>
      <c r="E248" s="479"/>
      <c r="F248" s="379"/>
      <c r="G248" s="387"/>
      <c r="H248" s="394"/>
      <c r="I248" s="394"/>
      <c r="J248" s="394"/>
      <c r="K248" s="394"/>
      <c r="L248" s="393"/>
      <c r="M248" s="394"/>
      <c r="N248" s="394"/>
      <c r="O248" s="395"/>
    </row>
    <row r="249" customFormat="false" ht="17.35" hidden="false" customHeight="false" outlineLevel="0" collapsed="false">
      <c r="A249" s="484" t="s">
        <v>388</v>
      </c>
      <c r="B249" s="289" t="s">
        <v>132</v>
      </c>
      <c r="C249" s="73" t="n">
        <f aca="false">ifs(AND(Термо!B10&lt;2130,Термо!B11&lt;=1030),77.715,AND(Термо!B10&gt;=2130,Термо!B10&lt;2300,Термо!B11&lt;=1030),77.715,Термо!B10&gt;=2300,88.3125)</f>
        <v>77.715</v>
      </c>
      <c r="D249" s="476" t="n">
        <f aca="false">IF(Термо!B16="Imperato",Управление!G3,0)</f>
        <v>0</v>
      </c>
      <c r="E249" s="481" t="n">
        <f aca="false">C249*D249</f>
        <v>0</v>
      </c>
      <c r="F249" s="379"/>
      <c r="G249" s="387"/>
    </row>
    <row r="250" customFormat="false" ht="17.35" hidden="false" customHeight="false" outlineLevel="0" collapsed="false">
      <c r="A250" s="485" t="s">
        <v>32</v>
      </c>
      <c r="B250" s="293" t="s">
        <v>132</v>
      </c>
      <c r="C250" s="486" t="n">
        <f aca="false">IF(Термо!B10&gt;=2120,6.91,4.8)</f>
        <v>4.8</v>
      </c>
      <c r="D250" s="486" t="n">
        <f aca="false">IF(Термо!B16="Imperato",Управление!G3,0)</f>
        <v>0</v>
      </c>
      <c r="E250" s="487" t="n">
        <f aca="false">C250*D250</f>
        <v>0</v>
      </c>
      <c r="F250" s="379"/>
      <c r="G250" s="387"/>
    </row>
    <row r="251" customFormat="false" ht="17.35" hidden="false" customHeight="false" outlineLevel="0" collapsed="false">
      <c r="A251" s="479" t="s">
        <v>404</v>
      </c>
      <c r="B251" s="479"/>
      <c r="C251" s="479"/>
      <c r="D251" s="479"/>
      <c r="E251" s="479"/>
      <c r="F251" s="379"/>
      <c r="G251" s="387"/>
      <c r="H251" s="409"/>
      <c r="I251" s="409"/>
      <c r="J251" s="409"/>
      <c r="K251" s="409"/>
      <c r="L251" s="409"/>
      <c r="M251" s="409"/>
      <c r="N251" s="409"/>
      <c r="O251" s="413"/>
    </row>
    <row r="252" customFormat="false" ht="17.35" hidden="false" customHeight="false" outlineLevel="0" collapsed="false">
      <c r="A252" s="403" t="s">
        <v>388</v>
      </c>
      <c r="B252" s="289" t="s">
        <v>132</v>
      </c>
      <c r="C252" s="312" t="n">
        <f aca="false">ifs(AND(Термо!B10&lt;2130,Термо!B11&lt;=1030),64.7625,AND(Термо!B10&gt;=2130,Термо!B10&lt;2300,Термо!B11&lt;=1030),69.9435,Термо!B10&gt;=2300,74.77125,AND(Термо!B10&lt;=2130,Термо!B11&lt;=1030),67.70625)</f>
        <v>64.7625</v>
      </c>
      <c r="D252" s="488" t="n">
        <f aca="false">IF(OR(Термо!B16='Наружная отделка'!E16,Термо!B16='Наружная отделка'!F16),Управление!G3,0)</f>
        <v>0</v>
      </c>
      <c r="E252" s="477" t="n">
        <f aca="false">D252*C252</f>
        <v>0</v>
      </c>
      <c r="F252" s="379"/>
      <c r="G252" s="387"/>
    </row>
    <row r="253" customFormat="false" ht="17.35" hidden="false" customHeight="false" outlineLevel="0" collapsed="false">
      <c r="A253" s="403" t="s">
        <v>405</v>
      </c>
      <c r="B253" s="289" t="s">
        <v>132</v>
      </c>
      <c r="C253" s="312" t="n">
        <v>5.4</v>
      </c>
      <c r="D253" s="488" t="n">
        <f aca="false">IF(OR(Термо!B16='Наружная отделка'!E16,Термо!B16='Наружная отделка'!F16),Управление!G3,0)</f>
        <v>0</v>
      </c>
      <c r="E253" s="477" t="n">
        <f aca="false">D253*C253</f>
        <v>0</v>
      </c>
      <c r="F253" s="379"/>
      <c r="G253" s="387"/>
      <c r="H253" s="394"/>
      <c r="I253" s="394"/>
      <c r="J253" s="394"/>
      <c r="K253" s="394"/>
      <c r="L253" s="393"/>
      <c r="M253" s="394"/>
      <c r="N253" s="394"/>
      <c r="O253" s="395"/>
    </row>
    <row r="254" customFormat="false" ht="17.35" hidden="false" customHeight="false" outlineLevel="0" collapsed="false">
      <c r="A254" s="489" t="s">
        <v>406</v>
      </c>
      <c r="B254" s="490" t="s">
        <v>132</v>
      </c>
      <c r="C254" s="491" t="n">
        <f aca="false">IF(Термо!B10&gt;=2120,6.91,4.8)</f>
        <v>4.8</v>
      </c>
      <c r="D254" s="492" t="n">
        <f aca="false">IF(OR(Термо!B16='Наружная отделка'!E16,Термо!B16='Наружная отделка'!F16),Управление!G3,0)</f>
        <v>0</v>
      </c>
      <c r="E254" s="493" t="n">
        <f aca="false">D254*C254</f>
        <v>0</v>
      </c>
      <c r="F254" s="379"/>
      <c r="G254" s="387"/>
      <c r="H254" s="394"/>
      <c r="I254" s="394"/>
      <c r="J254" s="394"/>
      <c r="K254" s="394"/>
      <c r="L254" s="393"/>
      <c r="M254" s="394"/>
      <c r="N254" s="394"/>
      <c r="O254" s="395"/>
    </row>
    <row r="255" customFormat="false" ht="17.35" hidden="false" customHeight="false" outlineLevel="0" collapsed="false">
      <c r="A255" s="479" t="s">
        <v>407</v>
      </c>
      <c r="B255" s="479"/>
      <c r="C255" s="479"/>
      <c r="D255" s="479"/>
      <c r="E255" s="479"/>
      <c r="F255" s="379"/>
      <c r="G255" s="387"/>
    </row>
    <row r="256" customFormat="false" ht="17.35" hidden="false" customHeight="false" outlineLevel="0" collapsed="false">
      <c r="A256" s="494" t="s">
        <v>388</v>
      </c>
      <c r="B256" s="289" t="s">
        <v>132</v>
      </c>
      <c r="C256" s="495" t="n">
        <f aca="false">ifs(AND(Термо!B10&lt;2130,Термо!B11&lt;=1030),51.81,AND(Термо!B10&gt;=2130,Термо!B10&lt;2300,Термо!B11&lt;=1030),51.81,Термо!B10&gt;=2300,59.817)</f>
        <v>51.81</v>
      </c>
      <c r="D256" s="488" t="n">
        <f aca="false">IF(OR(Термо!B16='Наружная отделка'!B20,Термо!B16='Наружная отделка'!C20,Термо!B16='Наружная отделка'!F20,Термо!B16='Наружная отделка'!B29,Термо!B16='Наружная отделка'!C29,Термо!B16='Наружная отделка'!F29,Термо!B16='Наружная отделка'!G29,Термо!B16='Наружная отделка'!H29),Управление!G3,0)</f>
        <v>0</v>
      </c>
      <c r="E256" s="481" t="n">
        <f aca="false">D256*C256</f>
        <v>0</v>
      </c>
      <c r="F256" s="379"/>
      <c r="G256" s="387"/>
    </row>
    <row r="257" customFormat="false" ht="17.35" hidden="false" customHeight="false" outlineLevel="0" collapsed="false">
      <c r="A257" s="494" t="s">
        <v>397</v>
      </c>
      <c r="B257" s="289" t="s">
        <v>132</v>
      </c>
      <c r="C257" s="495" t="n">
        <f aca="false">ifs(AND(Термо!B10&lt;2130,Термо!B11&lt;=1030),24.178,AND(Термо!B10&gt;=2130,Термо!B10&lt;2300,Термо!B11&lt;=1030),24.178,Термо!B10&gt;=2300,25.7578125)</f>
        <v>24.178</v>
      </c>
      <c r="D257" s="488" t="n">
        <f aca="false">IF(OR(Термо!B16='Наружная отделка'!B20,Термо!B16='Наружная отделка'!C20,Термо!B16='Наружная отделка'!F20,Термо!B16='Наружная отделка'!B29,Термо!B16='Наружная отделка'!C29,Термо!B16='Наружная отделка'!F29,Термо!B16='Наружная отделка'!G29,Термо!B16='Наружная отделка'!H29),Управление!G3,0)</f>
        <v>0</v>
      </c>
      <c r="E257" s="481" t="n">
        <f aca="false">D257*C257</f>
        <v>0</v>
      </c>
      <c r="F257" s="379"/>
      <c r="G257" s="387"/>
    </row>
    <row r="258" customFormat="false" ht="17.35" hidden="false" customHeight="false" outlineLevel="0" collapsed="false">
      <c r="A258" s="494" t="s">
        <v>405</v>
      </c>
      <c r="B258" s="289" t="s">
        <v>132</v>
      </c>
      <c r="C258" s="495" t="n">
        <v>21.5875</v>
      </c>
      <c r="D258" s="488" t="n">
        <f aca="false">IF(OR(Термо!B16='Наружная отделка'!B20,Термо!B16='Наружная отделка'!C20,Термо!B16='Наружная отделка'!F20,Термо!B16='Наружная отделка'!B29,Термо!B16='Наружная отделка'!C29,Термо!B16='Наружная отделка'!F29,Термо!B16='Наружная отделка'!G29,Термо!B16='Наружная отделка'!H29),Управление!G3,0)</f>
        <v>0</v>
      </c>
      <c r="E258" s="481" t="n">
        <f aca="false">D258*C258</f>
        <v>0</v>
      </c>
      <c r="F258" s="379"/>
      <c r="G258" s="387"/>
    </row>
    <row r="259" customFormat="false" ht="17.35" hidden="false" customHeight="false" outlineLevel="0" collapsed="false">
      <c r="A259" s="485" t="s">
        <v>406</v>
      </c>
      <c r="B259" s="496" t="s">
        <v>132</v>
      </c>
      <c r="C259" s="486" t="n">
        <f aca="false">IF(Термо!B10&gt;=2120,6.91,4.8)</f>
        <v>4.8</v>
      </c>
      <c r="D259" s="497" t="n">
        <f aca="false">IF(OR(Термо!B16='Наружная отделка'!B20,Термо!B16='Наружная отделка'!C20,Термо!B16='Наружная отделка'!F20,Термо!B16='Наружная отделка'!B29,Термо!B16='Наружная отделка'!C29,Термо!B16='Наружная отделка'!F29,Термо!B16='Наружная отделка'!G29,Термо!B16='Наружная отделка'!H29),Управление!G3,0)</f>
        <v>0</v>
      </c>
      <c r="E259" s="498" t="n">
        <f aca="false">D259*C259</f>
        <v>0</v>
      </c>
      <c r="F259" s="379"/>
      <c r="G259" s="387"/>
    </row>
    <row r="260" customFormat="false" ht="17.35" hidden="false" customHeight="false" outlineLevel="0" collapsed="false">
      <c r="A260" s="479" t="s">
        <v>408</v>
      </c>
      <c r="B260" s="479"/>
      <c r="C260" s="479"/>
      <c r="D260" s="479"/>
      <c r="E260" s="479"/>
      <c r="F260" s="379"/>
      <c r="G260" s="387"/>
    </row>
    <row r="261" customFormat="false" ht="17.35" hidden="false" customHeight="false" outlineLevel="0" collapsed="false">
      <c r="A261" s="484" t="s">
        <v>409</v>
      </c>
      <c r="B261" s="404" t="s">
        <v>410</v>
      </c>
      <c r="C261" s="73" t="n">
        <f aca="false">IF(OR(Термо!B16='Наружная отделка'!B20,Термо!B16='Наружная отделка'!C20,Термо!B16='Наружная отделка'!F20,Термо!B16='Наружная отделка'!E16,Термо!B16='Наружная отделка'!F16,Термо!B16='Наружная отделка'!D16,Термо!B16='Наружная отделка'!B29,Термо!B16='Наружная отделка'!C29,Термо!B16='Наружная отделка'!F29,Термо!B16='Наружная отделка'!G29,Термо!B16='Наружная отделка'!H29),8.5,0)</f>
        <v>8.5</v>
      </c>
      <c r="D261" s="73" t="n">
        <f aca="false">Управление!C132</f>
        <v>10</v>
      </c>
      <c r="E261" s="481" t="n">
        <f aca="false">D261*C261</f>
        <v>85</v>
      </c>
      <c r="F261" s="379"/>
      <c r="G261" s="387"/>
    </row>
    <row r="262" customFormat="false" ht="17.35" hidden="false" customHeight="false" outlineLevel="0" collapsed="false">
      <c r="A262" s="484" t="s">
        <v>411</v>
      </c>
      <c r="B262" s="404" t="s">
        <v>35</v>
      </c>
      <c r="C262" s="73" t="n">
        <f aca="false">IF(OR(Термо!B16='Наружная отделка'!B20,Термо!B16='Наружная отделка'!C20,Термо!B16='Наружная отделка'!F20,Термо!B16='Наружная отделка'!E16,Термо!B16='Наружная отделка'!F16,Термо!B16='Наружная отделка'!D16,Термо!B16='Наружная отделка'!B29,Термо!B16='Наружная отделка'!C29,Термо!B16='Наружная отделка'!F29,Термо!B16='Наружная отделка'!G29,Термо!B16='Наружная отделка'!H29),56,0)</f>
        <v>56</v>
      </c>
      <c r="D262" s="73" t="n">
        <f aca="false">Управление!B33</f>
        <v>20.86</v>
      </c>
      <c r="E262" s="481" t="n">
        <f aca="false">D262*C262</f>
        <v>1168.16</v>
      </c>
      <c r="F262" s="379"/>
      <c r="G262" s="387"/>
    </row>
    <row r="263" customFormat="false" ht="17.35" hidden="false" customHeight="false" outlineLevel="0" collapsed="false">
      <c r="A263" s="484" t="s">
        <v>412</v>
      </c>
      <c r="B263" s="404" t="s">
        <v>35</v>
      </c>
      <c r="C263" s="73" t="n">
        <f aca="false">IF(OR(Термо!B16='Наружная отделка'!B20,Термо!B16='Наружная отделка'!C20,Термо!B16='Наружная отделка'!F20,Термо!B16='Наружная отделка'!E16,Термо!B16='Наружная отделка'!F16,Термо!B16='Наружная отделка'!D16,Термо!B16='Наружная отделка'!B29,Термо!B16='Наружная отделка'!C29,Термо!B16='Наружная отделка'!F29,Термо!B16='Наружная отделка'!G29,Термо!B16='Наружная отделка'!H29),56,0)</f>
        <v>56</v>
      </c>
      <c r="D263" s="73" t="n">
        <f aca="false">Управление!B34</f>
        <v>2.35</v>
      </c>
      <c r="E263" s="481" t="n">
        <f aca="false">D263*C263</f>
        <v>131.6</v>
      </c>
      <c r="F263" s="379"/>
      <c r="G263" s="387"/>
    </row>
    <row r="264" customFormat="false" ht="32.8" hidden="true" customHeight="false" outlineLevel="0" collapsed="false">
      <c r="A264" s="499" t="s">
        <v>413</v>
      </c>
      <c r="B264" s="404" t="s">
        <v>35</v>
      </c>
      <c r="C264" s="73" t="n">
        <v>0</v>
      </c>
      <c r="D264" s="73" t="n">
        <v>0</v>
      </c>
      <c r="E264" s="481" t="n">
        <v>0</v>
      </c>
      <c r="F264" s="379"/>
      <c r="G264" s="387"/>
    </row>
    <row r="265" customFormat="false" ht="17.35" hidden="false" customHeight="false" outlineLevel="0" collapsed="false">
      <c r="A265" s="485" t="s">
        <v>414</v>
      </c>
      <c r="B265" s="500" t="s">
        <v>35</v>
      </c>
      <c r="C265" s="486" t="n">
        <f aca="false">IF(OR(Термо!B16='Наружная отделка'!B20,Термо!B16='Наружная отделка'!C20,Термо!B16='Наружная отделка'!F20,Термо!B16='Наружная отделка'!E16,Термо!B16='Наружная отделка'!F16,Термо!B16='Наружная отделка'!D16,Термо!B16='Наружная отделка'!B29,Термо!B16='Наружная отделка'!C29,Термо!B16='Наружная отделка'!F29,Термо!B16='Наружная отделка'!G29,Термо!B16='Наружная отделка'!H29),12,0)</f>
        <v>12</v>
      </c>
      <c r="D265" s="486" t="n">
        <f aca="false">Управление!B133</f>
        <v>4</v>
      </c>
      <c r="E265" s="498" t="n">
        <f aca="false">D265*C265</f>
        <v>48</v>
      </c>
      <c r="F265" s="379"/>
      <c r="G265" s="387"/>
    </row>
    <row r="266" customFormat="false" ht="18.55" hidden="false" customHeight="false" outlineLevel="0" collapsed="false">
      <c r="A266" s="311" t="s">
        <v>415</v>
      </c>
      <c r="B266" s="311"/>
      <c r="C266" s="311"/>
      <c r="D266" s="311"/>
      <c r="E266" s="311"/>
      <c r="F266" s="379"/>
      <c r="G266" s="387"/>
    </row>
    <row r="267" customFormat="false" ht="17.35" hidden="false" customHeight="false" outlineLevel="0" collapsed="false">
      <c r="A267" s="85" t="s">
        <v>51</v>
      </c>
      <c r="B267" s="110" t="s">
        <v>29</v>
      </c>
      <c r="C267" s="400" t="n">
        <f aca="false">IF(AND(Термо!A22="Цинкогрунтование",NOT(Термо!C22="Как основной")),F267,0)</f>
        <v>0</v>
      </c>
      <c r="D267" s="400" t="n">
        <f aca="false">IF(Термо!C22="Как основной",0,Управление!J3)</f>
        <v>0</v>
      </c>
      <c r="E267" s="400" t="n">
        <f aca="false">D267*C267</f>
        <v>0</v>
      </c>
      <c r="F267" s="379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67" s="387"/>
    </row>
    <row r="268" customFormat="false" ht="17.35" hidden="false" customHeight="false" outlineLevel="0" collapsed="false">
      <c r="A268" s="85" t="s">
        <v>53</v>
      </c>
      <c r="B268" s="110" t="s">
        <v>29</v>
      </c>
      <c r="C268" s="400" t="n">
        <f aca="false">IF(Термо!C22="Как основной",0,F268)</f>
        <v>0</v>
      </c>
      <c r="D268" s="400" t="n">
        <f aca="false">IF(Термо!C22=A268,Управление!J4,0)</f>
        <v>0</v>
      </c>
      <c r="E268" s="400" t="n">
        <f aca="false">D268*C268</f>
        <v>0</v>
      </c>
      <c r="F268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отделка'!F20),0.59,0.47)</f>
        <v>0.59</v>
      </c>
      <c r="G268" s="387"/>
    </row>
    <row r="269" customFormat="false" ht="17.35" hidden="false" customHeight="false" outlineLevel="0" collapsed="false">
      <c r="A269" s="85" t="s">
        <v>55</v>
      </c>
      <c r="B269" s="110" t="s">
        <v>29</v>
      </c>
      <c r="C269" s="400" t="n">
        <f aca="false">IF(Термо!C22="Как основной",0,F269)</f>
        <v>0</v>
      </c>
      <c r="D269" s="400" t="n">
        <f aca="false">IF(Термо!C22=A269,Управление!J5,0)</f>
        <v>0</v>
      </c>
      <c r="E269" s="400" t="n">
        <f aca="false">D269*C269</f>
        <v>0</v>
      </c>
      <c r="F269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отделка'!F20),0.59,0.47)</f>
        <v>0.59</v>
      </c>
      <c r="G269" s="387"/>
    </row>
    <row r="270" customFormat="false" ht="17.35" hidden="false" customHeight="false" outlineLevel="0" collapsed="false">
      <c r="A270" s="85" t="s">
        <v>57</v>
      </c>
      <c r="B270" s="110" t="s">
        <v>29</v>
      </c>
      <c r="C270" s="400" t="n">
        <f aca="false">IF(Термо!C22="Как основной",0,F270)</f>
        <v>0</v>
      </c>
      <c r="D270" s="400" t="n">
        <f aca="false">IF(Термо!C22=A270,Управление!J6,0)</f>
        <v>0</v>
      </c>
      <c r="E270" s="400" t="n">
        <f aca="false">D270*C270</f>
        <v>0</v>
      </c>
      <c r="F270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0" s="387"/>
    </row>
    <row r="271" customFormat="false" ht="17.35" hidden="false" customHeight="false" outlineLevel="0" collapsed="false">
      <c r="A271" s="85" t="s">
        <v>315</v>
      </c>
      <c r="B271" s="110" t="s">
        <v>29</v>
      </c>
      <c r="C271" s="400" t="n">
        <f aca="false">IF(Термо!C22="Как основной",0,F271)</f>
        <v>0</v>
      </c>
      <c r="D271" s="400" t="n">
        <f aca="false">IF(Термо!C22=A271,Управление!J7,0)</f>
        <v>0</v>
      </c>
      <c r="E271" s="400" t="n">
        <f aca="false">D271*C271</f>
        <v>0</v>
      </c>
      <c r="F271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1" s="387"/>
    </row>
    <row r="272" customFormat="false" ht="17.35" hidden="false" customHeight="false" outlineLevel="0" collapsed="false">
      <c r="A272" s="85" t="s">
        <v>61</v>
      </c>
      <c r="B272" s="110" t="s">
        <v>29</v>
      </c>
      <c r="C272" s="400" t="n">
        <f aca="false">IF(Термо!C22="Как основной",0,F272)</f>
        <v>0</v>
      </c>
      <c r="D272" s="400" t="n">
        <f aca="false">IF(Термо!C22=A272,Управление!J8,0)</f>
        <v>0</v>
      </c>
      <c r="E272" s="400" t="n">
        <f aca="false">D272*C272</f>
        <v>0</v>
      </c>
      <c r="F272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2" s="387"/>
    </row>
    <row r="273" customFormat="false" ht="17.35" hidden="false" customHeight="false" outlineLevel="0" collapsed="false">
      <c r="A273" s="85" t="s">
        <v>63</v>
      </c>
      <c r="B273" s="110" t="s">
        <v>29</v>
      </c>
      <c r="C273" s="400" t="n">
        <f aca="false">IF(Термо!C22="Как основной",0,F273)</f>
        <v>0</v>
      </c>
      <c r="D273" s="400" t="n">
        <f aca="false">IF(Термо!C22=A273,Управление!J9,0)</f>
        <v>0</v>
      </c>
      <c r="E273" s="400" t="n">
        <f aca="false">D273*C273</f>
        <v>0</v>
      </c>
      <c r="F273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3" s="387"/>
    </row>
    <row r="274" customFormat="false" ht="17.35" hidden="false" customHeight="false" outlineLevel="0" collapsed="false">
      <c r="A274" s="85" t="s">
        <v>65</v>
      </c>
      <c r="B274" s="110" t="s">
        <v>29</v>
      </c>
      <c r="C274" s="400" t="n">
        <f aca="false">IF(Термо!C22="Как основной",0,F274)</f>
        <v>0</v>
      </c>
      <c r="D274" s="400" t="n">
        <f aca="false">IF(Термо!C22=A274,Управление!J10,0)</f>
        <v>0</v>
      </c>
      <c r="E274" s="400" t="n">
        <f aca="false">D274*C274</f>
        <v>0</v>
      </c>
      <c r="F274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4" s="387"/>
    </row>
    <row r="275" customFormat="false" ht="17.35" hidden="false" customHeight="false" outlineLevel="0" collapsed="false">
      <c r="A275" s="85" t="s">
        <v>67</v>
      </c>
      <c r="B275" s="110" t="s">
        <v>29</v>
      </c>
      <c r="C275" s="400" t="n">
        <f aca="false">IF(Термо!C22="Как основной",0,F275)</f>
        <v>0</v>
      </c>
      <c r="D275" s="400" t="n">
        <f aca="false">IF(Термо!C22=A275,Управление!J11,0)</f>
        <v>0</v>
      </c>
      <c r="E275" s="400" t="n">
        <f aca="false">D275*C275</f>
        <v>0</v>
      </c>
      <c r="F275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5" s="387"/>
    </row>
    <row r="276" customFormat="false" ht="17.35" hidden="false" customHeight="false" outlineLevel="0" collapsed="false">
      <c r="A276" s="85" t="s">
        <v>68</v>
      </c>
      <c r="B276" s="110" t="s">
        <v>29</v>
      </c>
      <c r="C276" s="400" t="n">
        <f aca="false">IF(Термо!C22="Как основной",0,F276)</f>
        <v>0</v>
      </c>
      <c r="D276" s="400" t="n">
        <f aca="false">IF(Термо!C22=A276,Управление!J12,0)</f>
        <v>0</v>
      </c>
      <c r="E276" s="400" t="n">
        <f aca="false">D276*C276</f>
        <v>0</v>
      </c>
      <c r="F276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6" s="387"/>
    </row>
    <row r="277" customFormat="false" ht="17.35" hidden="false" customHeight="false" outlineLevel="0" collapsed="false">
      <c r="A277" s="85" t="s">
        <v>69</v>
      </c>
      <c r="B277" s="110" t="s">
        <v>29</v>
      </c>
      <c r="C277" s="400" t="n">
        <f aca="false">IF(Термо!C22="Как основной",0,F277)</f>
        <v>0</v>
      </c>
      <c r="D277" s="400" t="n">
        <f aca="false">IF(Термо!C22=A277,Управление!J13,0)</f>
        <v>0</v>
      </c>
      <c r="E277" s="400" t="n">
        <f aca="false">D277*C277</f>
        <v>0</v>
      </c>
      <c r="F277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7" s="387"/>
    </row>
    <row r="278" customFormat="false" ht="17.35" hidden="false" customHeight="false" outlineLevel="0" collapsed="false">
      <c r="A278" s="85" t="s">
        <v>416</v>
      </c>
      <c r="B278" s="110" t="s">
        <v>29</v>
      </c>
      <c r="C278" s="400" t="n">
        <f aca="false">IF(Термо!C22="Как основной",0,F278)</f>
        <v>0</v>
      </c>
      <c r="D278" s="400" t="n">
        <f aca="false">IF(Термо!C22=A278,Управление!J14,0)</f>
        <v>0</v>
      </c>
      <c r="E278" s="400" t="n">
        <f aca="false">D278*C278</f>
        <v>0</v>
      </c>
      <c r="F278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78" s="387"/>
    </row>
    <row r="279" customFormat="false" ht="17.35" hidden="false" customHeight="false" outlineLevel="0" collapsed="false">
      <c r="A279" s="85" t="s">
        <v>71</v>
      </c>
      <c r="B279" s="110" t="s">
        <v>29</v>
      </c>
      <c r="C279" s="400" t="n">
        <f aca="false">IF(Термо!C22="Как основной",0,F279)</f>
        <v>0</v>
      </c>
      <c r="D279" s="400" t="n">
        <f aca="false">IF(Термо!C22=A279,Управление!J15,0)</f>
        <v>0</v>
      </c>
      <c r="E279" s="400" t="n">
        <f aca="false">D279*C279</f>
        <v>0</v>
      </c>
      <c r="F279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отделка'!F20),0.59,0.47)</f>
        <v>0.59</v>
      </c>
      <c r="G279" s="387"/>
    </row>
    <row r="280" customFormat="false" ht="17.35" hidden="false" customHeight="false" outlineLevel="0" collapsed="false">
      <c r="A280" s="85" t="s">
        <v>72</v>
      </c>
      <c r="B280" s="110" t="s">
        <v>29</v>
      </c>
      <c r="C280" s="400" t="n">
        <f aca="false">IF(Термо!C22="Как основной",0,F280)</f>
        <v>0</v>
      </c>
      <c r="D280" s="400" t="n">
        <f aca="false">IF(Термо!C22=A280,Управление!J16,0)</f>
        <v>0</v>
      </c>
      <c r="E280" s="400" t="n">
        <f aca="false">D280*C280</f>
        <v>0</v>
      </c>
      <c r="F280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отделка'!F20),0.59,0.47)</f>
        <v>0.59</v>
      </c>
      <c r="G280" s="387"/>
    </row>
    <row r="281" customFormat="false" ht="17.35" hidden="false" customHeight="false" outlineLevel="0" collapsed="false">
      <c r="A281" s="85" t="s">
        <v>73</v>
      </c>
      <c r="B281" s="110" t="s">
        <v>29</v>
      </c>
      <c r="C281" s="400" t="n">
        <f aca="false">IF(Термо!C22="Как основной",0,F281)</f>
        <v>0</v>
      </c>
      <c r="D281" s="400" t="n">
        <f aca="false">IF(Термо!C22=A281,Управление!J17,0)</f>
        <v>0</v>
      </c>
      <c r="E281" s="400" t="n">
        <f aca="false">D281*C281</f>
        <v>0</v>
      </c>
      <c r="F281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отделка'!F20),0.59,0.47)</f>
        <v>0.59</v>
      </c>
      <c r="G281" s="387"/>
    </row>
    <row r="282" customFormat="false" ht="17.35" hidden="false" customHeight="false" outlineLevel="0" collapsed="false">
      <c r="A282" s="85" t="s">
        <v>74</v>
      </c>
      <c r="B282" s="110" t="s">
        <v>29</v>
      </c>
      <c r="C282" s="400" t="n">
        <f aca="false">IF(Термо!C22="Как основной",0,F282)</f>
        <v>0</v>
      </c>
      <c r="D282" s="400" t="n">
        <f aca="false">IF(Термо!C22=A282,Управление!J18,0)</f>
        <v>0</v>
      </c>
      <c r="E282" s="400" t="n">
        <f aca="false">D282*C282</f>
        <v>0</v>
      </c>
      <c r="F282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отделка'!F20),0.59,0.47)</f>
        <v>0.59</v>
      </c>
      <c r="G282" s="387"/>
    </row>
    <row r="283" customFormat="false" ht="17.35" hidden="false" customHeight="false" outlineLevel="0" collapsed="false">
      <c r="A283" s="85" t="s">
        <v>75</v>
      </c>
      <c r="B283" s="110" t="s">
        <v>29</v>
      </c>
      <c r="C283" s="400" t="n">
        <f aca="false">IF(Термо!C22="Как основной",0,F283)</f>
        <v>0</v>
      </c>
      <c r="D283" s="400" t="n">
        <f aca="false">IF(Термо!C22=A283,Управление!J19,0)</f>
        <v>0</v>
      </c>
      <c r="E283" s="400" t="n">
        <f aca="false">D283*C283</f>
        <v>0</v>
      </c>
      <c r="F283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отделка'!F20),0.59,0.47)</f>
        <v>0.59</v>
      </c>
      <c r="G283" s="387"/>
    </row>
    <row r="284" customFormat="false" ht="17.35" hidden="false" customHeight="false" outlineLevel="0" collapsed="false">
      <c r="A284" s="85" t="s">
        <v>76</v>
      </c>
      <c r="B284" s="110" t="s">
        <v>29</v>
      </c>
      <c r="C284" s="400" t="n">
        <f aca="false">IF(Термо!C22="Как основной",0,F284)</f>
        <v>0</v>
      </c>
      <c r="D284" s="400" t="n">
        <f aca="false">IF(Термо!C22=A284,Управление!J20,0)</f>
        <v>0</v>
      </c>
      <c r="E284" s="400" t="n">
        <f aca="false">D284*C284</f>
        <v>0</v>
      </c>
      <c r="F284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84" s="387"/>
    </row>
    <row r="285" customFormat="false" ht="17.35" hidden="false" customHeight="false" outlineLevel="0" collapsed="false">
      <c r="A285" s="85" t="s">
        <v>77</v>
      </c>
      <c r="B285" s="110" t="s">
        <v>29</v>
      </c>
      <c r="C285" s="400" t="n">
        <f aca="false">IF(Термо!C22="Как основной",0,F285)</f>
        <v>0</v>
      </c>
      <c r="D285" s="400" t="n">
        <f aca="false">IF(Термо!C22=A285,Управление!J21,0)</f>
        <v>0</v>
      </c>
      <c r="E285" s="400" t="n">
        <f aca="false">D285*C285</f>
        <v>0</v>
      </c>
      <c r="F285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85" s="387"/>
    </row>
    <row r="286" customFormat="false" ht="17.35" hidden="false" customHeight="false" outlineLevel="0" collapsed="false">
      <c r="A286" s="85" t="s">
        <v>78</v>
      </c>
      <c r="B286" s="110" t="s">
        <v>29</v>
      </c>
      <c r="C286" s="400" t="n">
        <f aca="false">IF(Термо!C22="Как основной",0,F286)</f>
        <v>0</v>
      </c>
      <c r="D286" s="400" t="n">
        <f aca="false">IF(Термо!C22=A286,Управление!J22,0)</f>
        <v>0</v>
      </c>
      <c r="E286" s="400" t="n">
        <f aca="false">D286*C286</f>
        <v>0</v>
      </c>
      <c r="F286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86" s="387"/>
    </row>
    <row r="287" customFormat="false" ht="17.35" hidden="false" customHeight="false" outlineLevel="0" collapsed="false">
      <c r="A287" s="85" t="s">
        <v>79</v>
      </c>
      <c r="B287" s="110" t="s">
        <v>29</v>
      </c>
      <c r="C287" s="400" t="n">
        <f aca="false">IF(Термо!C22="Как основной",0,F287)</f>
        <v>0</v>
      </c>
      <c r="D287" s="400" t="n">
        <f aca="false">IF(Термо!C22=A287,Управление!J23,0)</f>
        <v>0</v>
      </c>
      <c r="E287" s="400" t="n">
        <f aca="false">D287*C287</f>
        <v>0</v>
      </c>
      <c r="F287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87" s="387"/>
    </row>
    <row r="288" customFormat="false" ht="17.35" hidden="false" customHeight="false" outlineLevel="0" collapsed="false">
      <c r="A288" s="85" t="s">
        <v>80</v>
      </c>
      <c r="B288" s="110" t="s">
        <v>29</v>
      </c>
      <c r="C288" s="400" t="n">
        <f aca="false">IF(Термо!C22="Как основной",0,F288)</f>
        <v>0</v>
      </c>
      <c r="D288" s="400" t="n">
        <f aca="false">IF(Термо!C22=A288,Управление!J24,0)</f>
        <v>0</v>
      </c>
      <c r="E288" s="400" t="n">
        <f aca="false">D288*C288</f>
        <v>0</v>
      </c>
      <c r="F288" s="400" t="n">
        <f aca="false">IF(OR(Термо!B16='Наружная отделка'!D16,Термо!B16='Наружная отделка'!E16,Термо!B16='Наружная отделка'!F16,Термо!B16='Наружная отделка'!B20,Термо!B16='Наружная отделка'!C20,Термо!B16='Наружная отделка'!F20),0.45,0.35)</f>
        <v>0.45</v>
      </c>
      <c r="G288" s="387"/>
    </row>
    <row r="289" customFormat="false" ht="17.35" hidden="false" customHeight="false" outlineLevel="0" collapsed="false">
      <c r="C289" s="310"/>
      <c r="D289" s="310"/>
      <c r="E289" s="501" t="n">
        <f aca="false">SUM(E267:E288)</f>
        <v>0</v>
      </c>
      <c r="F289" s="379"/>
      <c r="G289" s="387"/>
    </row>
    <row r="290" customFormat="false" ht="17.35" hidden="true" customHeight="false" outlineLevel="0" collapsed="false">
      <c r="C290" s="310"/>
      <c r="D290" s="310"/>
      <c r="E290" s="70"/>
      <c r="F290" s="379"/>
      <c r="G290" s="387"/>
    </row>
    <row r="291" customFormat="false" ht="17.35" hidden="true" customHeight="false" outlineLevel="0" collapsed="false">
      <c r="C291" s="310"/>
      <c r="D291" s="310"/>
      <c r="E291" s="70"/>
      <c r="F291" s="379"/>
      <c r="G291" s="387"/>
    </row>
    <row r="292" customFormat="false" ht="17.35" hidden="true" customHeight="false" outlineLevel="0" collapsed="false">
      <c r="C292" s="310"/>
      <c r="D292" s="310"/>
      <c r="E292" s="70"/>
      <c r="F292" s="379"/>
      <c r="G292" s="387"/>
    </row>
    <row r="293" customFormat="false" ht="17.35" hidden="true" customHeight="false" outlineLevel="0" collapsed="false">
      <c r="C293" s="310"/>
      <c r="D293" s="310"/>
      <c r="E293" s="70"/>
      <c r="F293" s="379"/>
      <c r="G293" s="387"/>
    </row>
    <row r="294" customFormat="false" ht="17.35" hidden="true" customHeight="false" outlineLevel="0" collapsed="false">
      <c r="C294" s="310"/>
      <c r="D294" s="310"/>
      <c r="E294" s="70"/>
      <c r="F294" s="379"/>
      <c r="G294" s="387"/>
    </row>
    <row r="295" customFormat="false" ht="17.35" hidden="true" customHeight="false" outlineLevel="0" collapsed="false">
      <c r="C295" s="310"/>
      <c r="D295" s="310"/>
      <c r="E295" s="70"/>
      <c r="F295" s="379"/>
      <c r="G295" s="387"/>
    </row>
    <row r="296" customFormat="false" ht="17.35" hidden="true" customHeight="false" outlineLevel="0" collapsed="false">
      <c r="C296" s="310"/>
      <c r="D296" s="310"/>
      <c r="E296" s="70"/>
      <c r="F296" s="379"/>
      <c r="G296" s="387"/>
    </row>
    <row r="297" customFormat="false" ht="17.35" hidden="true" customHeight="false" outlineLevel="0" collapsed="false">
      <c r="C297" s="310"/>
      <c r="D297" s="310"/>
      <c r="E297" s="70"/>
      <c r="F297" s="379"/>
      <c r="G297" s="387"/>
    </row>
    <row r="298" customFormat="false" ht="17.35" hidden="true" customHeight="false" outlineLevel="0" collapsed="false">
      <c r="C298" s="310"/>
      <c r="D298" s="310"/>
      <c r="E298" s="70"/>
      <c r="F298" s="379"/>
      <c r="G298" s="387"/>
    </row>
    <row r="299" customFormat="false" ht="17.35" hidden="true" customHeight="false" outlineLevel="0" collapsed="false">
      <c r="C299" s="310"/>
      <c r="D299" s="310"/>
      <c r="E299" s="70"/>
      <c r="F299" s="379"/>
      <c r="G299" s="387"/>
    </row>
    <row r="300" customFormat="false" ht="17.35" hidden="true" customHeight="false" outlineLevel="0" collapsed="false">
      <c r="C300" s="310"/>
      <c r="D300" s="310"/>
      <c r="E300" s="70"/>
      <c r="F300" s="379"/>
      <c r="G300" s="387"/>
    </row>
    <row r="301" customFormat="false" ht="17.35" hidden="true" customHeight="false" outlineLevel="0" collapsed="false">
      <c r="C301" s="310"/>
      <c r="D301" s="310"/>
      <c r="E301" s="70"/>
      <c r="F301" s="379"/>
      <c r="G301" s="387"/>
    </row>
    <row r="302" customFormat="false" ht="74.25" hidden="true" customHeight="true" outlineLevel="0" collapsed="false">
      <c r="A302" s="317"/>
      <c r="B302" s="6" t="s">
        <v>417</v>
      </c>
      <c r="C302" s="310"/>
      <c r="D302" s="310"/>
      <c r="E302" s="70"/>
      <c r="F302" s="379"/>
      <c r="G302" s="387"/>
    </row>
    <row r="303" customFormat="false" ht="75" hidden="true" customHeight="true" outlineLevel="0" collapsed="false">
      <c r="A303" s="317"/>
      <c r="B303" s="6" t="s">
        <v>418</v>
      </c>
      <c r="C303" s="310"/>
      <c r="D303" s="310"/>
      <c r="E303" s="70"/>
      <c r="F303" s="379"/>
      <c r="G303" s="387"/>
    </row>
    <row r="304" customFormat="false" ht="82.5" hidden="true" customHeight="true" outlineLevel="0" collapsed="false">
      <c r="A304" s="317"/>
      <c r="B304" s="6" t="s">
        <v>419</v>
      </c>
      <c r="C304" s="310"/>
      <c r="D304" s="310"/>
      <c r="E304" s="70"/>
      <c r="F304" s="379"/>
      <c r="G304" s="387"/>
    </row>
    <row r="305" customFormat="false" ht="69.75" hidden="true" customHeight="true" outlineLevel="0" collapsed="false">
      <c r="A305" s="317"/>
      <c r="B305" s="6" t="s">
        <v>420</v>
      </c>
      <c r="C305" s="310"/>
      <c r="D305" s="310"/>
      <c r="E305" s="70"/>
      <c r="F305" s="379"/>
      <c r="G305" s="387"/>
    </row>
    <row r="306" customFormat="false" ht="65.25" hidden="true" customHeight="true" outlineLevel="0" collapsed="false">
      <c r="A306" s="317"/>
      <c r="B306" s="6" t="s">
        <v>421</v>
      </c>
      <c r="C306" s="310"/>
      <c r="D306" s="310"/>
      <c r="E306" s="70"/>
      <c r="F306" s="379"/>
      <c r="G306" s="387"/>
    </row>
    <row r="307" customFormat="false" ht="67.5" hidden="true" customHeight="true" outlineLevel="0" collapsed="false">
      <c r="A307" s="317"/>
      <c r="B307" s="6" t="s">
        <v>422</v>
      </c>
      <c r="C307" s="310"/>
      <c r="D307" s="310"/>
      <c r="E307" s="70"/>
      <c r="F307" s="379"/>
      <c r="G307" s="387"/>
    </row>
    <row r="308" customFormat="false" ht="17.35" hidden="false" customHeight="false" outlineLevel="0" collapsed="false">
      <c r="C308" s="310"/>
      <c r="D308" s="310"/>
      <c r="E308" s="70"/>
      <c r="F308" s="379"/>
      <c r="G308" s="387"/>
    </row>
    <row r="309" customFormat="false" ht="17.35" hidden="false" customHeight="false" outlineLevel="0" collapsed="false">
      <c r="C309" s="310"/>
      <c r="D309" s="310"/>
      <c r="E309" s="70"/>
      <c r="F309" s="379"/>
      <c r="G309" s="387"/>
    </row>
    <row r="310" customFormat="false" ht="17.35" hidden="false" customHeight="false" outlineLevel="0" collapsed="false">
      <c r="C310" s="310"/>
      <c r="D310" s="310"/>
      <c r="E310" s="70"/>
      <c r="F310" s="379"/>
      <c r="G310" s="387"/>
    </row>
    <row r="311" customFormat="false" ht="17.35" hidden="false" customHeight="false" outlineLevel="0" collapsed="false">
      <c r="C311" s="310"/>
      <c r="D311" s="310"/>
      <c r="E311" s="70"/>
      <c r="F311" s="379"/>
      <c r="G311" s="387"/>
    </row>
    <row r="312" customFormat="false" ht="17.35" hidden="false" customHeight="false" outlineLevel="0" collapsed="false">
      <c r="C312" s="310"/>
      <c r="D312" s="310"/>
      <c r="E312" s="70"/>
      <c r="F312" s="379"/>
      <c r="G312" s="387"/>
    </row>
    <row r="313" customFormat="false" ht="17.35" hidden="false" customHeight="false" outlineLevel="0" collapsed="false">
      <c r="C313" s="310"/>
      <c r="D313" s="310"/>
      <c r="E313" s="70"/>
      <c r="F313" s="379"/>
      <c r="G313" s="387"/>
    </row>
    <row r="314" customFormat="false" ht="15" hidden="false" customHeight="false" outlineLevel="0" collapsed="false">
      <c r="C314" s="310"/>
      <c r="D314" s="310"/>
      <c r="E314" s="70"/>
      <c r="F314" s="379"/>
      <c r="G314" s="387"/>
    </row>
    <row r="315" customFormat="false" ht="15" hidden="false" customHeight="false" outlineLevel="0" collapsed="false">
      <c r="C315" s="310"/>
      <c r="D315" s="310"/>
      <c r="E315" s="70"/>
      <c r="F315" s="379"/>
      <c r="G315" s="387"/>
    </row>
    <row r="316" customFormat="false" ht="15" hidden="false" customHeight="false" outlineLevel="0" collapsed="false">
      <c r="C316" s="310"/>
      <c r="D316" s="310"/>
      <c r="E316" s="70"/>
      <c r="F316" s="379"/>
      <c r="G316" s="387"/>
    </row>
    <row r="317" customFormat="false" ht="15" hidden="false" customHeight="false" outlineLevel="0" collapsed="false">
      <c r="C317" s="310"/>
      <c r="D317" s="310"/>
      <c r="E317" s="70"/>
      <c r="F317" s="379"/>
      <c r="G317" s="387"/>
    </row>
    <row r="318" customFormat="false" ht="15" hidden="false" customHeight="false" outlineLevel="0" collapsed="false">
      <c r="C318" s="310"/>
      <c r="D318" s="310"/>
      <c r="E318" s="70"/>
      <c r="F318" s="379"/>
      <c r="G318" s="387"/>
    </row>
    <row r="319" customFormat="false" ht="15" hidden="false" customHeight="false" outlineLevel="0" collapsed="false">
      <c r="C319" s="310"/>
      <c r="D319" s="310"/>
      <c r="E319" s="70"/>
      <c r="F319" s="379"/>
      <c r="G319" s="387"/>
    </row>
    <row r="320" customFormat="false" ht="15" hidden="false" customHeight="false" outlineLevel="0" collapsed="false">
      <c r="C320" s="310"/>
      <c r="D320" s="310"/>
      <c r="E320" s="70"/>
      <c r="F320" s="379"/>
      <c r="G320" s="387"/>
    </row>
    <row r="321" customFormat="false" ht="15" hidden="false" customHeight="false" outlineLevel="0" collapsed="false">
      <c r="C321" s="310"/>
      <c r="D321" s="310"/>
      <c r="E321" s="70"/>
      <c r="F321" s="379"/>
      <c r="G321" s="387"/>
    </row>
    <row r="322" customFormat="false" ht="15" hidden="false" customHeight="false" outlineLevel="0" collapsed="false">
      <c r="C322" s="310"/>
      <c r="D322" s="310"/>
      <c r="E322" s="70"/>
      <c r="F322" s="379"/>
      <c r="G322" s="387"/>
    </row>
    <row r="323" customFormat="false" ht="15" hidden="false" customHeight="false" outlineLevel="0" collapsed="false">
      <c r="C323" s="310"/>
      <c r="D323" s="310"/>
      <c r="E323" s="70"/>
      <c r="F323" s="379"/>
      <c r="G323" s="387"/>
    </row>
    <row r="324" customFormat="false" ht="15" hidden="false" customHeight="false" outlineLevel="0" collapsed="false">
      <c r="C324" s="310"/>
      <c r="D324" s="310"/>
      <c r="E324" s="70"/>
      <c r="F324" s="379"/>
      <c r="G324" s="387"/>
    </row>
    <row r="325" customFormat="false" ht="15" hidden="false" customHeight="false" outlineLevel="0" collapsed="false">
      <c r="C325" s="310"/>
      <c r="D325" s="310"/>
      <c r="E325" s="70"/>
      <c r="F325" s="379"/>
      <c r="G325" s="387"/>
    </row>
    <row r="326" customFormat="false" ht="15" hidden="false" customHeight="false" outlineLevel="0" collapsed="false">
      <c r="C326" s="310"/>
      <c r="D326" s="310"/>
      <c r="E326" s="70"/>
      <c r="F326" s="379"/>
      <c r="G326" s="387"/>
    </row>
    <row r="327" customFormat="false" ht="15" hidden="false" customHeight="false" outlineLevel="0" collapsed="false">
      <c r="C327" s="310"/>
      <c r="D327" s="310"/>
      <c r="E327" s="70"/>
      <c r="F327" s="379"/>
      <c r="G327" s="387"/>
    </row>
    <row r="328" customFormat="false" ht="15" hidden="false" customHeight="false" outlineLevel="0" collapsed="false">
      <c r="C328" s="310"/>
      <c r="D328" s="310"/>
      <c r="E328" s="70"/>
      <c r="F328" s="379"/>
      <c r="G328" s="387"/>
    </row>
    <row r="329" customFormat="false" ht="15" hidden="false" customHeight="false" outlineLevel="0" collapsed="false">
      <c r="C329" s="310"/>
      <c r="D329" s="310"/>
      <c r="E329" s="70"/>
      <c r="F329" s="379"/>
      <c r="G329" s="387"/>
    </row>
    <row r="330" customFormat="false" ht="15" hidden="false" customHeight="false" outlineLevel="0" collapsed="false">
      <c r="C330" s="310"/>
      <c r="D330" s="310"/>
      <c r="E330" s="70"/>
      <c r="F330" s="379"/>
      <c r="G330" s="387"/>
    </row>
    <row r="331" customFormat="false" ht="15" hidden="false" customHeight="false" outlineLevel="0" collapsed="false">
      <c r="C331" s="310"/>
      <c r="D331" s="310"/>
      <c r="E331" s="70"/>
      <c r="F331" s="379"/>
      <c r="G331" s="387"/>
    </row>
    <row r="332" customFormat="false" ht="15" hidden="false" customHeight="false" outlineLevel="0" collapsed="false">
      <c r="C332" s="310"/>
      <c r="D332" s="310"/>
      <c r="E332" s="70"/>
      <c r="F332" s="379"/>
      <c r="G332" s="387"/>
    </row>
    <row r="333" customFormat="false" ht="15" hidden="false" customHeight="false" outlineLevel="0" collapsed="false">
      <c r="C333" s="310"/>
      <c r="D333" s="310"/>
      <c r="E333" s="70"/>
      <c r="F333" s="379"/>
      <c r="G333" s="387"/>
    </row>
    <row r="334" customFormat="false" ht="15" hidden="false" customHeight="false" outlineLevel="0" collapsed="false">
      <c r="C334" s="310"/>
      <c r="D334" s="310"/>
      <c r="E334" s="70"/>
      <c r="F334" s="379"/>
      <c r="G334" s="387"/>
    </row>
    <row r="335" customFormat="false" ht="15" hidden="false" customHeight="false" outlineLevel="0" collapsed="false">
      <c r="C335" s="310"/>
      <c r="D335" s="310"/>
      <c r="E335" s="70"/>
      <c r="F335" s="379"/>
      <c r="G335" s="387"/>
    </row>
    <row r="336" customFormat="false" ht="15" hidden="false" customHeight="false" outlineLevel="0" collapsed="false">
      <c r="C336" s="310"/>
      <c r="D336" s="310"/>
      <c r="E336" s="70"/>
      <c r="F336" s="379"/>
      <c r="G336" s="387"/>
    </row>
    <row r="337" customFormat="false" ht="15" hidden="false" customHeight="false" outlineLevel="0" collapsed="false">
      <c r="C337" s="310"/>
      <c r="D337" s="310"/>
      <c r="E337" s="70"/>
      <c r="F337" s="379"/>
      <c r="G337" s="387"/>
    </row>
    <row r="338" customFormat="false" ht="15" hidden="false" customHeight="false" outlineLevel="0" collapsed="false">
      <c r="C338" s="310"/>
      <c r="D338" s="310"/>
      <c r="E338" s="70"/>
      <c r="F338" s="379"/>
      <c r="G338" s="387"/>
    </row>
    <row r="339" customFormat="false" ht="15" hidden="false" customHeight="false" outlineLevel="0" collapsed="false">
      <c r="C339" s="310"/>
      <c r="D339" s="310"/>
      <c r="E339" s="70"/>
      <c r="F339" s="379"/>
      <c r="G339" s="387"/>
    </row>
    <row r="340" customFormat="false" ht="15" hidden="false" customHeight="false" outlineLevel="0" collapsed="false">
      <c r="C340" s="310"/>
      <c r="D340" s="310"/>
      <c r="E340" s="70"/>
      <c r="F340" s="379"/>
      <c r="G340" s="387"/>
    </row>
    <row r="341" customFormat="false" ht="15" hidden="false" customHeight="false" outlineLevel="0" collapsed="false">
      <c r="C341" s="310"/>
      <c r="D341" s="310"/>
      <c r="E341" s="70"/>
      <c r="F341" s="379"/>
      <c r="G341" s="387"/>
    </row>
    <row r="342" customFormat="false" ht="15" hidden="false" customHeight="false" outlineLevel="0" collapsed="false">
      <c r="C342" s="310"/>
      <c r="D342" s="310"/>
      <c r="E342" s="70"/>
      <c r="F342" s="379"/>
      <c r="G342" s="387"/>
    </row>
    <row r="343" customFormat="false" ht="15" hidden="false" customHeight="false" outlineLevel="0" collapsed="false">
      <c r="C343" s="310"/>
      <c r="D343" s="310"/>
      <c r="E343" s="70"/>
      <c r="F343" s="379"/>
      <c r="G343" s="387"/>
    </row>
    <row r="344" customFormat="false" ht="15" hidden="false" customHeight="false" outlineLevel="0" collapsed="false">
      <c r="C344" s="310"/>
      <c r="D344" s="310"/>
      <c r="E344" s="70"/>
      <c r="F344" s="379"/>
      <c r="G344" s="387"/>
    </row>
    <row r="345" customFormat="false" ht="15" hidden="false" customHeight="false" outlineLevel="0" collapsed="false">
      <c r="C345" s="310"/>
      <c r="D345" s="310"/>
      <c r="E345" s="70"/>
      <c r="F345" s="379"/>
      <c r="G345" s="387"/>
    </row>
    <row r="346" customFormat="false" ht="15" hidden="false" customHeight="false" outlineLevel="0" collapsed="false">
      <c r="C346" s="310"/>
      <c r="D346" s="310"/>
      <c r="E346" s="70"/>
      <c r="F346" s="379"/>
      <c r="G346" s="387"/>
    </row>
    <row r="347" customFormat="false" ht="15" hidden="false" customHeight="false" outlineLevel="0" collapsed="false">
      <c r="C347" s="310"/>
      <c r="D347" s="310"/>
      <c r="E347" s="70"/>
      <c r="F347" s="379"/>
      <c r="G347" s="387"/>
    </row>
    <row r="348" customFormat="false" ht="15" hidden="false" customHeight="false" outlineLevel="0" collapsed="false">
      <c r="C348" s="310"/>
      <c r="D348" s="310"/>
      <c r="E348" s="70"/>
      <c r="F348" s="379"/>
      <c r="G348" s="387"/>
    </row>
    <row r="349" customFormat="false" ht="15" hidden="false" customHeight="false" outlineLevel="0" collapsed="false">
      <c r="C349" s="310"/>
      <c r="D349" s="310"/>
      <c r="E349" s="70"/>
      <c r="F349" s="379"/>
      <c r="G349" s="387"/>
    </row>
    <row r="350" customFormat="false" ht="15" hidden="false" customHeight="false" outlineLevel="0" collapsed="false">
      <c r="C350" s="310"/>
      <c r="D350" s="310"/>
      <c r="E350" s="70"/>
      <c r="F350" s="379"/>
      <c r="G350" s="387"/>
    </row>
    <row r="351" customFormat="false" ht="15" hidden="false" customHeight="false" outlineLevel="0" collapsed="false">
      <c r="C351" s="310"/>
      <c r="D351" s="310"/>
      <c r="E351" s="70"/>
      <c r="F351" s="379"/>
      <c r="G351" s="387"/>
    </row>
    <row r="352" customFormat="false" ht="15" hidden="false" customHeight="false" outlineLevel="0" collapsed="false">
      <c r="C352" s="310"/>
      <c r="D352" s="310"/>
      <c r="E352" s="70"/>
      <c r="F352" s="379"/>
      <c r="G352" s="387"/>
    </row>
    <row r="353" customFormat="false" ht="15" hidden="false" customHeight="false" outlineLevel="0" collapsed="false">
      <c r="C353" s="310"/>
      <c r="D353" s="310"/>
      <c r="E353" s="70"/>
      <c r="F353" s="379"/>
      <c r="G353" s="387"/>
    </row>
    <row r="354" customFormat="false" ht="15" hidden="false" customHeight="false" outlineLevel="0" collapsed="false">
      <c r="C354" s="310"/>
      <c r="D354" s="310"/>
      <c r="E354" s="70"/>
      <c r="F354" s="379"/>
      <c r="G354" s="387"/>
    </row>
    <row r="355" customFormat="false" ht="15" hidden="false" customHeight="false" outlineLevel="0" collapsed="false">
      <c r="C355" s="310"/>
      <c r="D355" s="310"/>
      <c r="E355" s="70"/>
      <c r="F355" s="379"/>
      <c r="G355" s="387"/>
    </row>
    <row r="356" customFormat="false" ht="15" hidden="false" customHeight="false" outlineLevel="0" collapsed="false">
      <c r="C356" s="310"/>
      <c r="D356" s="310"/>
      <c r="E356" s="70"/>
      <c r="F356" s="379"/>
      <c r="G356" s="387"/>
    </row>
    <row r="357" customFormat="false" ht="15" hidden="false" customHeight="false" outlineLevel="0" collapsed="false">
      <c r="C357" s="310"/>
      <c r="D357" s="310"/>
      <c r="E357" s="70"/>
      <c r="F357" s="379"/>
      <c r="G357" s="387"/>
    </row>
    <row r="358" customFormat="false" ht="15" hidden="false" customHeight="false" outlineLevel="0" collapsed="false">
      <c r="C358" s="310"/>
      <c r="D358" s="310"/>
      <c r="E358" s="70"/>
      <c r="F358" s="379"/>
      <c r="G358" s="387"/>
    </row>
    <row r="359" customFormat="false" ht="15" hidden="false" customHeight="false" outlineLevel="0" collapsed="false">
      <c r="C359" s="310"/>
      <c r="D359" s="310"/>
      <c r="E359" s="70"/>
      <c r="F359" s="379"/>
      <c r="G359" s="387"/>
    </row>
    <row r="360" customFormat="false" ht="15" hidden="false" customHeight="false" outlineLevel="0" collapsed="false">
      <c r="C360" s="310"/>
      <c r="D360" s="310"/>
      <c r="E360" s="70"/>
      <c r="F360" s="379"/>
      <c r="G360" s="387"/>
    </row>
    <row r="361" customFormat="false" ht="15" hidden="false" customHeight="false" outlineLevel="0" collapsed="false">
      <c r="C361" s="310"/>
      <c r="D361" s="310"/>
      <c r="E361" s="70"/>
      <c r="F361" s="379"/>
      <c r="G361" s="387"/>
    </row>
    <row r="362" customFormat="false" ht="15" hidden="false" customHeight="false" outlineLevel="0" collapsed="false">
      <c r="C362" s="310"/>
      <c r="D362" s="310"/>
      <c r="E362" s="70"/>
      <c r="F362" s="379"/>
      <c r="G362" s="387"/>
    </row>
    <row r="363" customFormat="false" ht="15" hidden="false" customHeight="false" outlineLevel="0" collapsed="false">
      <c r="C363" s="310"/>
      <c r="D363" s="310"/>
      <c r="E363" s="70"/>
      <c r="F363" s="379"/>
      <c r="G363" s="387"/>
    </row>
    <row r="364" customFormat="false" ht="15" hidden="false" customHeight="false" outlineLevel="0" collapsed="false">
      <c r="C364" s="310"/>
      <c r="D364" s="310"/>
      <c r="E364" s="70"/>
      <c r="F364" s="379"/>
      <c r="G364" s="387"/>
    </row>
    <row r="365" customFormat="false" ht="15" hidden="false" customHeight="false" outlineLevel="0" collapsed="false">
      <c r="C365" s="310"/>
      <c r="D365" s="310"/>
      <c r="E365" s="70"/>
      <c r="F365" s="379"/>
      <c r="G365" s="387"/>
    </row>
    <row r="366" customFormat="false" ht="15" hidden="false" customHeight="false" outlineLevel="0" collapsed="false">
      <c r="C366" s="310"/>
      <c r="D366" s="310"/>
      <c r="E366" s="70"/>
      <c r="F366" s="379"/>
      <c r="G366" s="387"/>
    </row>
    <row r="367" customFormat="false" ht="15" hidden="false" customHeight="false" outlineLevel="0" collapsed="false">
      <c r="C367" s="310"/>
      <c r="D367" s="310"/>
      <c r="E367" s="70"/>
      <c r="F367" s="379"/>
      <c r="G367" s="387"/>
    </row>
    <row r="368" customFormat="false" ht="15" hidden="false" customHeight="false" outlineLevel="0" collapsed="false">
      <c r="C368" s="310"/>
      <c r="D368" s="310"/>
      <c r="E368" s="70"/>
      <c r="F368" s="379"/>
      <c r="G368" s="387"/>
    </row>
    <row r="369" customFormat="false" ht="15" hidden="false" customHeight="false" outlineLevel="0" collapsed="false">
      <c r="C369" s="310"/>
      <c r="D369" s="310"/>
      <c r="E369" s="70"/>
      <c r="F369" s="379"/>
      <c r="G369" s="387"/>
    </row>
    <row r="370" customFormat="false" ht="15" hidden="false" customHeight="false" outlineLevel="0" collapsed="false">
      <c r="C370" s="310"/>
      <c r="D370" s="310"/>
      <c r="E370" s="70"/>
      <c r="F370" s="379"/>
      <c r="G370" s="387"/>
    </row>
    <row r="371" customFormat="false" ht="15" hidden="false" customHeight="false" outlineLevel="0" collapsed="false">
      <c r="C371" s="310"/>
      <c r="D371" s="310"/>
      <c r="E371" s="70"/>
      <c r="F371" s="379"/>
      <c r="G371" s="387"/>
    </row>
    <row r="372" customFormat="false" ht="15" hidden="false" customHeight="false" outlineLevel="0" collapsed="false">
      <c r="C372" s="310"/>
      <c r="D372" s="310"/>
      <c r="E372" s="70"/>
      <c r="F372" s="379"/>
      <c r="G372" s="387"/>
    </row>
    <row r="373" customFormat="false" ht="15" hidden="false" customHeight="false" outlineLevel="0" collapsed="false">
      <c r="C373" s="310"/>
      <c r="D373" s="310"/>
      <c r="E373" s="70"/>
      <c r="F373" s="379"/>
      <c r="G373" s="387"/>
    </row>
    <row r="374" customFormat="false" ht="15" hidden="false" customHeight="false" outlineLevel="0" collapsed="false">
      <c r="C374" s="310"/>
      <c r="D374" s="310"/>
      <c r="E374" s="70"/>
      <c r="F374" s="379"/>
      <c r="G374" s="387"/>
    </row>
    <row r="375" customFormat="false" ht="15" hidden="false" customHeight="false" outlineLevel="0" collapsed="false">
      <c r="C375" s="310"/>
      <c r="D375" s="310"/>
      <c r="E375" s="70"/>
      <c r="F375" s="379"/>
      <c r="G375" s="387"/>
    </row>
    <row r="376" customFormat="false" ht="15" hidden="false" customHeight="false" outlineLevel="0" collapsed="false">
      <c r="C376" s="310"/>
      <c r="D376" s="310"/>
      <c r="E376" s="70"/>
      <c r="F376" s="379"/>
      <c r="G376" s="387"/>
    </row>
    <row r="377" customFormat="false" ht="15" hidden="false" customHeight="false" outlineLevel="0" collapsed="false">
      <c r="C377" s="310"/>
      <c r="D377" s="310"/>
      <c r="E377" s="70"/>
      <c r="F377" s="379"/>
      <c r="G377" s="387"/>
    </row>
    <row r="378" customFormat="false" ht="15" hidden="false" customHeight="false" outlineLevel="0" collapsed="false">
      <c r="C378" s="310"/>
      <c r="D378" s="310"/>
      <c r="E378" s="70"/>
      <c r="F378" s="379"/>
      <c r="G378" s="387"/>
    </row>
    <row r="379" customFormat="false" ht="15" hidden="false" customHeight="false" outlineLevel="0" collapsed="false">
      <c r="C379" s="310"/>
      <c r="D379" s="310"/>
      <c r="E379" s="70"/>
      <c r="F379" s="379"/>
      <c r="G379" s="387"/>
    </row>
    <row r="380" customFormat="false" ht="15" hidden="false" customHeight="false" outlineLevel="0" collapsed="false">
      <c r="C380" s="310"/>
      <c r="D380" s="310"/>
      <c r="E380" s="70"/>
      <c r="F380" s="379"/>
      <c r="G380" s="387"/>
    </row>
    <row r="381" customFormat="false" ht="15" hidden="false" customHeight="false" outlineLevel="0" collapsed="false">
      <c r="C381" s="310"/>
      <c r="D381" s="310"/>
      <c r="E381" s="70"/>
      <c r="F381" s="379"/>
      <c r="G381" s="387"/>
    </row>
    <row r="382" customFormat="false" ht="15" hidden="false" customHeight="false" outlineLevel="0" collapsed="false">
      <c r="C382" s="310"/>
      <c r="D382" s="310"/>
      <c r="E382" s="70"/>
      <c r="F382" s="379"/>
      <c r="G382" s="387"/>
    </row>
    <row r="383" customFormat="false" ht="15" hidden="false" customHeight="false" outlineLevel="0" collapsed="false">
      <c r="C383" s="310"/>
      <c r="D383" s="310"/>
      <c r="E383" s="70"/>
      <c r="F383" s="379"/>
      <c r="G383" s="387"/>
    </row>
    <row r="384" customFormat="false" ht="15" hidden="false" customHeight="false" outlineLevel="0" collapsed="false">
      <c r="C384" s="310"/>
      <c r="D384" s="310"/>
      <c r="E384" s="70"/>
      <c r="F384" s="379"/>
      <c r="G384" s="387"/>
    </row>
    <row r="385" customFormat="false" ht="15" hidden="false" customHeight="false" outlineLevel="0" collapsed="false">
      <c r="C385" s="310"/>
      <c r="D385" s="310"/>
      <c r="E385" s="70"/>
      <c r="F385" s="379"/>
      <c r="G385" s="387"/>
    </row>
    <row r="386" customFormat="false" ht="15" hidden="false" customHeight="false" outlineLevel="0" collapsed="false">
      <c r="C386" s="310"/>
      <c r="D386" s="310"/>
      <c r="E386" s="70"/>
      <c r="F386" s="379"/>
      <c r="G386" s="387"/>
    </row>
    <row r="387" customFormat="false" ht="15" hidden="false" customHeight="false" outlineLevel="0" collapsed="false">
      <c r="C387" s="310"/>
      <c r="D387" s="310"/>
      <c r="E387" s="70"/>
      <c r="F387" s="379"/>
      <c r="G387" s="387"/>
    </row>
    <row r="388" customFormat="false" ht="15" hidden="false" customHeight="false" outlineLevel="0" collapsed="false">
      <c r="C388" s="310"/>
      <c r="D388" s="310"/>
      <c r="E388" s="70"/>
      <c r="F388" s="379"/>
      <c r="G388" s="387"/>
    </row>
    <row r="389" customFormat="false" ht="15" hidden="false" customHeight="false" outlineLevel="0" collapsed="false">
      <c r="C389" s="310"/>
      <c r="D389" s="310"/>
      <c r="E389" s="70"/>
      <c r="F389" s="379"/>
      <c r="G389" s="387"/>
    </row>
    <row r="390" customFormat="false" ht="15" hidden="false" customHeight="false" outlineLevel="0" collapsed="false">
      <c r="C390" s="310"/>
      <c r="D390" s="310"/>
      <c r="E390" s="70"/>
      <c r="F390" s="379"/>
      <c r="G390" s="387"/>
    </row>
    <row r="391" customFormat="false" ht="15" hidden="false" customHeight="false" outlineLevel="0" collapsed="false">
      <c r="C391" s="310"/>
      <c r="D391" s="310"/>
      <c r="E391" s="70"/>
      <c r="F391" s="379"/>
      <c r="G391" s="387"/>
    </row>
    <row r="392" customFormat="false" ht="15" hidden="false" customHeight="false" outlineLevel="0" collapsed="false">
      <c r="C392" s="310"/>
      <c r="D392" s="310"/>
      <c r="E392" s="70"/>
      <c r="F392" s="379"/>
      <c r="G392" s="387"/>
    </row>
    <row r="393" customFormat="false" ht="15" hidden="false" customHeight="false" outlineLevel="0" collapsed="false">
      <c r="C393" s="310"/>
      <c r="D393" s="310"/>
      <c r="E393" s="70"/>
      <c r="F393" s="379"/>
      <c r="G393" s="387"/>
    </row>
    <row r="394" customFormat="false" ht="15" hidden="false" customHeight="false" outlineLevel="0" collapsed="false">
      <c r="C394" s="310"/>
      <c r="D394" s="310"/>
      <c r="E394" s="70"/>
      <c r="F394" s="379"/>
      <c r="G394" s="387"/>
    </row>
    <row r="395" customFormat="false" ht="15" hidden="false" customHeight="false" outlineLevel="0" collapsed="false">
      <c r="C395" s="310"/>
      <c r="D395" s="310"/>
      <c r="E395" s="70"/>
      <c r="F395" s="379"/>
      <c r="G395" s="387"/>
    </row>
    <row r="396" customFormat="false" ht="15" hidden="false" customHeight="false" outlineLevel="0" collapsed="false">
      <c r="C396" s="310"/>
      <c r="D396" s="310"/>
      <c r="E396" s="70"/>
      <c r="F396" s="379"/>
      <c r="G396" s="387"/>
    </row>
    <row r="397" customFormat="false" ht="15" hidden="false" customHeight="false" outlineLevel="0" collapsed="false">
      <c r="C397" s="310"/>
      <c r="D397" s="310"/>
      <c r="E397" s="70"/>
      <c r="F397" s="379"/>
      <c r="G397" s="387"/>
    </row>
    <row r="398" customFormat="false" ht="15" hidden="false" customHeight="false" outlineLevel="0" collapsed="false">
      <c r="C398" s="310"/>
      <c r="D398" s="310"/>
      <c r="E398" s="70"/>
      <c r="F398" s="379"/>
      <c r="G398" s="387"/>
    </row>
    <row r="399" customFormat="false" ht="15" hidden="false" customHeight="false" outlineLevel="0" collapsed="false">
      <c r="C399" s="310"/>
      <c r="D399" s="310"/>
      <c r="E399" s="70"/>
      <c r="F399" s="379"/>
      <c r="G399" s="387"/>
    </row>
    <row r="400" customFormat="false" ht="15" hidden="false" customHeight="false" outlineLevel="0" collapsed="false">
      <c r="C400" s="310"/>
      <c r="D400" s="310"/>
      <c r="E400" s="70"/>
      <c r="F400" s="379"/>
      <c r="G400" s="387"/>
    </row>
    <row r="401" customFormat="false" ht="15" hidden="false" customHeight="false" outlineLevel="0" collapsed="false">
      <c r="C401" s="310"/>
      <c r="D401" s="310"/>
      <c r="E401" s="70"/>
      <c r="F401" s="379"/>
      <c r="G401" s="387"/>
    </row>
    <row r="402" customFormat="false" ht="15" hidden="false" customHeight="false" outlineLevel="0" collapsed="false">
      <c r="C402" s="310"/>
      <c r="D402" s="310"/>
      <c r="E402" s="70"/>
      <c r="F402" s="379"/>
      <c r="G402" s="387"/>
    </row>
    <row r="403" customFormat="false" ht="15" hidden="false" customHeight="false" outlineLevel="0" collapsed="false">
      <c r="C403" s="310"/>
      <c r="D403" s="310"/>
      <c r="E403" s="70"/>
      <c r="F403" s="379"/>
      <c r="G403" s="387"/>
    </row>
    <row r="404" customFormat="false" ht="15" hidden="false" customHeight="false" outlineLevel="0" collapsed="false">
      <c r="C404" s="310"/>
      <c r="D404" s="310"/>
      <c r="E404" s="70"/>
      <c r="F404" s="379"/>
      <c r="G404" s="387"/>
    </row>
    <row r="405" customFormat="false" ht="15" hidden="false" customHeight="false" outlineLevel="0" collapsed="false">
      <c r="C405" s="310"/>
      <c r="D405" s="310"/>
      <c r="E405" s="70"/>
      <c r="F405" s="379"/>
      <c r="G405" s="387"/>
    </row>
    <row r="406" customFormat="false" ht="15" hidden="false" customHeight="false" outlineLevel="0" collapsed="false">
      <c r="C406" s="310"/>
      <c r="D406" s="310"/>
      <c r="E406" s="70"/>
      <c r="F406" s="379"/>
      <c r="G406" s="387"/>
    </row>
    <row r="407" customFormat="false" ht="15" hidden="false" customHeight="false" outlineLevel="0" collapsed="false">
      <c r="C407" s="310"/>
      <c r="D407" s="310"/>
      <c r="E407" s="70"/>
      <c r="F407" s="379"/>
      <c r="G407" s="387"/>
    </row>
    <row r="408" customFormat="false" ht="15" hidden="false" customHeight="false" outlineLevel="0" collapsed="false">
      <c r="C408" s="310"/>
      <c r="D408" s="310"/>
      <c r="E408" s="70"/>
      <c r="F408" s="379"/>
      <c r="G408" s="387"/>
    </row>
    <row r="409" customFormat="false" ht="15" hidden="false" customHeight="false" outlineLevel="0" collapsed="false">
      <c r="C409" s="310"/>
      <c r="D409" s="310"/>
      <c r="E409" s="70"/>
      <c r="F409" s="379"/>
      <c r="G409" s="387"/>
    </row>
    <row r="410" customFormat="false" ht="15" hidden="false" customHeight="false" outlineLevel="0" collapsed="false">
      <c r="C410" s="310"/>
      <c r="D410" s="310"/>
      <c r="E410" s="70"/>
      <c r="F410" s="379"/>
      <c r="G410" s="387"/>
    </row>
    <row r="411" customFormat="false" ht="15" hidden="false" customHeight="false" outlineLevel="0" collapsed="false">
      <c r="C411" s="310"/>
      <c r="D411" s="310"/>
      <c r="E411" s="70"/>
      <c r="F411" s="379"/>
      <c r="G411" s="387"/>
    </row>
    <row r="412" customFormat="false" ht="15" hidden="false" customHeight="false" outlineLevel="0" collapsed="false">
      <c r="C412" s="310"/>
      <c r="D412" s="310"/>
      <c r="E412" s="70"/>
      <c r="F412" s="379"/>
      <c r="G412" s="387"/>
    </row>
    <row r="413" customFormat="false" ht="15" hidden="false" customHeight="false" outlineLevel="0" collapsed="false">
      <c r="C413" s="310"/>
      <c r="D413" s="310"/>
      <c r="E413" s="70"/>
      <c r="F413" s="379"/>
      <c r="G413" s="387"/>
    </row>
    <row r="414" customFormat="false" ht="15" hidden="false" customHeight="false" outlineLevel="0" collapsed="false">
      <c r="C414" s="310"/>
      <c r="D414" s="310"/>
      <c r="E414" s="70"/>
      <c r="F414" s="379"/>
      <c r="G414" s="387"/>
    </row>
    <row r="415" customFormat="false" ht="15" hidden="false" customHeight="false" outlineLevel="0" collapsed="false">
      <c r="C415" s="310"/>
      <c r="D415" s="310"/>
      <c r="E415" s="70"/>
      <c r="F415" s="379"/>
      <c r="G415" s="387"/>
    </row>
    <row r="416" customFormat="false" ht="15" hidden="false" customHeight="false" outlineLevel="0" collapsed="false">
      <c r="C416" s="310"/>
      <c r="D416" s="310"/>
      <c r="E416" s="70"/>
      <c r="F416" s="379"/>
      <c r="G416" s="387"/>
    </row>
    <row r="417" customFormat="false" ht="15" hidden="false" customHeight="false" outlineLevel="0" collapsed="false">
      <c r="C417" s="310"/>
      <c r="D417" s="310"/>
      <c r="E417" s="70"/>
      <c r="F417" s="379"/>
      <c r="G417" s="387"/>
    </row>
    <row r="418" customFormat="false" ht="15" hidden="false" customHeight="false" outlineLevel="0" collapsed="false">
      <c r="C418" s="310"/>
      <c r="D418" s="310"/>
      <c r="E418" s="70"/>
      <c r="F418" s="379"/>
      <c r="G418" s="387"/>
    </row>
    <row r="419" customFormat="false" ht="15" hidden="false" customHeight="false" outlineLevel="0" collapsed="false">
      <c r="C419" s="310"/>
      <c r="D419" s="310"/>
      <c r="E419" s="70"/>
      <c r="F419" s="379"/>
      <c r="G419" s="387"/>
    </row>
    <row r="420" customFormat="false" ht="15" hidden="false" customHeight="false" outlineLevel="0" collapsed="false">
      <c r="C420" s="310"/>
      <c r="D420" s="310"/>
      <c r="E420" s="70"/>
      <c r="F420" s="379"/>
      <c r="G420" s="387"/>
    </row>
    <row r="421" customFormat="false" ht="15" hidden="false" customHeight="false" outlineLevel="0" collapsed="false">
      <c r="C421" s="310"/>
      <c r="D421" s="310"/>
      <c r="E421" s="70"/>
      <c r="F421" s="379"/>
      <c r="G421" s="387"/>
    </row>
    <row r="422" customFormat="false" ht="15" hidden="false" customHeight="false" outlineLevel="0" collapsed="false">
      <c r="C422" s="310"/>
      <c r="D422" s="310"/>
      <c r="E422" s="70"/>
      <c r="F422" s="379"/>
      <c r="G422" s="387"/>
    </row>
    <row r="423" customFormat="false" ht="15" hidden="false" customHeight="false" outlineLevel="0" collapsed="false">
      <c r="C423" s="310"/>
      <c r="D423" s="310"/>
      <c r="E423" s="70"/>
      <c r="F423" s="379"/>
      <c r="G423" s="387"/>
    </row>
    <row r="424" customFormat="false" ht="15" hidden="false" customHeight="false" outlineLevel="0" collapsed="false">
      <c r="C424" s="310"/>
      <c r="D424" s="310"/>
      <c r="E424" s="70"/>
      <c r="F424" s="379"/>
      <c r="G424" s="387"/>
    </row>
    <row r="425" customFormat="false" ht="15" hidden="false" customHeight="false" outlineLevel="0" collapsed="false">
      <c r="C425" s="310"/>
      <c r="D425" s="310"/>
      <c r="E425" s="70"/>
      <c r="F425" s="379"/>
      <c r="G425" s="387"/>
    </row>
    <row r="426" customFormat="false" ht="15" hidden="false" customHeight="false" outlineLevel="0" collapsed="false">
      <c r="C426" s="310"/>
      <c r="D426" s="310"/>
      <c r="E426" s="70"/>
      <c r="F426" s="379"/>
      <c r="G426" s="387"/>
    </row>
    <row r="427" customFormat="false" ht="15" hidden="false" customHeight="false" outlineLevel="0" collapsed="false">
      <c r="C427" s="310"/>
      <c r="D427" s="310"/>
      <c r="E427" s="70"/>
      <c r="F427" s="379"/>
      <c r="G427" s="387"/>
    </row>
    <row r="428" customFormat="false" ht="15" hidden="false" customHeight="false" outlineLevel="0" collapsed="false">
      <c r="C428" s="310"/>
      <c r="D428" s="310"/>
      <c r="E428" s="70"/>
      <c r="F428" s="379"/>
      <c r="G428" s="387"/>
    </row>
    <row r="429" customFormat="false" ht="15" hidden="false" customHeight="false" outlineLevel="0" collapsed="false">
      <c r="C429" s="310"/>
      <c r="D429" s="310"/>
      <c r="E429" s="70"/>
      <c r="F429" s="379"/>
      <c r="G429" s="387"/>
    </row>
    <row r="430" customFormat="false" ht="15" hidden="false" customHeight="false" outlineLevel="0" collapsed="false">
      <c r="C430" s="310"/>
      <c r="D430" s="310"/>
      <c r="E430" s="70"/>
      <c r="F430" s="379"/>
      <c r="G430" s="387"/>
    </row>
    <row r="431" customFormat="false" ht="15" hidden="false" customHeight="false" outlineLevel="0" collapsed="false">
      <c r="C431" s="310"/>
      <c r="D431" s="310"/>
      <c r="E431" s="70"/>
      <c r="F431" s="379"/>
      <c r="G431" s="387"/>
    </row>
    <row r="432" customFormat="false" ht="15" hidden="false" customHeight="false" outlineLevel="0" collapsed="false">
      <c r="C432" s="310"/>
      <c r="D432" s="310"/>
      <c r="E432" s="70"/>
      <c r="F432" s="379"/>
      <c r="G432" s="387"/>
    </row>
    <row r="433" customFormat="false" ht="15" hidden="false" customHeight="false" outlineLevel="0" collapsed="false">
      <c r="C433" s="310"/>
      <c r="D433" s="310"/>
      <c r="E433" s="70"/>
      <c r="F433" s="379"/>
      <c r="G433" s="387"/>
    </row>
    <row r="434" customFormat="false" ht="15" hidden="false" customHeight="false" outlineLevel="0" collapsed="false">
      <c r="C434" s="310"/>
      <c r="D434" s="310"/>
      <c r="E434" s="70"/>
      <c r="F434" s="379"/>
      <c r="G434" s="387"/>
    </row>
    <row r="435" customFormat="false" ht="15" hidden="false" customHeight="false" outlineLevel="0" collapsed="false">
      <c r="C435" s="310"/>
      <c r="D435" s="310"/>
      <c r="E435" s="70"/>
      <c r="F435" s="379"/>
      <c r="G435" s="387"/>
    </row>
    <row r="436" customFormat="false" ht="15" hidden="false" customHeight="false" outlineLevel="0" collapsed="false">
      <c r="C436" s="310"/>
      <c r="D436" s="310"/>
      <c r="E436" s="70"/>
      <c r="F436" s="379"/>
      <c r="G436" s="387"/>
    </row>
    <row r="437" customFormat="false" ht="15" hidden="false" customHeight="false" outlineLevel="0" collapsed="false">
      <c r="C437" s="310"/>
      <c r="D437" s="310"/>
      <c r="E437" s="70"/>
      <c r="F437" s="379"/>
      <c r="G437" s="387"/>
    </row>
    <row r="438" customFormat="false" ht="15" hidden="false" customHeight="false" outlineLevel="0" collapsed="false">
      <c r="C438" s="310"/>
      <c r="D438" s="310"/>
      <c r="E438" s="70"/>
      <c r="F438" s="379"/>
      <c r="G438" s="387"/>
    </row>
    <row r="439" customFormat="false" ht="15" hidden="false" customHeight="false" outlineLevel="0" collapsed="false">
      <c r="C439" s="310"/>
      <c r="D439" s="310"/>
      <c r="E439" s="70"/>
      <c r="F439" s="379"/>
      <c r="G439" s="387"/>
    </row>
    <row r="440" customFormat="false" ht="15" hidden="false" customHeight="false" outlineLevel="0" collapsed="false">
      <c r="C440" s="310"/>
      <c r="D440" s="310"/>
      <c r="E440" s="70"/>
      <c r="F440" s="379"/>
      <c r="G440" s="387"/>
    </row>
    <row r="441" customFormat="false" ht="15" hidden="false" customHeight="false" outlineLevel="0" collapsed="false">
      <c r="C441" s="310"/>
      <c r="D441" s="310"/>
      <c r="E441" s="70"/>
      <c r="F441" s="379"/>
      <c r="G441" s="387"/>
    </row>
    <row r="442" customFormat="false" ht="15" hidden="false" customHeight="false" outlineLevel="0" collapsed="false">
      <c r="C442" s="310"/>
      <c r="D442" s="310"/>
      <c r="E442" s="70"/>
      <c r="F442" s="379"/>
      <c r="G442" s="387"/>
    </row>
    <row r="443" customFormat="false" ht="15" hidden="false" customHeight="false" outlineLevel="0" collapsed="false">
      <c r="C443" s="310"/>
      <c r="D443" s="310"/>
      <c r="E443" s="70"/>
      <c r="F443" s="379"/>
      <c r="G443" s="387"/>
    </row>
    <row r="444" customFormat="false" ht="15" hidden="false" customHeight="false" outlineLevel="0" collapsed="false">
      <c r="C444" s="310"/>
      <c r="D444" s="310"/>
      <c r="E444" s="70"/>
      <c r="F444" s="379"/>
      <c r="G444" s="387"/>
    </row>
    <row r="445" customFormat="false" ht="15" hidden="false" customHeight="false" outlineLevel="0" collapsed="false">
      <c r="C445" s="310"/>
      <c r="D445" s="310"/>
      <c r="E445" s="70"/>
      <c r="F445" s="379"/>
      <c r="G445" s="387"/>
    </row>
    <row r="446" customFormat="false" ht="15" hidden="false" customHeight="false" outlineLevel="0" collapsed="false">
      <c r="C446" s="310"/>
      <c r="D446" s="310"/>
      <c r="E446" s="70"/>
      <c r="F446" s="379"/>
      <c r="G446" s="387"/>
    </row>
    <row r="447" customFormat="false" ht="15" hidden="false" customHeight="false" outlineLevel="0" collapsed="false">
      <c r="C447" s="310"/>
      <c r="D447" s="310"/>
      <c r="E447" s="70"/>
      <c r="F447" s="379"/>
      <c r="G447" s="387"/>
    </row>
    <row r="448" customFormat="false" ht="15" hidden="false" customHeight="false" outlineLevel="0" collapsed="false">
      <c r="C448" s="310"/>
      <c r="D448" s="310"/>
      <c r="E448" s="70"/>
      <c r="F448" s="379"/>
      <c r="G448" s="387"/>
    </row>
    <row r="449" customFormat="false" ht="15" hidden="false" customHeight="false" outlineLevel="0" collapsed="false">
      <c r="C449" s="310"/>
      <c r="D449" s="310"/>
      <c r="E449" s="70"/>
      <c r="F449" s="379"/>
      <c r="G449" s="387"/>
    </row>
    <row r="450" customFormat="false" ht="15" hidden="false" customHeight="false" outlineLevel="0" collapsed="false">
      <c r="C450" s="310"/>
      <c r="D450" s="310"/>
      <c r="E450" s="70"/>
      <c r="F450" s="379"/>
      <c r="G450" s="387"/>
    </row>
    <row r="451" customFormat="false" ht="15" hidden="false" customHeight="false" outlineLevel="0" collapsed="false">
      <c r="C451" s="310"/>
      <c r="D451" s="310"/>
      <c r="E451" s="70"/>
      <c r="F451" s="379"/>
      <c r="G451" s="387"/>
    </row>
    <row r="452" customFormat="false" ht="15" hidden="false" customHeight="false" outlineLevel="0" collapsed="false">
      <c r="C452" s="310"/>
      <c r="D452" s="310"/>
      <c r="E452" s="70"/>
      <c r="F452" s="379"/>
      <c r="G452" s="387"/>
    </row>
    <row r="453" customFormat="false" ht="15" hidden="false" customHeight="false" outlineLevel="0" collapsed="false">
      <c r="C453" s="310"/>
      <c r="D453" s="310"/>
      <c r="E453" s="70"/>
      <c r="F453" s="379"/>
      <c r="G453" s="387"/>
    </row>
    <row r="454" customFormat="false" ht="15" hidden="false" customHeight="false" outlineLevel="0" collapsed="false">
      <c r="C454" s="310"/>
      <c r="D454" s="310"/>
      <c r="E454" s="70"/>
      <c r="F454" s="379"/>
      <c r="G454" s="387"/>
    </row>
    <row r="455" customFormat="false" ht="15" hidden="false" customHeight="false" outlineLevel="0" collapsed="false">
      <c r="C455" s="310"/>
      <c r="D455" s="310"/>
      <c r="E455" s="70"/>
      <c r="F455" s="379"/>
      <c r="G455" s="387"/>
    </row>
    <row r="456" customFormat="false" ht="15" hidden="false" customHeight="false" outlineLevel="0" collapsed="false">
      <c r="C456" s="310"/>
      <c r="D456" s="310"/>
      <c r="E456" s="70"/>
      <c r="F456" s="379"/>
      <c r="G456" s="387"/>
    </row>
    <row r="457" customFormat="false" ht="15" hidden="false" customHeight="false" outlineLevel="0" collapsed="false">
      <c r="C457" s="310"/>
      <c r="D457" s="310"/>
      <c r="E457" s="70"/>
      <c r="F457" s="379"/>
      <c r="G457" s="387"/>
    </row>
    <row r="458" customFormat="false" ht="15" hidden="false" customHeight="false" outlineLevel="0" collapsed="false">
      <c r="C458" s="310"/>
      <c r="D458" s="310"/>
      <c r="E458" s="70"/>
      <c r="F458" s="379"/>
      <c r="G458" s="387"/>
    </row>
    <row r="459" customFormat="false" ht="15" hidden="false" customHeight="false" outlineLevel="0" collapsed="false">
      <c r="C459" s="310"/>
      <c r="D459" s="310"/>
      <c r="E459" s="70"/>
      <c r="F459" s="379"/>
      <c r="G459" s="387"/>
    </row>
    <row r="460" customFormat="false" ht="15" hidden="false" customHeight="false" outlineLevel="0" collapsed="false">
      <c r="C460" s="310"/>
      <c r="D460" s="310"/>
      <c r="E460" s="70"/>
      <c r="F460" s="379"/>
      <c r="G460" s="387"/>
    </row>
    <row r="461" customFormat="false" ht="15" hidden="false" customHeight="false" outlineLevel="0" collapsed="false">
      <c r="C461" s="310"/>
      <c r="D461" s="310"/>
      <c r="E461" s="70"/>
      <c r="F461" s="379"/>
      <c r="G461" s="387"/>
    </row>
    <row r="462" customFormat="false" ht="15" hidden="false" customHeight="false" outlineLevel="0" collapsed="false">
      <c r="C462" s="310"/>
      <c r="D462" s="310"/>
      <c r="E462" s="70"/>
      <c r="F462" s="379"/>
      <c r="G462" s="387"/>
    </row>
    <row r="463" customFormat="false" ht="15" hidden="false" customHeight="false" outlineLevel="0" collapsed="false">
      <c r="C463" s="310"/>
      <c r="D463" s="310"/>
      <c r="E463" s="70"/>
      <c r="F463" s="379"/>
      <c r="G463" s="387"/>
    </row>
    <row r="464" customFormat="false" ht="15" hidden="false" customHeight="false" outlineLevel="0" collapsed="false">
      <c r="C464" s="310"/>
      <c r="D464" s="310"/>
      <c r="E464" s="70"/>
      <c r="F464" s="379"/>
      <c r="G464" s="387"/>
    </row>
    <row r="465" customFormat="false" ht="15" hidden="false" customHeight="false" outlineLevel="0" collapsed="false">
      <c r="C465" s="310"/>
      <c r="D465" s="310"/>
      <c r="E465" s="70"/>
      <c r="F465" s="379"/>
      <c r="G465" s="387"/>
    </row>
    <row r="466" customFormat="false" ht="15" hidden="false" customHeight="false" outlineLevel="0" collapsed="false">
      <c r="C466" s="310"/>
      <c r="D466" s="310"/>
      <c r="E466" s="70"/>
      <c r="F466" s="379"/>
      <c r="G466" s="387"/>
    </row>
    <row r="467" customFormat="false" ht="15" hidden="false" customHeight="false" outlineLevel="0" collapsed="false">
      <c r="C467" s="310"/>
      <c r="D467" s="310"/>
      <c r="E467" s="70"/>
      <c r="F467" s="379"/>
      <c r="G467" s="387"/>
    </row>
    <row r="468" customFormat="false" ht="15" hidden="false" customHeight="false" outlineLevel="0" collapsed="false">
      <c r="C468" s="310"/>
      <c r="D468" s="310"/>
      <c r="E468" s="70"/>
      <c r="F468" s="379"/>
      <c r="G468" s="387"/>
    </row>
    <row r="469" customFormat="false" ht="15" hidden="false" customHeight="false" outlineLevel="0" collapsed="false">
      <c r="C469" s="310"/>
      <c r="D469" s="310"/>
      <c r="E469" s="70"/>
      <c r="F469" s="379"/>
      <c r="G469" s="387"/>
    </row>
    <row r="470" customFormat="false" ht="15" hidden="false" customHeight="false" outlineLevel="0" collapsed="false">
      <c r="C470" s="310"/>
      <c r="D470" s="310"/>
      <c r="E470" s="70"/>
      <c r="F470" s="379"/>
      <c r="G470" s="387"/>
    </row>
    <row r="471" customFormat="false" ht="15" hidden="false" customHeight="false" outlineLevel="0" collapsed="false">
      <c r="C471" s="310"/>
      <c r="D471" s="310"/>
      <c r="E471" s="70"/>
      <c r="F471" s="379"/>
      <c r="G471" s="387"/>
    </row>
    <row r="472" customFormat="false" ht="15" hidden="false" customHeight="false" outlineLevel="0" collapsed="false">
      <c r="C472" s="310"/>
      <c r="D472" s="310"/>
      <c r="E472" s="70"/>
      <c r="F472" s="379"/>
      <c r="G472" s="387"/>
    </row>
    <row r="473" customFormat="false" ht="15" hidden="false" customHeight="false" outlineLevel="0" collapsed="false">
      <c r="C473" s="310"/>
      <c r="D473" s="310"/>
      <c r="E473" s="70"/>
      <c r="F473" s="379"/>
      <c r="G473" s="387"/>
    </row>
    <row r="474" customFormat="false" ht="15" hidden="false" customHeight="false" outlineLevel="0" collapsed="false">
      <c r="C474" s="310"/>
      <c r="D474" s="310"/>
      <c r="E474" s="70"/>
      <c r="F474" s="379"/>
      <c r="G474" s="387"/>
    </row>
    <row r="475" customFormat="false" ht="15" hidden="false" customHeight="false" outlineLevel="0" collapsed="false">
      <c r="C475" s="310"/>
      <c r="D475" s="310"/>
      <c r="E475" s="70"/>
      <c r="F475" s="379"/>
      <c r="G475" s="387"/>
    </row>
    <row r="476" customFormat="false" ht="15" hidden="false" customHeight="false" outlineLevel="0" collapsed="false">
      <c r="C476" s="310"/>
      <c r="D476" s="310"/>
      <c r="E476" s="70"/>
      <c r="F476" s="379"/>
      <c r="G476" s="387"/>
    </row>
    <row r="477" customFormat="false" ht="15" hidden="false" customHeight="false" outlineLevel="0" collapsed="false">
      <c r="C477" s="310"/>
      <c r="D477" s="310"/>
      <c r="E477" s="70"/>
      <c r="F477" s="379"/>
      <c r="G477" s="387"/>
    </row>
    <row r="478" customFormat="false" ht="15" hidden="false" customHeight="false" outlineLevel="0" collapsed="false">
      <c r="C478" s="310"/>
      <c r="D478" s="310"/>
      <c r="E478" s="70"/>
      <c r="F478" s="379"/>
      <c r="G478" s="387"/>
    </row>
    <row r="479" customFormat="false" ht="15" hidden="false" customHeight="false" outlineLevel="0" collapsed="false">
      <c r="C479" s="310"/>
      <c r="D479" s="310"/>
      <c r="E479" s="70"/>
      <c r="F479" s="379"/>
      <c r="G479" s="387"/>
    </row>
    <row r="480" customFormat="false" ht="15" hidden="false" customHeight="false" outlineLevel="0" collapsed="false">
      <c r="C480" s="310"/>
      <c r="D480" s="310"/>
      <c r="E480" s="70"/>
      <c r="F480" s="379"/>
      <c r="G480" s="387"/>
    </row>
    <row r="481" customFormat="false" ht="15" hidden="false" customHeight="false" outlineLevel="0" collapsed="false">
      <c r="C481" s="310"/>
      <c r="D481" s="310"/>
      <c r="E481" s="70"/>
      <c r="F481" s="379"/>
      <c r="G481" s="387"/>
    </row>
    <row r="482" customFormat="false" ht="15" hidden="false" customHeight="false" outlineLevel="0" collapsed="false">
      <c r="C482" s="310"/>
      <c r="D482" s="310"/>
      <c r="E482" s="70"/>
      <c r="F482" s="379"/>
      <c r="G482" s="387"/>
    </row>
    <row r="483" customFormat="false" ht="15" hidden="false" customHeight="false" outlineLevel="0" collapsed="false">
      <c r="C483" s="310"/>
      <c r="D483" s="310"/>
      <c r="E483" s="70"/>
      <c r="F483" s="379"/>
      <c r="G483" s="387"/>
    </row>
    <row r="484" customFormat="false" ht="15" hidden="false" customHeight="false" outlineLevel="0" collapsed="false">
      <c r="C484" s="310"/>
      <c r="D484" s="310"/>
      <c r="E484" s="70"/>
      <c r="F484" s="379"/>
      <c r="G484" s="387"/>
    </row>
    <row r="485" customFormat="false" ht="15" hidden="false" customHeight="false" outlineLevel="0" collapsed="false">
      <c r="C485" s="310"/>
      <c r="D485" s="310"/>
      <c r="E485" s="70"/>
      <c r="F485" s="379"/>
      <c r="G485" s="387"/>
    </row>
    <row r="486" customFormat="false" ht="15" hidden="false" customHeight="false" outlineLevel="0" collapsed="false">
      <c r="C486" s="310"/>
      <c r="D486" s="310"/>
      <c r="E486" s="70"/>
      <c r="F486" s="379"/>
      <c r="G486" s="387"/>
    </row>
    <row r="487" customFormat="false" ht="15" hidden="false" customHeight="false" outlineLevel="0" collapsed="false">
      <c r="C487" s="310"/>
      <c r="D487" s="310"/>
      <c r="E487" s="70"/>
      <c r="F487" s="379"/>
      <c r="G487" s="387"/>
    </row>
    <row r="488" customFormat="false" ht="15" hidden="false" customHeight="false" outlineLevel="0" collapsed="false">
      <c r="C488" s="310"/>
      <c r="D488" s="310"/>
      <c r="E488" s="70"/>
      <c r="F488" s="379"/>
      <c r="G488" s="387"/>
    </row>
    <row r="489" customFormat="false" ht="15" hidden="false" customHeight="false" outlineLevel="0" collapsed="false">
      <c r="C489" s="310"/>
      <c r="D489" s="310"/>
      <c r="E489" s="70"/>
      <c r="F489" s="379"/>
      <c r="G489" s="387"/>
    </row>
    <row r="490" customFormat="false" ht="15" hidden="false" customHeight="false" outlineLevel="0" collapsed="false">
      <c r="C490" s="310"/>
      <c r="D490" s="310"/>
      <c r="E490" s="70"/>
      <c r="F490" s="379"/>
      <c r="G490" s="387"/>
    </row>
    <row r="491" customFormat="false" ht="15" hidden="false" customHeight="false" outlineLevel="0" collapsed="false">
      <c r="C491" s="310"/>
      <c r="D491" s="310"/>
      <c r="E491" s="70"/>
      <c r="F491" s="379"/>
      <c r="G491" s="387"/>
    </row>
    <row r="492" customFormat="false" ht="15" hidden="false" customHeight="false" outlineLevel="0" collapsed="false">
      <c r="C492" s="310"/>
      <c r="D492" s="310"/>
      <c r="E492" s="70"/>
      <c r="F492" s="379"/>
      <c r="G492" s="387"/>
    </row>
    <row r="493" customFormat="false" ht="15" hidden="false" customHeight="false" outlineLevel="0" collapsed="false">
      <c r="C493" s="310"/>
      <c r="D493" s="310"/>
      <c r="E493" s="70"/>
      <c r="F493" s="379"/>
      <c r="G493" s="387"/>
    </row>
    <row r="494" customFormat="false" ht="15" hidden="false" customHeight="false" outlineLevel="0" collapsed="false">
      <c r="C494" s="310"/>
      <c r="D494" s="310"/>
      <c r="E494" s="70"/>
      <c r="F494" s="379"/>
      <c r="G494" s="387"/>
    </row>
    <row r="495" customFormat="false" ht="15" hidden="false" customHeight="false" outlineLevel="0" collapsed="false">
      <c r="C495" s="310"/>
      <c r="D495" s="310"/>
      <c r="E495" s="70"/>
      <c r="F495" s="379"/>
      <c r="G495" s="387"/>
    </row>
    <row r="496" customFormat="false" ht="15" hidden="false" customHeight="false" outlineLevel="0" collapsed="false">
      <c r="C496" s="310"/>
      <c r="D496" s="310"/>
      <c r="E496" s="70"/>
      <c r="F496" s="379"/>
      <c r="G496" s="387"/>
    </row>
    <row r="497" customFormat="false" ht="15" hidden="false" customHeight="false" outlineLevel="0" collapsed="false">
      <c r="C497" s="310"/>
      <c r="D497" s="310"/>
      <c r="E497" s="70"/>
      <c r="F497" s="379"/>
      <c r="G497" s="387"/>
    </row>
    <row r="498" customFormat="false" ht="15" hidden="false" customHeight="false" outlineLevel="0" collapsed="false">
      <c r="C498" s="310"/>
      <c r="D498" s="310"/>
      <c r="E498" s="70"/>
      <c r="F498" s="379"/>
      <c r="G498" s="387"/>
    </row>
    <row r="499" customFormat="false" ht="15" hidden="false" customHeight="false" outlineLevel="0" collapsed="false">
      <c r="C499" s="310"/>
      <c r="D499" s="310"/>
      <c r="E499" s="70"/>
      <c r="F499" s="379"/>
      <c r="G499" s="387"/>
    </row>
    <row r="500" customFormat="false" ht="15" hidden="false" customHeight="false" outlineLevel="0" collapsed="false">
      <c r="C500" s="310"/>
      <c r="D500" s="310"/>
      <c r="E500" s="70"/>
      <c r="F500" s="379"/>
      <c r="G500" s="387"/>
    </row>
    <row r="501" customFormat="false" ht="15" hidden="false" customHeight="false" outlineLevel="0" collapsed="false">
      <c r="C501" s="310"/>
      <c r="D501" s="310"/>
      <c r="E501" s="70"/>
      <c r="F501" s="379"/>
      <c r="G501" s="387"/>
    </row>
    <row r="502" customFormat="false" ht="15" hidden="false" customHeight="false" outlineLevel="0" collapsed="false">
      <c r="C502" s="310"/>
      <c r="D502" s="310"/>
      <c r="E502" s="70"/>
      <c r="F502" s="379"/>
      <c r="G502" s="387"/>
    </row>
    <row r="503" customFormat="false" ht="15" hidden="false" customHeight="false" outlineLevel="0" collapsed="false">
      <c r="C503" s="310"/>
      <c r="D503" s="310"/>
      <c r="E503" s="70"/>
      <c r="F503" s="379"/>
      <c r="G503" s="387"/>
    </row>
    <row r="504" customFormat="false" ht="15" hidden="false" customHeight="false" outlineLevel="0" collapsed="false">
      <c r="C504" s="310"/>
      <c r="D504" s="310"/>
      <c r="E504" s="70"/>
      <c r="F504" s="379"/>
      <c r="G504" s="387"/>
    </row>
    <row r="505" customFormat="false" ht="15" hidden="false" customHeight="false" outlineLevel="0" collapsed="false">
      <c r="C505" s="310"/>
      <c r="D505" s="310"/>
      <c r="E505" s="70"/>
      <c r="F505" s="379"/>
      <c r="G505" s="387"/>
    </row>
    <row r="506" customFormat="false" ht="15" hidden="false" customHeight="false" outlineLevel="0" collapsed="false">
      <c r="C506" s="310"/>
      <c r="D506" s="310"/>
      <c r="E506" s="70"/>
      <c r="F506" s="379"/>
      <c r="G506" s="387"/>
    </row>
    <row r="507" customFormat="false" ht="15" hidden="false" customHeight="false" outlineLevel="0" collapsed="false">
      <c r="C507" s="310"/>
      <c r="D507" s="310"/>
      <c r="E507" s="70"/>
      <c r="F507" s="379"/>
      <c r="G507" s="387"/>
    </row>
    <row r="508" customFormat="false" ht="15" hidden="false" customHeight="false" outlineLevel="0" collapsed="false">
      <c r="C508" s="310"/>
      <c r="D508" s="310"/>
      <c r="E508" s="70"/>
      <c r="F508" s="379"/>
      <c r="G508" s="387"/>
    </row>
    <row r="509" customFormat="false" ht="15" hidden="false" customHeight="false" outlineLevel="0" collapsed="false">
      <c r="C509" s="310"/>
      <c r="D509" s="310"/>
      <c r="E509" s="70"/>
      <c r="F509" s="379"/>
      <c r="G509" s="387"/>
    </row>
    <row r="510" customFormat="false" ht="15" hidden="false" customHeight="false" outlineLevel="0" collapsed="false">
      <c r="C510" s="310"/>
      <c r="D510" s="310"/>
      <c r="E510" s="70"/>
      <c r="F510" s="379"/>
      <c r="G510" s="387"/>
    </row>
    <row r="511" customFormat="false" ht="15" hidden="false" customHeight="false" outlineLevel="0" collapsed="false">
      <c r="C511" s="310"/>
      <c r="D511" s="310"/>
      <c r="E511" s="70"/>
      <c r="F511" s="379"/>
      <c r="G511" s="387"/>
    </row>
    <row r="512" customFormat="false" ht="15" hidden="false" customHeight="false" outlineLevel="0" collapsed="false">
      <c r="C512" s="310"/>
      <c r="D512" s="310"/>
      <c r="E512" s="70"/>
      <c r="F512" s="379"/>
      <c r="G512" s="387"/>
    </row>
    <row r="513" customFormat="false" ht="15" hidden="false" customHeight="false" outlineLevel="0" collapsed="false">
      <c r="C513" s="310"/>
      <c r="D513" s="310"/>
      <c r="E513" s="70"/>
      <c r="F513" s="379"/>
      <c r="G513" s="387"/>
    </row>
    <row r="514" customFormat="false" ht="15" hidden="false" customHeight="false" outlineLevel="0" collapsed="false">
      <c r="C514" s="310"/>
      <c r="D514" s="310"/>
      <c r="E514" s="70"/>
      <c r="F514" s="379"/>
      <c r="G514" s="387"/>
    </row>
    <row r="515" customFormat="false" ht="15" hidden="false" customHeight="false" outlineLevel="0" collapsed="false">
      <c r="C515" s="310"/>
      <c r="D515" s="310"/>
      <c r="E515" s="70"/>
      <c r="F515" s="379"/>
      <c r="G515" s="387"/>
    </row>
    <row r="516" customFormat="false" ht="15" hidden="false" customHeight="false" outlineLevel="0" collapsed="false">
      <c r="C516" s="310"/>
      <c r="D516" s="310"/>
      <c r="E516" s="70"/>
      <c r="F516" s="379"/>
      <c r="G516" s="387"/>
    </row>
    <row r="517" customFormat="false" ht="15" hidden="false" customHeight="false" outlineLevel="0" collapsed="false">
      <c r="C517" s="310"/>
      <c r="D517" s="310"/>
      <c r="E517" s="70"/>
      <c r="F517" s="379"/>
      <c r="G517" s="387"/>
    </row>
    <row r="518" customFormat="false" ht="15" hidden="false" customHeight="false" outlineLevel="0" collapsed="false">
      <c r="C518" s="310"/>
      <c r="D518" s="310"/>
      <c r="E518" s="70"/>
      <c r="F518" s="379"/>
      <c r="G518" s="387"/>
    </row>
    <row r="519" customFormat="false" ht="15" hidden="false" customHeight="false" outlineLevel="0" collapsed="false">
      <c r="C519" s="310"/>
      <c r="D519" s="310"/>
      <c r="E519" s="70"/>
      <c r="F519" s="379"/>
      <c r="G519" s="387"/>
    </row>
    <row r="520" customFormat="false" ht="15" hidden="false" customHeight="false" outlineLevel="0" collapsed="false">
      <c r="C520" s="310"/>
      <c r="D520" s="310"/>
      <c r="E520" s="70"/>
      <c r="F520" s="379"/>
      <c r="G520" s="387"/>
    </row>
    <row r="521" customFormat="false" ht="15" hidden="false" customHeight="false" outlineLevel="0" collapsed="false">
      <c r="C521" s="310"/>
      <c r="D521" s="310"/>
      <c r="E521" s="70"/>
      <c r="F521" s="379"/>
      <c r="G521" s="387"/>
    </row>
    <row r="522" customFormat="false" ht="15" hidden="false" customHeight="false" outlineLevel="0" collapsed="false">
      <c r="C522" s="310"/>
      <c r="D522" s="310"/>
      <c r="E522" s="70"/>
      <c r="F522" s="379"/>
      <c r="G522" s="387"/>
    </row>
    <row r="523" customFormat="false" ht="15" hidden="false" customHeight="false" outlineLevel="0" collapsed="false">
      <c r="C523" s="310"/>
      <c r="D523" s="310"/>
      <c r="E523" s="70"/>
      <c r="F523" s="379"/>
      <c r="G523" s="387"/>
    </row>
    <row r="524" customFormat="false" ht="15" hidden="false" customHeight="false" outlineLevel="0" collapsed="false">
      <c r="C524" s="310"/>
      <c r="D524" s="310"/>
      <c r="E524" s="70"/>
      <c r="F524" s="379"/>
      <c r="G524" s="387"/>
    </row>
    <row r="525" customFormat="false" ht="15" hidden="false" customHeight="false" outlineLevel="0" collapsed="false">
      <c r="C525" s="310"/>
      <c r="D525" s="310"/>
      <c r="E525" s="70"/>
      <c r="F525" s="379"/>
      <c r="G525" s="387"/>
    </row>
    <row r="526" customFormat="false" ht="15" hidden="false" customHeight="false" outlineLevel="0" collapsed="false">
      <c r="C526" s="310"/>
      <c r="D526" s="310"/>
      <c r="E526" s="70"/>
      <c r="F526" s="379"/>
      <c r="G526" s="387"/>
    </row>
    <row r="527" customFormat="false" ht="15" hidden="false" customHeight="false" outlineLevel="0" collapsed="false">
      <c r="C527" s="310"/>
      <c r="D527" s="310"/>
      <c r="E527" s="70"/>
      <c r="F527" s="379"/>
      <c r="G527" s="387"/>
    </row>
    <row r="528" customFormat="false" ht="15" hidden="false" customHeight="false" outlineLevel="0" collapsed="false">
      <c r="C528" s="310"/>
      <c r="D528" s="310"/>
      <c r="E528" s="70"/>
      <c r="F528" s="379"/>
      <c r="G528" s="387"/>
    </row>
    <row r="529" customFormat="false" ht="15" hidden="false" customHeight="false" outlineLevel="0" collapsed="false">
      <c r="C529" s="310"/>
      <c r="D529" s="310"/>
      <c r="E529" s="70"/>
      <c r="F529" s="379"/>
      <c r="G529" s="387"/>
    </row>
    <row r="530" customFormat="false" ht="15" hidden="false" customHeight="false" outlineLevel="0" collapsed="false">
      <c r="C530" s="310"/>
      <c r="D530" s="310"/>
      <c r="E530" s="70"/>
      <c r="F530" s="379"/>
      <c r="G530" s="387"/>
    </row>
    <row r="531" customFormat="false" ht="15" hidden="false" customHeight="false" outlineLevel="0" collapsed="false">
      <c r="C531" s="310"/>
      <c r="D531" s="310"/>
      <c r="E531" s="70"/>
      <c r="F531" s="379"/>
      <c r="G531" s="387"/>
    </row>
    <row r="532" customFormat="false" ht="15" hidden="false" customHeight="false" outlineLevel="0" collapsed="false">
      <c r="C532" s="310"/>
      <c r="D532" s="310"/>
      <c r="E532" s="70"/>
      <c r="F532" s="379"/>
      <c r="G532" s="387"/>
    </row>
    <row r="533" customFormat="false" ht="15" hidden="false" customHeight="false" outlineLevel="0" collapsed="false">
      <c r="C533" s="310"/>
      <c r="D533" s="310"/>
      <c r="E533" s="70"/>
      <c r="F533" s="379"/>
      <c r="G533" s="387"/>
    </row>
    <row r="534" customFormat="false" ht="15" hidden="false" customHeight="false" outlineLevel="0" collapsed="false">
      <c r="C534" s="310"/>
      <c r="D534" s="310"/>
      <c r="E534" s="70"/>
      <c r="F534" s="379"/>
      <c r="G534" s="387"/>
    </row>
    <row r="535" customFormat="false" ht="15" hidden="false" customHeight="false" outlineLevel="0" collapsed="false">
      <c r="C535" s="310"/>
      <c r="D535" s="310"/>
      <c r="E535" s="70"/>
      <c r="F535" s="379"/>
      <c r="G535" s="387"/>
    </row>
    <row r="536" customFormat="false" ht="15" hidden="false" customHeight="false" outlineLevel="0" collapsed="false">
      <c r="C536" s="310"/>
      <c r="D536" s="310"/>
      <c r="E536" s="70"/>
      <c r="F536" s="379"/>
      <c r="G536" s="387"/>
    </row>
    <row r="537" customFormat="false" ht="15" hidden="false" customHeight="false" outlineLevel="0" collapsed="false">
      <c r="C537" s="310"/>
      <c r="D537" s="310"/>
      <c r="E537" s="70"/>
      <c r="F537" s="379"/>
      <c r="G537" s="387"/>
    </row>
    <row r="538" customFormat="false" ht="15" hidden="false" customHeight="false" outlineLevel="0" collapsed="false">
      <c r="C538" s="310"/>
      <c r="D538" s="310"/>
      <c r="E538" s="70"/>
      <c r="F538" s="379"/>
      <c r="G538" s="387"/>
    </row>
    <row r="539" customFormat="false" ht="15" hidden="false" customHeight="false" outlineLevel="0" collapsed="false">
      <c r="C539" s="310"/>
      <c r="D539" s="310"/>
      <c r="E539" s="70"/>
      <c r="F539" s="379"/>
      <c r="G539" s="387"/>
    </row>
    <row r="540" customFormat="false" ht="15" hidden="false" customHeight="false" outlineLevel="0" collapsed="false">
      <c r="C540" s="310"/>
      <c r="D540" s="310"/>
      <c r="E540" s="70"/>
      <c r="F540" s="379"/>
      <c r="G540" s="387"/>
    </row>
    <row r="541" customFormat="false" ht="15" hidden="false" customHeight="false" outlineLevel="0" collapsed="false">
      <c r="C541" s="310"/>
      <c r="D541" s="310"/>
      <c r="E541" s="70"/>
      <c r="F541" s="379"/>
      <c r="G541" s="387"/>
    </row>
    <row r="542" customFormat="false" ht="15" hidden="false" customHeight="false" outlineLevel="0" collapsed="false">
      <c r="C542" s="310"/>
      <c r="D542" s="310"/>
      <c r="E542" s="70"/>
      <c r="F542" s="379"/>
      <c r="G542" s="387"/>
    </row>
    <row r="543" customFormat="false" ht="15" hidden="false" customHeight="false" outlineLevel="0" collapsed="false">
      <c r="C543" s="310"/>
      <c r="D543" s="310"/>
      <c r="E543" s="70"/>
      <c r="F543" s="379"/>
      <c r="G543" s="387"/>
    </row>
    <row r="544" customFormat="false" ht="15" hidden="false" customHeight="false" outlineLevel="0" collapsed="false">
      <c r="C544" s="310"/>
      <c r="D544" s="310"/>
      <c r="E544" s="70"/>
      <c r="F544" s="379"/>
      <c r="G544" s="387"/>
    </row>
    <row r="545" customFormat="false" ht="15" hidden="false" customHeight="false" outlineLevel="0" collapsed="false">
      <c r="C545" s="310"/>
      <c r="D545" s="310"/>
      <c r="E545" s="70"/>
      <c r="F545" s="379"/>
      <c r="G545" s="387"/>
    </row>
    <row r="546" customFormat="false" ht="15" hidden="false" customHeight="false" outlineLevel="0" collapsed="false">
      <c r="C546" s="310"/>
      <c r="D546" s="310"/>
      <c r="E546" s="70"/>
      <c r="F546" s="379"/>
      <c r="G546" s="387"/>
    </row>
    <row r="547" customFormat="false" ht="15" hidden="false" customHeight="false" outlineLevel="0" collapsed="false">
      <c r="C547" s="310"/>
      <c r="D547" s="310"/>
      <c r="E547" s="70"/>
      <c r="F547" s="379"/>
      <c r="G547" s="387"/>
    </row>
    <row r="548" customFormat="false" ht="15" hidden="false" customHeight="false" outlineLevel="0" collapsed="false">
      <c r="C548" s="310"/>
      <c r="D548" s="310"/>
      <c r="E548" s="70"/>
      <c r="F548" s="379"/>
      <c r="G548" s="387"/>
    </row>
    <row r="549" customFormat="false" ht="15" hidden="false" customHeight="false" outlineLevel="0" collapsed="false">
      <c r="C549" s="310"/>
      <c r="D549" s="310"/>
      <c r="E549" s="70"/>
      <c r="F549" s="379"/>
      <c r="G549" s="387"/>
    </row>
    <row r="550" customFormat="false" ht="15" hidden="false" customHeight="false" outlineLevel="0" collapsed="false">
      <c r="C550" s="310"/>
      <c r="D550" s="310"/>
      <c r="E550" s="70"/>
      <c r="F550" s="379"/>
      <c r="G550" s="387"/>
    </row>
    <row r="551" customFormat="false" ht="15" hidden="false" customHeight="false" outlineLevel="0" collapsed="false">
      <c r="C551" s="310"/>
      <c r="D551" s="310"/>
      <c r="E551" s="70"/>
      <c r="F551" s="379"/>
      <c r="G551" s="387"/>
    </row>
    <row r="552" customFormat="false" ht="15" hidden="false" customHeight="false" outlineLevel="0" collapsed="false">
      <c r="C552" s="310"/>
      <c r="D552" s="310"/>
      <c r="E552" s="70"/>
      <c r="F552" s="379"/>
      <c r="G552" s="387"/>
    </row>
    <row r="553" customFormat="false" ht="15" hidden="false" customHeight="false" outlineLevel="0" collapsed="false">
      <c r="C553" s="310"/>
      <c r="D553" s="310"/>
      <c r="E553" s="70"/>
      <c r="F553" s="379"/>
      <c r="G553" s="387"/>
    </row>
    <row r="554" customFormat="false" ht="15" hidden="false" customHeight="false" outlineLevel="0" collapsed="false">
      <c r="C554" s="310"/>
      <c r="D554" s="310"/>
      <c r="E554" s="70"/>
      <c r="F554" s="379"/>
      <c r="G554" s="387"/>
    </row>
    <row r="555" customFormat="false" ht="15" hidden="false" customHeight="false" outlineLevel="0" collapsed="false">
      <c r="C555" s="310"/>
      <c r="D555" s="310"/>
      <c r="E555" s="70"/>
      <c r="F555" s="379"/>
      <c r="G555" s="387"/>
    </row>
    <row r="556" customFormat="false" ht="15" hidden="false" customHeight="false" outlineLevel="0" collapsed="false">
      <c r="C556" s="310"/>
      <c r="D556" s="310"/>
      <c r="E556" s="70"/>
      <c r="F556" s="379"/>
      <c r="G556" s="387"/>
    </row>
    <row r="557" customFormat="false" ht="15" hidden="false" customHeight="false" outlineLevel="0" collapsed="false">
      <c r="C557" s="310"/>
      <c r="D557" s="310"/>
      <c r="E557" s="70"/>
      <c r="F557" s="379"/>
      <c r="G557" s="387"/>
    </row>
    <row r="558" customFormat="false" ht="15" hidden="false" customHeight="false" outlineLevel="0" collapsed="false">
      <c r="C558" s="310"/>
      <c r="D558" s="310"/>
      <c r="E558" s="70"/>
      <c r="F558" s="379"/>
      <c r="G558" s="387"/>
    </row>
    <row r="559" customFormat="false" ht="15" hidden="false" customHeight="false" outlineLevel="0" collapsed="false">
      <c r="C559" s="310"/>
      <c r="D559" s="310"/>
      <c r="E559" s="70"/>
      <c r="F559" s="379"/>
      <c r="G559" s="387"/>
    </row>
    <row r="560" customFormat="false" ht="15" hidden="false" customHeight="false" outlineLevel="0" collapsed="false">
      <c r="C560" s="310"/>
      <c r="D560" s="310"/>
      <c r="E560" s="70"/>
      <c r="F560" s="379"/>
      <c r="G560" s="387"/>
    </row>
    <row r="561" customFormat="false" ht="15" hidden="false" customHeight="false" outlineLevel="0" collapsed="false">
      <c r="C561" s="310"/>
      <c r="D561" s="310"/>
      <c r="E561" s="70"/>
      <c r="F561" s="379"/>
      <c r="G561" s="387"/>
    </row>
    <row r="562" customFormat="false" ht="15" hidden="false" customHeight="false" outlineLevel="0" collapsed="false">
      <c r="C562" s="310"/>
      <c r="D562" s="310"/>
      <c r="E562" s="70"/>
      <c r="F562" s="379"/>
      <c r="G562" s="387"/>
    </row>
    <row r="563" customFormat="false" ht="15" hidden="false" customHeight="false" outlineLevel="0" collapsed="false">
      <c r="C563" s="310"/>
      <c r="D563" s="310"/>
      <c r="E563" s="70"/>
      <c r="F563" s="379"/>
      <c r="G563" s="387"/>
    </row>
    <row r="564" customFormat="false" ht="15" hidden="false" customHeight="false" outlineLevel="0" collapsed="false">
      <c r="C564" s="310"/>
      <c r="D564" s="310"/>
      <c r="E564" s="70"/>
      <c r="F564" s="379"/>
      <c r="G564" s="387"/>
    </row>
    <row r="565" customFormat="false" ht="15" hidden="false" customHeight="false" outlineLevel="0" collapsed="false">
      <c r="C565" s="310"/>
      <c r="D565" s="310"/>
      <c r="E565" s="70"/>
      <c r="F565" s="379"/>
      <c r="G565" s="387"/>
    </row>
    <row r="566" customFormat="false" ht="15" hidden="false" customHeight="false" outlineLevel="0" collapsed="false">
      <c r="C566" s="310"/>
      <c r="D566" s="310"/>
      <c r="E566" s="70"/>
      <c r="F566" s="379"/>
      <c r="G566" s="387"/>
    </row>
    <row r="567" customFormat="false" ht="15" hidden="false" customHeight="false" outlineLevel="0" collapsed="false">
      <c r="C567" s="310"/>
      <c r="D567" s="310"/>
      <c r="E567" s="70"/>
      <c r="F567" s="379"/>
      <c r="G567" s="387"/>
    </row>
    <row r="568" customFormat="false" ht="15" hidden="false" customHeight="false" outlineLevel="0" collapsed="false">
      <c r="C568" s="310"/>
      <c r="D568" s="310"/>
      <c r="E568" s="70"/>
      <c r="F568" s="379"/>
      <c r="G568" s="387"/>
    </row>
    <row r="569" customFormat="false" ht="15" hidden="false" customHeight="false" outlineLevel="0" collapsed="false">
      <c r="C569" s="310"/>
      <c r="D569" s="310"/>
      <c r="E569" s="70"/>
      <c r="F569" s="379"/>
      <c r="G569" s="387"/>
    </row>
    <row r="570" customFormat="false" ht="15" hidden="false" customHeight="false" outlineLevel="0" collapsed="false">
      <c r="C570" s="310"/>
      <c r="D570" s="310"/>
      <c r="E570" s="70"/>
      <c r="F570" s="379"/>
      <c r="G570" s="387"/>
    </row>
    <row r="571" customFormat="false" ht="15" hidden="false" customHeight="false" outlineLevel="0" collapsed="false">
      <c r="C571" s="310"/>
      <c r="D571" s="310"/>
      <c r="E571" s="70"/>
      <c r="F571" s="379"/>
      <c r="G571" s="387"/>
    </row>
    <row r="572" customFormat="false" ht="15" hidden="false" customHeight="false" outlineLevel="0" collapsed="false">
      <c r="C572" s="310"/>
      <c r="D572" s="310"/>
      <c r="E572" s="70"/>
      <c r="F572" s="379"/>
      <c r="G572" s="387"/>
    </row>
    <row r="573" customFormat="false" ht="15" hidden="false" customHeight="false" outlineLevel="0" collapsed="false">
      <c r="C573" s="310"/>
      <c r="D573" s="310"/>
      <c r="E573" s="70"/>
      <c r="F573" s="379"/>
      <c r="G573" s="387"/>
    </row>
    <row r="574" customFormat="false" ht="15" hidden="false" customHeight="false" outlineLevel="0" collapsed="false">
      <c r="C574" s="310"/>
      <c r="D574" s="310"/>
      <c r="E574" s="70"/>
      <c r="F574" s="379"/>
      <c r="G574" s="387"/>
    </row>
    <row r="575" customFormat="false" ht="15" hidden="false" customHeight="false" outlineLevel="0" collapsed="false">
      <c r="C575" s="310"/>
      <c r="D575" s="310"/>
      <c r="E575" s="70"/>
      <c r="F575" s="379"/>
      <c r="G575" s="387"/>
    </row>
    <row r="576" customFormat="false" ht="15" hidden="false" customHeight="false" outlineLevel="0" collapsed="false">
      <c r="C576" s="310"/>
      <c r="D576" s="310"/>
      <c r="E576" s="70"/>
      <c r="F576" s="379"/>
      <c r="G576" s="387"/>
    </row>
    <row r="577" customFormat="false" ht="15" hidden="false" customHeight="false" outlineLevel="0" collapsed="false">
      <c r="C577" s="310"/>
      <c r="D577" s="310"/>
      <c r="E577" s="70"/>
      <c r="F577" s="379"/>
      <c r="G577" s="387"/>
    </row>
    <row r="578" customFormat="false" ht="15" hidden="false" customHeight="false" outlineLevel="0" collapsed="false">
      <c r="C578" s="310"/>
      <c r="D578" s="310"/>
      <c r="E578" s="70"/>
      <c r="F578" s="379"/>
      <c r="G578" s="387"/>
    </row>
    <row r="579" customFormat="false" ht="15" hidden="false" customHeight="false" outlineLevel="0" collapsed="false">
      <c r="C579" s="310"/>
      <c r="D579" s="310"/>
      <c r="E579" s="70"/>
      <c r="F579" s="379"/>
      <c r="G579" s="387"/>
    </row>
    <row r="580" customFormat="false" ht="15" hidden="false" customHeight="false" outlineLevel="0" collapsed="false">
      <c r="C580" s="310"/>
      <c r="D580" s="310"/>
      <c r="E580" s="70"/>
      <c r="F580" s="379"/>
      <c r="G580" s="387"/>
    </row>
    <row r="581" customFormat="false" ht="15" hidden="false" customHeight="false" outlineLevel="0" collapsed="false">
      <c r="C581" s="310"/>
      <c r="D581" s="310"/>
      <c r="E581" s="70"/>
      <c r="F581" s="379"/>
      <c r="G581" s="387"/>
    </row>
    <row r="582" customFormat="false" ht="15" hidden="false" customHeight="false" outlineLevel="0" collapsed="false">
      <c r="C582" s="310"/>
      <c r="D582" s="310"/>
      <c r="E582" s="70"/>
      <c r="F582" s="379"/>
      <c r="G582" s="387"/>
    </row>
    <row r="583" customFormat="false" ht="15" hidden="false" customHeight="false" outlineLevel="0" collapsed="false">
      <c r="C583" s="310"/>
      <c r="D583" s="310"/>
      <c r="E583" s="70"/>
      <c r="F583" s="379"/>
      <c r="G583" s="387"/>
    </row>
    <row r="584" customFormat="false" ht="15" hidden="false" customHeight="false" outlineLevel="0" collapsed="false">
      <c r="C584" s="310"/>
      <c r="D584" s="310"/>
      <c r="E584" s="70"/>
      <c r="F584" s="379"/>
      <c r="G584" s="387"/>
    </row>
    <row r="585" customFormat="false" ht="15" hidden="false" customHeight="false" outlineLevel="0" collapsed="false">
      <c r="C585" s="310"/>
      <c r="D585" s="310"/>
      <c r="E585" s="70"/>
      <c r="F585" s="379"/>
      <c r="G585" s="387"/>
    </row>
    <row r="586" customFormat="false" ht="15" hidden="false" customHeight="false" outlineLevel="0" collapsed="false">
      <c r="C586" s="310"/>
      <c r="D586" s="310"/>
      <c r="E586" s="70"/>
      <c r="F586" s="379"/>
      <c r="G586" s="387"/>
    </row>
    <row r="587" customFormat="false" ht="15" hidden="false" customHeight="false" outlineLevel="0" collapsed="false">
      <c r="C587" s="310"/>
      <c r="D587" s="310"/>
      <c r="E587" s="70"/>
      <c r="F587" s="379"/>
      <c r="G587" s="387"/>
    </row>
    <row r="588" customFormat="false" ht="15" hidden="false" customHeight="false" outlineLevel="0" collapsed="false">
      <c r="C588" s="310"/>
      <c r="D588" s="310"/>
      <c r="E588" s="70"/>
      <c r="F588" s="379"/>
      <c r="G588" s="387"/>
    </row>
    <row r="589" customFormat="false" ht="15" hidden="false" customHeight="false" outlineLevel="0" collapsed="false">
      <c r="C589" s="310"/>
      <c r="D589" s="310"/>
      <c r="E589" s="70"/>
      <c r="F589" s="379"/>
      <c r="G589" s="387"/>
    </row>
    <row r="590" customFormat="false" ht="15" hidden="false" customHeight="false" outlineLevel="0" collapsed="false">
      <c r="C590" s="310"/>
      <c r="D590" s="310"/>
      <c r="E590" s="70"/>
      <c r="F590" s="379"/>
      <c r="G590" s="387"/>
    </row>
    <row r="591" customFormat="false" ht="15" hidden="false" customHeight="false" outlineLevel="0" collapsed="false">
      <c r="C591" s="310"/>
      <c r="D591" s="310"/>
      <c r="E591" s="70"/>
      <c r="F591" s="379"/>
      <c r="G591" s="387"/>
    </row>
    <row r="592" customFormat="false" ht="15" hidden="false" customHeight="false" outlineLevel="0" collapsed="false">
      <c r="C592" s="310"/>
      <c r="D592" s="310"/>
      <c r="E592" s="70"/>
      <c r="F592" s="379"/>
      <c r="G592" s="387"/>
    </row>
    <row r="593" customFormat="false" ht="15" hidden="false" customHeight="false" outlineLevel="0" collapsed="false">
      <c r="C593" s="310"/>
      <c r="D593" s="310"/>
      <c r="E593" s="70"/>
      <c r="F593" s="379"/>
      <c r="G593" s="387"/>
    </row>
    <row r="594" customFormat="false" ht="15" hidden="false" customHeight="false" outlineLevel="0" collapsed="false">
      <c r="C594" s="310"/>
      <c r="D594" s="310"/>
      <c r="E594" s="70"/>
      <c r="F594" s="379"/>
      <c r="G594" s="387"/>
    </row>
    <row r="595" customFormat="false" ht="15" hidden="false" customHeight="false" outlineLevel="0" collapsed="false">
      <c r="C595" s="310"/>
      <c r="D595" s="310"/>
      <c r="E595" s="70"/>
      <c r="F595" s="379"/>
      <c r="G595" s="387"/>
    </row>
    <row r="596" customFormat="false" ht="15" hidden="false" customHeight="false" outlineLevel="0" collapsed="false">
      <c r="C596" s="310"/>
      <c r="D596" s="310"/>
      <c r="E596" s="70"/>
      <c r="F596" s="379"/>
      <c r="G596" s="387"/>
    </row>
    <row r="597" customFormat="false" ht="15" hidden="false" customHeight="false" outlineLevel="0" collapsed="false">
      <c r="C597" s="310"/>
      <c r="D597" s="310"/>
      <c r="E597" s="70"/>
      <c r="F597" s="379"/>
      <c r="G597" s="387"/>
    </row>
    <row r="598" customFormat="false" ht="15" hidden="false" customHeight="false" outlineLevel="0" collapsed="false">
      <c r="C598" s="310"/>
      <c r="D598" s="310"/>
      <c r="E598" s="70"/>
      <c r="F598" s="379"/>
      <c r="G598" s="387"/>
    </row>
    <row r="599" customFormat="false" ht="15" hidden="false" customHeight="false" outlineLevel="0" collapsed="false">
      <c r="C599" s="310"/>
      <c r="D599" s="310"/>
      <c r="E599" s="70"/>
      <c r="F599" s="379"/>
      <c r="G599" s="387"/>
    </row>
    <row r="600" customFormat="false" ht="15" hidden="false" customHeight="false" outlineLevel="0" collapsed="false">
      <c r="C600" s="310"/>
      <c r="D600" s="310"/>
      <c r="E600" s="70"/>
      <c r="F600" s="379"/>
      <c r="G600" s="387"/>
    </row>
    <row r="601" customFormat="false" ht="15" hidden="false" customHeight="false" outlineLevel="0" collapsed="false">
      <c r="C601" s="310"/>
      <c r="D601" s="310"/>
      <c r="E601" s="70"/>
      <c r="F601" s="379"/>
      <c r="G601" s="387"/>
    </row>
    <row r="602" customFormat="false" ht="15" hidden="false" customHeight="false" outlineLevel="0" collapsed="false">
      <c r="C602" s="310"/>
      <c r="D602" s="310"/>
      <c r="E602" s="70"/>
      <c r="F602" s="379"/>
      <c r="G602" s="387"/>
    </row>
    <row r="603" customFormat="false" ht="15" hidden="false" customHeight="false" outlineLevel="0" collapsed="false">
      <c r="C603" s="310"/>
      <c r="D603" s="310"/>
      <c r="E603" s="70"/>
      <c r="F603" s="379"/>
      <c r="G603" s="387"/>
    </row>
    <row r="604" customFormat="false" ht="15" hidden="false" customHeight="false" outlineLevel="0" collapsed="false">
      <c r="C604" s="310"/>
      <c r="D604" s="310"/>
      <c r="E604" s="70"/>
      <c r="F604" s="379"/>
      <c r="G604" s="387"/>
    </row>
    <row r="605" customFormat="false" ht="15" hidden="false" customHeight="false" outlineLevel="0" collapsed="false">
      <c r="C605" s="310"/>
      <c r="D605" s="310"/>
      <c r="E605" s="70"/>
      <c r="F605" s="379"/>
      <c r="G605" s="387"/>
    </row>
    <row r="606" customFormat="false" ht="15" hidden="false" customHeight="false" outlineLevel="0" collapsed="false">
      <c r="C606" s="310"/>
      <c r="D606" s="310"/>
      <c r="E606" s="70"/>
      <c r="F606" s="379"/>
      <c r="G606" s="387"/>
    </row>
    <row r="607" customFormat="false" ht="15" hidden="false" customHeight="false" outlineLevel="0" collapsed="false">
      <c r="C607" s="310"/>
      <c r="D607" s="310"/>
      <c r="E607" s="70"/>
      <c r="F607" s="379"/>
      <c r="G607" s="387"/>
    </row>
    <row r="608" customFormat="false" ht="15" hidden="false" customHeight="false" outlineLevel="0" collapsed="false">
      <c r="C608" s="310"/>
      <c r="D608" s="310"/>
      <c r="E608" s="70"/>
      <c r="F608" s="379"/>
      <c r="G608" s="387"/>
    </row>
    <row r="609" customFormat="false" ht="15" hidden="false" customHeight="false" outlineLevel="0" collapsed="false">
      <c r="C609" s="310"/>
      <c r="D609" s="310"/>
      <c r="E609" s="70"/>
      <c r="F609" s="379"/>
      <c r="G609" s="387"/>
    </row>
    <row r="610" customFormat="false" ht="15" hidden="false" customHeight="false" outlineLevel="0" collapsed="false">
      <c r="C610" s="310"/>
      <c r="D610" s="310"/>
      <c r="E610" s="70"/>
      <c r="F610" s="379"/>
      <c r="G610" s="387"/>
    </row>
    <row r="611" customFormat="false" ht="15" hidden="false" customHeight="false" outlineLevel="0" collapsed="false">
      <c r="C611" s="310"/>
      <c r="D611" s="310"/>
      <c r="E611" s="70"/>
      <c r="F611" s="379"/>
      <c r="G611" s="387"/>
    </row>
    <row r="612" customFormat="false" ht="15" hidden="false" customHeight="false" outlineLevel="0" collapsed="false">
      <c r="C612" s="310"/>
      <c r="D612" s="310"/>
      <c r="E612" s="70"/>
      <c r="F612" s="379"/>
      <c r="G612" s="387"/>
    </row>
    <row r="613" customFormat="false" ht="15" hidden="false" customHeight="false" outlineLevel="0" collapsed="false">
      <c r="C613" s="310"/>
      <c r="D613" s="310"/>
      <c r="E613" s="70"/>
      <c r="F613" s="379"/>
      <c r="G613" s="387"/>
    </row>
    <row r="614" customFormat="false" ht="15" hidden="false" customHeight="false" outlineLevel="0" collapsed="false">
      <c r="C614" s="310"/>
      <c r="D614" s="310"/>
      <c r="E614" s="70"/>
      <c r="F614" s="379"/>
      <c r="G614" s="387"/>
    </row>
    <row r="615" customFormat="false" ht="15" hidden="false" customHeight="false" outlineLevel="0" collapsed="false">
      <c r="C615" s="310"/>
      <c r="D615" s="310"/>
      <c r="E615" s="70"/>
      <c r="F615" s="379"/>
      <c r="G615" s="387"/>
    </row>
    <row r="616" customFormat="false" ht="15" hidden="false" customHeight="false" outlineLevel="0" collapsed="false">
      <c r="C616" s="310"/>
      <c r="D616" s="310"/>
      <c r="E616" s="70"/>
      <c r="F616" s="379"/>
      <c r="G616" s="387"/>
    </row>
    <row r="617" customFormat="false" ht="15" hidden="false" customHeight="false" outlineLevel="0" collapsed="false">
      <c r="C617" s="310"/>
      <c r="D617" s="310"/>
      <c r="E617" s="70"/>
      <c r="F617" s="379"/>
      <c r="G617" s="387"/>
    </row>
    <row r="618" customFormat="false" ht="15" hidden="false" customHeight="false" outlineLevel="0" collapsed="false">
      <c r="C618" s="310"/>
      <c r="D618" s="310"/>
      <c r="E618" s="70"/>
      <c r="F618" s="379"/>
      <c r="G618" s="387"/>
    </row>
    <row r="619" customFormat="false" ht="15" hidden="false" customHeight="false" outlineLevel="0" collapsed="false">
      <c r="C619" s="310"/>
      <c r="D619" s="310"/>
      <c r="E619" s="70"/>
      <c r="F619" s="379"/>
      <c r="G619" s="387"/>
    </row>
    <row r="620" customFormat="false" ht="15" hidden="false" customHeight="false" outlineLevel="0" collapsed="false">
      <c r="C620" s="310"/>
      <c r="D620" s="310"/>
      <c r="E620" s="70"/>
      <c r="F620" s="379"/>
      <c r="G620" s="387"/>
    </row>
    <row r="621" customFormat="false" ht="15" hidden="false" customHeight="false" outlineLevel="0" collapsed="false">
      <c r="C621" s="310"/>
      <c r="D621" s="310"/>
      <c r="E621" s="70"/>
      <c r="F621" s="379"/>
      <c r="G621" s="387"/>
    </row>
    <row r="622" customFormat="false" ht="15" hidden="false" customHeight="false" outlineLevel="0" collapsed="false">
      <c r="C622" s="310"/>
      <c r="D622" s="310"/>
      <c r="E622" s="70"/>
      <c r="F622" s="379"/>
      <c r="G622" s="387"/>
    </row>
    <row r="623" customFormat="false" ht="15" hidden="false" customHeight="false" outlineLevel="0" collapsed="false">
      <c r="C623" s="310"/>
      <c r="D623" s="310"/>
      <c r="E623" s="70"/>
      <c r="F623" s="379"/>
      <c r="G623" s="387"/>
    </row>
    <row r="624" customFormat="false" ht="15" hidden="false" customHeight="false" outlineLevel="0" collapsed="false">
      <c r="C624" s="310"/>
      <c r="D624" s="310"/>
      <c r="E624" s="70"/>
      <c r="F624" s="379"/>
      <c r="G624" s="387"/>
    </row>
    <row r="625" customFormat="false" ht="15" hidden="false" customHeight="false" outlineLevel="0" collapsed="false">
      <c r="C625" s="310"/>
      <c r="D625" s="310"/>
      <c r="E625" s="70"/>
      <c r="F625" s="379"/>
      <c r="G625" s="387"/>
    </row>
    <row r="626" customFormat="false" ht="15" hidden="false" customHeight="false" outlineLevel="0" collapsed="false">
      <c r="C626" s="310"/>
      <c r="D626" s="310"/>
      <c r="E626" s="70"/>
      <c r="F626" s="379"/>
      <c r="G626" s="387"/>
    </row>
    <row r="627" customFormat="false" ht="15" hidden="false" customHeight="false" outlineLevel="0" collapsed="false">
      <c r="C627" s="310"/>
      <c r="D627" s="310"/>
      <c r="E627" s="70"/>
      <c r="F627" s="379"/>
      <c r="G627" s="387"/>
    </row>
    <row r="628" customFormat="false" ht="15" hidden="false" customHeight="false" outlineLevel="0" collapsed="false">
      <c r="C628" s="310"/>
      <c r="D628" s="310"/>
      <c r="E628" s="70"/>
      <c r="F628" s="379"/>
      <c r="G628" s="387"/>
    </row>
    <row r="629" customFormat="false" ht="15" hidden="false" customHeight="false" outlineLevel="0" collapsed="false">
      <c r="C629" s="310"/>
      <c r="D629" s="310"/>
      <c r="E629" s="70"/>
      <c r="F629" s="379"/>
      <c r="G629" s="387"/>
    </row>
    <row r="630" customFormat="false" ht="15" hidden="false" customHeight="false" outlineLevel="0" collapsed="false">
      <c r="C630" s="310"/>
      <c r="D630" s="310"/>
      <c r="E630" s="70"/>
      <c r="F630" s="379"/>
      <c r="G630" s="387"/>
    </row>
    <row r="631" customFormat="false" ht="15" hidden="false" customHeight="false" outlineLevel="0" collapsed="false">
      <c r="C631" s="310"/>
      <c r="D631" s="310"/>
      <c r="E631" s="70"/>
      <c r="F631" s="379"/>
      <c r="G631" s="387"/>
    </row>
    <row r="632" customFormat="false" ht="15" hidden="false" customHeight="false" outlineLevel="0" collapsed="false">
      <c r="C632" s="310"/>
      <c r="D632" s="310"/>
      <c r="E632" s="70"/>
      <c r="F632" s="379"/>
      <c r="G632" s="387"/>
    </row>
    <row r="633" customFormat="false" ht="15" hidden="false" customHeight="false" outlineLevel="0" collapsed="false">
      <c r="C633" s="310"/>
      <c r="D633" s="310"/>
      <c r="E633" s="70"/>
      <c r="F633" s="379"/>
      <c r="G633" s="387"/>
    </row>
    <row r="634" customFormat="false" ht="15" hidden="false" customHeight="false" outlineLevel="0" collapsed="false">
      <c r="C634" s="310"/>
      <c r="D634" s="310"/>
      <c r="E634" s="70"/>
      <c r="F634" s="379"/>
      <c r="G634" s="387"/>
    </row>
    <row r="635" customFormat="false" ht="15" hidden="false" customHeight="false" outlineLevel="0" collapsed="false">
      <c r="C635" s="310"/>
      <c r="D635" s="310"/>
      <c r="E635" s="70"/>
      <c r="F635" s="379"/>
      <c r="G635" s="387"/>
    </row>
    <row r="636" customFormat="false" ht="15" hidden="false" customHeight="false" outlineLevel="0" collapsed="false">
      <c r="C636" s="310"/>
      <c r="D636" s="310"/>
      <c r="E636" s="70"/>
      <c r="F636" s="379"/>
      <c r="G636" s="387"/>
    </row>
    <row r="637" customFormat="false" ht="15" hidden="false" customHeight="false" outlineLevel="0" collapsed="false">
      <c r="C637" s="310"/>
      <c r="D637" s="310"/>
      <c r="E637" s="70"/>
      <c r="F637" s="379"/>
      <c r="G637" s="387"/>
    </row>
    <row r="638" customFormat="false" ht="15" hidden="false" customHeight="false" outlineLevel="0" collapsed="false">
      <c r="C638" s="310"/>
      <c r="D638" s="310"/>
      <c r="E638" s="70"/>
      <c r="F638" s="379"/>
      <c r="G638" s="387"/>
    </row>
    <row r="639" customFormat="false" ht="15" hidden="false" customHeight="false" outlineLevel="0" collapsed="false">
      <c r="C639" s="310"/>
      <c r="D639" s="310"/>
      <c r="E639" s="70"/>
      <c r="F639" s="379"/>
      <c r="G639" s="387"/>
    </row>
    <row r="640" customFormat="false" ht="15" hidden="false" customHeight="false" outlineLevel="0" collapsed="false">
      <c r="C640" s="310"/>
      <c r="D640" s="310"/>
      <c r="E640" s="70"/>
      <c r="F640" s="379"/>
      <c r="G640" s="387"/>
    </row>
    <row r="641" customFormat="false" ht="15" hidden="false" customHeight="false" outlineLevel="0" collapsed="false">
      <c r="C641" s="310"/>
      <c r="D641" s="310"/>
      <c r="E641" s="70"/>
      <c r="F641" s="379"/>
      <c r="G641" s="387"/>
    </row>
    <row r="642" customFormat="false" ht="15" hidden="false" customHeight="false" outlineLevel="0" collapsed="false">
      <c r="C642" s="310"/>
      <c r="D642" s="310"/>
      <c r="E642" s="70"/>
      <c r="F642" s="379"/>
      <c r="G642" s="387"/>
    </row>
    <row r="643" customFormat="false" ht="15" hidden="false" customHeight="false" outlineLevel="0" collapsed="false">
      <c r="C643" s="310"/>
      <c r="D643" s="310"/>
      <c r="E643" s="70"/>
      <c r="F643" s="379"/>
      <c r="G643" s="387"/>
    </row>
    <row r="644" customFormat="false" ht="15" hidden="false" customHeight="false" outlineLevel="0" collapsed="false">
      <c r="C644" s="310"/>
      <c r="D644" s="310"/>
      <c r="E644" s="70"/>
      <c r="F644" s="379"/>
      <c r="G644" s="387"/>
    </row>
    <row r="645" customFormat="false" ht="15" hidden="false" customHeight="false" outlineLevel="0" collapsed="false">
      <c r="C645" s="310"/>
      <c r="D645" s="310"/>
      <c r="E645" s="70"/>
      <c r="F645" s="379"/>
      <c r="G645" s="387"/>
    </row>
    <row r="646" customFormat="false" ht="15" hidden="false" customHeight="false" outlineLevel="0" collapsed="false">
      <c r="C646" s="310"/>
      <c r="D646" s="310"/>
      <c r="E646" s="70"/>
      <c r="F646" s="379"/>
      <c r="G646" s="387"/>
    </row>
    <row r="647" customFormat="false" ht="15" hidden="false" customHeight="false" outlineLevel="0" collapsed="false">
      <c r="C647" s="310"/>
      <c r="D647" s="310"/>
      <c r="E647" s="70"/>
      <c r="F647" s="379"/>
      <c r="G647" s="387"/>
    </row>
    <row r="648" customFormat="false" ht="15" hidden="false" customHeight="false" outlineLevel="0" collapsed="false">
      <c r="C648" s="310"/>
      <c r="D648" s="310"/>
      <c r="E648" s="70"/>
      <c r="F648" s="379"/>
      <c r="G648" s="387"/>
    </row>
    <row r="649" customFormat="false" ht="15" hidden="false" customHeight="false" outlineLevel="0" collapsed="false">
      <c r="C649" s="310"/>
      <c r="D649" s="310"/>
      <c r="E649" s="70"/>
      <c r="F649" s="379"/>
      <c r="G649" s="387"/>
    </row>
    <row r="650" customFormat="false" ht="15" hidden="false" customHeight="false" outlineLevel="0" collapsed="false">
      <c r="C650" s="310"/>
      <c r="D650" s="310"/>
      <c r="E650" s="70"/>
      <c r="F650" s="379"/>
      <c r="G650" s="387"/>
    </row>
    <row r="651" customFormat="false" ht="15" hidden="false" customHeight="false" outlineLevel="0" collapsed="false">
      <c r="C651" s="310"/>
      <c r="D651" s="310"/>
      <c r="E651" s="70"/>
      <c r="F651" s="379"/>
      <c r="G651" s="387"/>
    </row>
    <row r="652" customFormat="false" ht="15" hidden="false" customHeight="false" outlineLevel="0" collapsed="false">
      <c r="C652" s="310"/>
      <c r="D652" s="310"/>
      <c r="E652" s="70"/>
      <c r="F652" s="379"/>
      <c r="G652" s="387"/>
    </row>
    <row r="653" customFormat="false" ht="15" hidden="false" customHeight="false" outlineLevel="0" collapsed="false">
      <c r="C653" s="310"/>
      <c r="D653" s="310"/>
      <c r="E653" s="70"/>
      <c r="F653" s="379"/>
      <c r="G653" s="387"/>
    </row>
    <row r="654" customFormat="false" ht="15" hidden="false" customHeight="false" outlineLevel="0" collapsed="false">
      <c r="C654" s="310"/>
      <c r="D654" s="310"/>
      <c r="E654" s="70"/>
      <c r="F654" s="379"/>
      <c r="G654" s="387"/>
    </row>
    <row r="655" customFormat="false" ht="15" hidden="false" customHeight="false" outlineLevel="0" collapsed="false">
      <c r="C655" s="310"/>
      <c r="D655" s="310"/>
      <c r="E655" s="70"/>
      <c r="F655" s="379"/>
      <c r="G655" s="387"/>
    </row>
    <row r="656" customFormat="false" ht="15" hidden="false" customHeight="false" outlineLevel="0" collapsed="false">
      <c r="C656" s="310"/>
      <c r="D656" s="310"/>
      <c r="E656" s="70"/>
      <c r="F656" s="379"/>
      <c r="G656" s="387"/>
    </row>
    <row r="657" customFormat="false" ht="15" hidden="false" customHeight="false" outlineLevel="0" collapsed="false">
      <c r="C657" s="310"/>
      <c r="D657" s="310"/>
      <c r="E657" s="70"/>
      <c r="F657" s="379"/>
      <c r="G657" s="387"/>
    </row>
    <row r="658" customFormat="false" ht="15" hidden="false" customHeight="false" outlineLevel="0" collapsed="false">
      <c r="C658" s="310"/>
      <c r="D658" s="310"/>
      <c r="E658" s="70"/>
      <c r="F658" s="379"/>
      <c r="G658" s="387"/>
    </row>
    <row r="659" customFormat="false" ht="15" hidden="false" customHeight="false" outlineLevel="0" collapsed="false">
      <c r="C659" s="310"/>
      <c r="D659" s="310"/>
      <c r="E659" s="70"/>
      <c r="F659" s="379"/>
      <c r="G659" s="387"/>
    </row>
    <row r="660" customFormat="false" ht="15" hidden="false" customHeight="false" outlineLevel="0" collapsed="false">
      <c r="C660" s="310"/>
      <c r="D660" s="310"/>
      <c r="E660" s="70"/>
      <c r="F660" s="379"/>
      <c r="G660" s="387"/>
    </row>
    <row r="661" customFormat="false" ht="15" hidden="false" customHeight="false" outlineLevel="0" collapsed="false">
      <c r="C661" s="310"/>
      <c r="D661" s="310"/>
      <c r="E661" s="70"/>
      <c r="F661" s="379"/>
      <c r="G661" s="387"/>
    </row>
    <row r="662" customFormat="false" ht="15" hidden="false" customHeight="false" outlineLevel="0" collapsed="false">
      <c r="C662" s="310"/>
      <c r="D662" s="310"/>
      <c r="E662" s="70"/>
      <c r="F662" s="379"/>
      <c r="G662" s="387"/>
    </row>
    <row r="663" customFormat="false" ht="15" hidden="false" customHeight="false" outlineLevel="0" collapsed="false">
      <c r="C663" s="310"/>
      <c r="D663" s="310"/>
      <c r="E663" s="70"/>
      <c r="F663" s="379"/>
      <c r="G663" s="387"/>
    </row>
    <row r="664" customFormat="false" ht="15" hidden="false" customHeight="false" outlineLevel="0" collapsed="false">
      <c r="C664" s="310"/>
      <c r="D664" s="310"/>
      <c r="E664" s="70"/>
      <c r="F664" s="379"/>
      <c r="G664" s="387"/>
    </row>
    <row r="665" customFormat="false" ht="15" hidden="false" customHeight="false" outlineLevel="0" collapsed="false">
      <c r="C665" s="310"/>
      <c r="D665" s="310"/>
      <c r="E665" s="70"/>
      <c r="F665" s="379"/>
      <c r="G665" s="387"/>
    </row>
    <row r="666" customFormat="false" ht="15" hidden="false" customHeight="false" outlineLevel="0" collapsed="false">
      <c r="C666" s="310"/>
      <c r="D666" s="310"/>
      <c r="E666" s="70"/>
      <c r="F666" s="379"/>
      <c r="G666" s="387"/>
    </row>
    <row r="667" customFormat="false" ht="15" hidden="false" customHeight="false" outlineLevel="0" collapsed="false">
      <c r="C667" s="310"/>
      <c r="D667" s="310"/>
      <c r="E667" s="70"/>
      <c r="F667" s="379"/>
      <c r="G667" s="387"/>
    </row>
    <row r="668" customFormat="false" ht="15" hidden="false" customHeight="false" outlineLevel="0" collapsed="false">
      <c r="C668" s="310"/>
      <c r="D668" s="310"/>
      <c r="E668" s="70"/>
      <c r="F668" s="379"/>
      <c r="G668" s="387"/>
    </row>
    <row r="669" customFormat="false" ht="15" hidden="false" customHeight="false" outlineLevel="0" collapsed="false">
      <c r="C669" s="310"/>
      <c r="D669" s="310"/>
      <c r="E669" s="70"/>
      <c r="F669" s="379"/>
      <c r="G669" s="387"/>
    </row>
    <row r="670" customFormat="false" ht="15" hidden="false" customHeight="false" outlineLevel="0" collapsed="false">
      <c r="C670" s="310"/>
      <c r="D670" s="310"/>
      <c r="E670" s="70"/>
      <c r="F670" s="379"/>
      <c r="G670" s="387"/>
    </row>
    <row r="671" customFormat="false" ht="15" hidden="false" customHeight="false" outlineLevel="0" collapsed="false">
      <c r="C671" s="310"/>
      <c r="D671" s="310"/>
      <c r="E671" s="70"/>
      <c r="F671" s="379"/>
      <c r="G671" s="387"/>
    </row>
    <row r="672" customFormat="false" ht="15" hidden="false" customHeight="false" outlineLevel="0" collapsed="false">
      <c r="C672" s="310"/>
      <c r="D672" s="310"/>
      <c r="E672" s="70"/>
      <c r="F672" s="379"/>
      <c r="G672" s="387"/>
    </row>
    <row r="673" customFormat="false" ht="15" hidden="false" customHeight="false" outlineLevel="0" collapsed="false">
      <c r="C673" s="310"/>
      <c r="D673" s="310"/>
      <c r="E673" s="70"/>
      <c r="F673" s="379"/>
      <c r="G673" s="387"/>
    </row>
    <row r="674" customFormat="false" ht="15" hidden="false" customHeight="false" outlineLevel="0" collapsed="false">
      <c r="C674" s="310"/>
      <c r="D674" s="310"/>
      <c r="E674" s="70"/>
      <c r="F674" s="379"/>
      <c r="G674" s="387"/>
    </row>
    <row r="675" customFormat="false" ht="15" hidden="false" customHeight="false" outlineLevel="0" collapsed="false">
      <c r="C675" s="310"/>
      <c r="D675" s="310"/>
      <c r="E675" s="70"/>
      <c r="F675" s="379"/>
      <c r="G675" s="387"/>
    </row>
    <row r="676" customFormat="false" ht="15" hidden="false" customHeight="false" outlineLevel="0" collapsed="false">
      <c r="C676" s="310"/>
      <c r="D676" s="310"/>
      <c r="E676" s="70"/>
      <c r="F676" s="379"/>
      <c r="G676" s="387"/>
    </row>
    <row r="677" customFormat="false" ht="15" hidden="false" customHeight="false" outlineLevel="0" collapsed="false">
      <c r="C677" s="310"/>
      <c r="D677" s="310"/>
      <c r="E677" s="70"/>
      <c r="F677" s="379"/>
      <c r="G677" s="387"/>
    </row>
    <row r="678" customFormat="false" ht="15" hidden="false" customHeight="false" outlineLevel="0" collapsed="false">
      <c r="C678" s="310"/>
      <c r="D678" s="310"/>
      <c r="E678" s="70"/>
      <c r="F678" s="379"/>
      <c r="G678" s="387"/>
    </row>
    <row r="679" customFormat="false" ht="15" hidden="false" customHeight="false" outlineLevel="0" collapsed="false">
      <c r="C679" s="310"/>
      <c r="D679" s="310"/>
      <c r="E679" s="70"/>
      <c r="F679" s="379"/>
      <c r="G679" s="387"/>
    </row>
    <row r="680" customFormat="false" ht="15" hidden="false" customHeight="false" outlineLevel="0" collapsed="false">
      <c r="C680" s="310"/>
      <c r="D680" s="310"/>
      <c r="E680" s="70"/>
      <c r="F680" s="379"/>
      <c r="G680" s="387"/>
    </row>
    <row r="681" customFormat="false" ht="15" hidden="false" customHeight="false" outlineLevel="0" collapsed="false">
      <c r="C681" s="310"/>
      <c r="D681" s="310"/>
      <c r="E681" s="70"/>
      <c r="F681" s="379"/>
      <c r="G681" s="387"/>
    </row>
    <row r="682" customFormat="false" ht="15" hidden="false" customHeight="false" outlineLevel="0" collapsed="false">
      <c r="C682" s="310"/>
      <c r="D682" s="310"/>
      <c r="E682" s="70"/>
      <c r="F682" s="379"/>
      <c r="G682" s="387"/>
    </row>
    <row r="683" customFormat="false" ht="15" hidden="false" customHeight="false" outlineLevel="0" collapsed="false">
      <c r="C683" s="310"/>
      <c r="D683" s="310"/>
      <c r="E683" s="70"/>
      <c r="F683" s="379"/>
      <c r="G683" s="387"/>
    </row>
    <row r="684" customFormat="false" ht="15" hidden="false" customHeight="false" outlineLevel="0" collapsed="false">
      <c r="C684" s="310"/>
      <c r="D684" s="310"/>
      <c r="E684" s="70"/>
      <c r="F684" s="379"/>
      <c r="G684" s="387"/>
    </row>
    <row r="685" customFormat="false" ht="15" hidden="false" customHeight="false" outlineLevel="0" collapsed="false">
      <c r="C685" s="310"/>
      <c r="D685" s="310"/>
      <c r="E685" s="70"/>
      <c r="F685" s="379"/>
      <c r="G685" s="387"/>
    </row>
    <row r="686" customFormat="false" ht="15" hidden="false" customHeight="false" outlineLevel="0" collapsed="false">
      <c r="C686" s="310"/>
      <c r="D686" s="310"/>
      <c r="E686" s="70"/>
      <c r="F686" s="379"/>
      <c r="G686" s="387"/>
    </row>
    <row r="687" customFormat="false" ht="15" hidden="false" customHeight="false" outlineLevel="0" collapsed="false">
      <c r="C687" s="310"/>
      <c r="D687" s="310"/>
      <c r="E687" s="70"/>
      <c r="F687" s="379"/>
      <c r="G687" s="387"/>
    </row>
    <row r="688" customFormat="false" ht="15" hidden="false" customHeight="false" outlineLevel="0" collapsed="false">
      <c r="C688" s="310"/>
      <c r="D688" s="310"/>
      <c r="E688" s="70"/>
      <c r="F688" s="379"/>
      <c r="G688" s="387"/>
    </row>
    <row r="689" customFormat="false" ht="15" hidden="false" customHeight="false" outlineLevel="0" collapsed="false">
      <c r="C689" s="310"/>
      <c r="D689" s="310"/>
      <c r="E689" s="70"/>
      <c r="F689" s="379"/>
      <c r="G689" s="387"/>
    </row>
    <row r="690" customFormat="false" ht="15" hidden="false" customHeight="false" outlineLevel="0" collapsed="false">
      <c r="C690" s="310"/>
      <c r="D690" s="310"/>
      <c r="E690" s="70"/>
      <c r="F690" s="379"/>
      <c r="G690" s="387"/>
    </row>
    <row r="691" customFormat="false" ht="15" hidden="false" customHeight="false" outlineLevel="0" collapsed="false">
      <c r="C691" s="310"/>
      <c r="D691" s="310"/>
      <c r="E691" s="70"/>
      <c r="F691" s="379"/>
      <c r="G691" s="387"/>
    </row>
    <row r="692" customFormat="false" ht="15" hidden="false" customHeight="false" outlineLevel="0" collapsed="false">
      <c r="C692" s="310"/>
      <c r="D692" s="310"/>
      <c r="E692" s="70"/>
      <c r="F692" s="379"/>
      <c r="G692" s="387"/>
    </row>
    <row r="693" customFormat="false" ht="15" hidden="false" customHeight="false" outlineLevel="0" collapsed="false">
      <c r="C693" s="310"/>
      <c r="D693" s="310"/>
      <c r="E693" s="70"/>
      <c r="F693" s="379"/>
      <c r="G693" s="387"/>
    </row>
    <row r="694" customFormat="false" ht="15" hidden="false" customHeight="false" outlineLevel="0" collapsed="false">
      <c r="C694" s="310"/>
      <c r="D694" s="310"/>
      <c r="E694" s="70"/>
      <c r="F694" s="379"/>
      <c r="G694" s="387"/>
    </row>
    <row r="695" customFormat="false" ht="15" hidden="false" customHeight="false" outlineLevel="0" collapsed="false">
      <c r="C695" s="310"/>
      <c r="D695" s="310"/>
      <c r="E695" s="70"/>
      <c r="F695" s="379"/>
      <c r="G695" s="387"/>
    </row>
    <row r="696" customFormat="false" ht="15" hidden="false" customHeight="false" outlineLevel="0" collapsed="false">
      <c r="C696" s="310"/>
      <c r="D696" s="310"/>
      <c r="E696" s="70"/>
      <c r="F696" s="379"/>
      <c r="G696" s="387"/>
    </row>
    <row r="697" customFormat="false" ht="15" hidden="false" customHeight="false" outlineLevel="0" collapsed="false">
      <c r="C697" s="310"/>
      <c r="D697" s="310"/>
      <c r="E697" s="70"/>
      <c r="F697" s="379"/>
      <c r="G697" s="387"/>
    </row>
    <row r="698" customFormat="false" ht="15" hidden="false" customHeight="false" outlineLevel="0" collapsed="false">
      <c r="C698" s="310"/>
      <c r="D698" s="310"/>
      <c r="E698" s="70"/>
      <c r="F698" s="379"/>
      <c r="G698" s="387"/>
    </row>
    <row r="699" customFormat="false" ht="15" hidden="false" customHeight="false" outlineLevel="0" collapsed="false">
      <c r="C699" s="310"/>
      <c r="D699" s="310"/>
      <c r="E699" s="70"/>
      <c r="F699" s="379"/>
      <c r="G699" s="387"/>
    </row>
    <row r="700" customFormat="false" ht="15" hidden="false" customHeight="false" outlineLevel="0" collapsed="false">
      <c r="C700" s="310"/>
      <c r="D700" s="310"/>
      <c r="E700" s="70"/>
      <c r="F700" s="379"/>
      <c r="G700" s="387"/>
    </row>
    <row r="701" customFormat="false" ht="15" hidden="false" customHeight="false" outlineLevel="0" collapsed="false">
      <c r="C701" s="310"/>
      <c r="D701" s="310"/>
      <c r="E701" s="70"/>
      <c r="F701" s="379"/>
      <c r="G701" s="387"/>
    </row>
    <row r="702" customFormat="false" ht="15" hidden="false" customHeight="false" outlineLevel="0" collapsed="false">
      <c r="C702" s="310"/>
      <c r="D702" s="310"/>
      <c r="E702" s="70"/>
      <c r="F702" s="379"/>
      <c r="G702" s="387"/>
    </row>
    <row r="703" customFormat="false" ht="15" hidden="false" customHeight="false" outlineLevel="0" collapsed="false">
      <c r="C703" s="310"/>
      <c r="D703" s="310"/>
      <c r="E703" s="70"/>
      <c r="F703" s="379"/>
      <c r="G703" s="387"/>
    </row>
    <row r="704" customFormat="false" ht="15" hidden="false" customHeight="false" outlineLevel="0" collapsed="false">
      <c r="C704" s="310"/>
      <c r="D704" s="310"/>
      <c r="E704" s="70"/>
      <c r="F704" s="379"/>
      <c r="G704" s="387"/>
    </row>
    <row r="705" customFormat="false" ht="15" hidden="false" customHeight="false" outlineLevel="0" collapsed="false">
      <c r="C705" s="310"/>
      <c r="D705" s="310"/>
      <c r="E705" s="70"/>
      <c r="F705" s="379"/>
      <c r="G705" s="387"/>
    </row>
    <row r="706" customFormat="false" ht="15" hidden="false" customHeight="false" outlineLevel="0" collapsed="false">
      <c r="C706" s="310"/>
      <c r="D706" s="310"/>
      <c r="E706" s="70"/>
      <c r="F706" s="379"/>
      <c r="G706" s="387"/>
    </row>
    <row r="707" customFormat="false" ht="15" hidden="false" customHeight="false" outlineLevel="0" collapsed="false">
      <c r="C707" s="310"/>
      <c r="D707" s="310"/>
      <c r="E707" s="70"/>
      <c r="F707" s="379"/>
      <c r="G707" s="387"/>
    </row>
    <row r="708" customFormat="false" ht="15" hidden="false" customHeight="false" outlineLevel="0" collapsed="false">
      <c r="C708" s="310"/>
      <c r="D708" s="310"/>
      <c r="E708" s="70"/>
      <c r="F708" s="379"/>
      <c r="G708" s="387"/>
    </row>
    <row r="709" customFormat="false" ht="15" hidden="false" customHeight="false" outlineLevel="0" collapsed="false">
      <c r="C709" s="310"/>
      <c r="D709" s="310"/>
      <c r="E709" s="70"/>
      <c r="F709" s="379"/>
      <c r="G709" s="387"/>
    </row>
    <row r="710" customFormat="false" ht="15" hidden="false" customHeight="false" outlineLevel="0" collapsed="false">
      <c r="C710" s="310"/>
      <c r="D710" s="310"/>
      <c r="E710" s="70"/>
      <c r="F710" s="379"/>
      <c r="G710" s="387"/>
    </row>
    <row r="711" customFormat="false" ht="15" hidden="false" customHeight="false" outlineLevel="0" collapsed="false">
      <c r="C711" s="310"/>
      <c r="D711" s="310"/>
      <c r="E711" s="70"/>
      <c r="F711" s="379"/>
      <c r="G711" s="387"/>
    </row>
    <row r="712" customFormat="false" ht="15" hidden="false" customHeight="false" outlineLevel="0" collapsed="false">
      <c r="C712" s="310"/>
      <c r="D712" s="310"/>
      <c r="E712" s="70"/>
      <c r="F712" s="379"/>
      <c r="G712" s="387"/>
    </row>
    <row r="713" customFormat="false" ht="15" hidden="false" customHeight="false" outlineLevel="0" collapsed="false">
      <c r="C713" s="310"/>
      <c r="D713" s="310"/>
      <c r="E713" s="70"/>
      <c r="F713" s="379"/>
      <c r="G713" s="387"/>
    </row>
    <row r="714" customFormat="false" ht="15" hidden="false" customHeight="false" outlineLevel="0" collapsed="false">
      <c r="C714" s="310"/>
      <c r="D714" s="310"/>
      <c r="E714" s="70"/>
      <c r="F714" s="379"/>
      <c r="G714" s="387"/>
    </row>
    <row r="715" customFormat="false" ht="15" hidden="false" customHeight="false" outlineLevel="0" collapsed="false">
      <c r="C715" s="310"/>
      <c r="D715" s="310"/>
      <c r="E715" s="70"/>
      <c r="F715" s="379"/>
      <c r="G715" s="387"/>
    </row>
    <row r="716" customFormat="false" ht="15" hidden="false" customHeight="false" outlineLevel="0" collapsed="false">
      <c r="C716" s="310"/>
      <c r="D716" s="310"/>
      <c r="E716" s="70"/>
      <c r="F716" s="379"/>
      <c r="G716" s="387"/>
    </row>
    <row r="717" customFormat="false" ht="15" hidden="false" customHeight="false" outlineLevel="0" collapsed="false">
      <c r="C717" s="310"/>
      <c r="D717" s="310"/>
      <c r="E717" s="70"/>
      <c r="F717" s="379"/>
      <c r="G717" s="387"/>
    </row>
    <row r="718" customFormat="false" ht="15" hidden="false" customHeight="false" outlineLevel="0" collapsed="false">
      <c r="C718" s="310"/>
      <c r="D718" s="310"/>
      <c r="E718" s="70"/>
      <c r="F718" s="379"/>
      <c r="G718" s="387"/>
    </row>
    <row r="719" customFormat="false" ht="15" hidden="false" customHeight="false" outlineLevel="0" collapsed="false">
      <c r="C719" s="310"/>
      <c r="D719" s="310"/>
      <c r="E719" s="70"/>
      <c r="F719" s="379"/>
      <c r="G719" s="387"/>
    </row>
    <row r="720" customFormat="false" ht="15" hidden="false" customHeight="false" outlineLevel="0" collapsed="false">
      <c r="C720" s="310"/>
      <c r="D720" s="310"/>
      <c r="E720" s="70"/>
      <c r="F720" s="379"/>
      <c r="G720" s="387"/>
    </row>
    <row r="721" customFormat="false" ht="15" hidden="false" customHeight="false" outlineLevel="0" collapsed="false">
      <c r="C721" s="310"/>
      <c r="D721" s="310"/>
      <c r="E721" s="70"/>
      <c r="F721" s="379"/>
      <c r="G721" s="387"/>
    </row>
    <row r="722" customFormat="false" ht="15" hidden="false" customHeight="false" outlineLevel="0" collapsed="false">
      <c r="C722" s="310"/>
      <c r="D722" s="310"/>
      <c r="E722" s="70"/>
      <c r="F722" s="379"/>
      <c r="G722" s="387"/>
    </row>
    <row r="723" customFormat="false" ht="15" hidden="false" customHeight="false" outlineLevel="0" collapsed="false">
      <c r="C723" s="310"/>
      <c r="D723" s="310"/>
      <c r="E723" s="70"/>
      <c r="F723" s="379"/>
      <c r="G723" s="387"/>
    </row>
    <row r="724" customFormat="false" ht="15" hidden="false" customHeight="false" outlineLevel="0" collapsed="false">
      <c r="C724" s="310"/>
      <c r="D724" s="310"/>
      <c r="E724" s="70"/>
      <c r="F724" s="379"/>
      <c r="G724" s="387"/>
    </row>
    <row r="725" customFormat="false" ht="15" hidden="false" customHeight="false" outlineLevel="0" collapsed="false">
      <c r="C725" s="310"/>
      <c r="D725" s="310"/>
      <c r="E725" s="70"/>
      <c r="F725" s="379"/>
      <c r="G725" s="387"/>
    </row>
    <row r="726" customFormat="false" ht="15" hidden="false" customHeight="false" outlineLevel="0" collapsed="false">
      <c r="C726" s="310"/>
      <c r="D726" s="310"/>
      <c r="E726" s="70"/>
      <c r="F726" s="379"/>
      <c r="G726" s="387"/>
    </row>
    <row r="727" customFormat="false" ht="15" hidden="false" customHeight="false" outlineLevel="0" collapsed="false">
      <c r="C727" s="310"/>
      <c r="D727" s="310"/>
      <c r="E727" s="70"/>
      <c r="F727" s="379"/>
      <c r="G727" s="387"/>
    </row>
    <row r="728" customFormat="false" ht="15" hidden="false" customHeight="false" outlineLevel="0" collapsed="false">
      <c r="C728" s="310"/>
      <c r="D728" s="310"/>
      <c r="E728" s="70"/>
      <c r="F728" s="379"/>
      <c r="G728" s="387"/>
    </row>
    <row r="729" customFormat="false" ht="15" hidden="false" customHeight="false" outlineLevel="0" collapsed="false">
      <c r="C729" s="310"/>
      <c r="D729" s="310"/>
      <c r="E729" s="70"/>
      <c r="F729" s="379"/>
      <c r="G729" s="387"/>
    </row>
    <row r="730" customFormat="false" ht="15" hidden="false" customHeight="false" outlineLevel="0" collapsed="false">
      <c r="C730" s="310"/>
      <c r="D730" s="310"/>
      <c r="E730" s="70"/>
      <c r="F730" s="379"/>
      <c r="G730" s="387"/>
    </row>
    <row r="731" customFormat="false" ht="15" hidden="false" customHeight="false" outlineLevel="0" collapsed="false">
      <c r="C731" s="310"/>
      <c r="D731" s="310"/>
      <c r="E731" s="70"/>
      <c r="F731" s="379"/>
      <c r="G731" s="387"/>
    </row>
    <row r="732" customFormat="false" ht="15" hidden="false" customHeight="false" outlineLevel="0" collapsed="false">
      <c r="C732" s="310"/>
      <c r="D732" s="310"/>
      <c r="E732" s="70"/>
      <c r="F732" s="379"/>
      <c r="G732" s="387"/>
    </row>
    <row r="733" customFormat="false" ht="15" hidden="false" customHeight="false" outlineLevel="0" collapsed="false">
      <c r="C733" s="310"/>
      <c r="D733" s="310"/>
      <c r="E733" s="70"/>
      <c r="F733" s="379"/>
      <c r="G733" s="387"/>
    </row>
    <row r="734" customFormat="false" ht="15" hidden="false" customHeight="false" outlineLevel="0" collapsed="false">
      <c r="C734" s="310"/>
      <c r="D734" s="310"/>
      <c r="E734" s="70"/>
      <c r="F734" s="379"/>
      <c r="G734" s="387"/>
    </row>
    <row r="735" customFormat="false" ht="15" hidden="false" customHeight="false" outlineLevel="0" collapsed="false">
      <c r="C735" s="310"/>
      <c r="D735" s="310"/>
      <c r="E735" s="70"/>
      <c r="F735" s="379"/>
      <c r="G735" s="387"/>
    </row>
    <row r="736" customFormat="false" ht="15" hidden="false" customHeight="false" outlineLevel="0" collapsed="false">
      <c r="C736" s="310"/>
      <c r="D736" s="310"/>
      <c r="E736" s="70"/>
      <c r="F736" s="379"/>
      <c r="G736" s="387"/>
    </row>
    <row r="737" customFormat="false" ht="15" hidden="false" customHeight="false" outlineLevel="0" collapsed="false">
      <c r="C737" s="310"/>
      <c r="D737" s="310"/>
      <c r="E737" s="70"/>
      <c r="F737" s="379"/>
      <c r="G737" s="387"/>
    </row>
    <row r="738" customFormat="false" ht="15" hidden="false" customHeight="false" outlineLevel="0" collapsed="false">
      <c r="C738" s="310"/>
      <c r="D738" s="310"/>
      <c r="E738" s="70"/>
      <c r="F738" s="379"/>
      <c r="G738" s="387"/>
    </row>
    <row r="739" customFormat="false" ht="15" hidden="false" customHeight="false" outlineLevel="0" collapsed="false">
      <c r="C739" s="310"/>
      <c r="D739" s="310"/>
      <c r="E739" s="70"/>
      <c r="F739" s="379"/>
      <c r="G739" s="387"/>
    </row>
    <row r="740" customFormat="false" ht="15" hidden="false" customHeight="false" outlineLevel="0" collapsed="false">
      <c r="C740" s="310"/>
      <c r="D740" s="310"/>
      <c r="E740" s="70"/>
      <c r="F740" s="379"/>
      <c r="G740" s="387"/>
    </row>
    <row r="741" customFormat="false" ht="15" hidden="false" customHeight="false" outlineLevel="0" collapsed="false">
      <c r="C741" s="310"/>
      <c r="D741" s="310"/>
      <c r="E741" s="70"/>
      <c r="F741" s="379"/>
      <c r="G741" s="387"/>
    </row>
    <row r="742" customFormat="false" ht="15" hidden="false" customHeight="false" outlineLevel="0" collapsed="false">
      <c r="C742" s="310"/>
      <c r="D742" s="310"/>
      <c r="E742" s="70"/>
      <c r="F742" s="379"/>
      <c r="G742" s="387"/>
    </row>
    <row r="743" customFormat="false" ht="15" hidden="false" customHeight="false" outlineLevel="0" collapsed="false">
      <c r="C743" s="310"/>
      <c r="D743" s="310"/>
      <c r="E743" s="70"/>
      <c r="F743" s="379"/>
      <c r="G743" s="387"/>
    </row>
    <row r="744" customFormat="false" ht="15" hidden="false" customHeight="false" outlineLevel="0" collapsed="false">
      <c r="C744" s="310"/>
      <c r="D744" s="310"/>
      <c r="E744" s="70"/>
      <c r="F744" s="379"/>
      <c r="G744" s="387"/>
    </row>
    <row r="745" customFormat="false" ht="15" hidden="false" customHeight="false" outlineLevel="0" collapsed="false">
      <c r="C745" s="310"/>
      <c r="D745" s="310"/>
      <c r="E745" s="70"/>
      <c r="F745" s="379"/>
      <c r="G745" s="387"/>
    </row>
    <row r="746" customFormat="false" ht="15" hidden="false" customHeight="false" outlineLevel="0" collapsed="false">
      <c r="C746" s="310"/>
      <c r="D746" s="310"/>
      <c r="E746" s="70"/>
      <c r="F746" s="379"/>
      <c r="G746" s="387"/>
    </row>
    <row r="747" customFormat="false" ht="15" hidden="false" customHeight="false" outlineLevel="0" collapsed="false">
      <c r="C747" s="310"/>
      <c r="D747" s="310"/>
      <c r="E747" s="70"/>
      <c r="F747" s="379"/>
      <c r="G747" s="387"/>
    </row>
    <row r="748" customFormat="false" ht="15" hidden="false" customHeight="false" outlineLevel="0" collapsed="false">
      <c r="C748" s="310"/>
      <c r="D748" s="310"/>
      <c r="E748" s="70"/>
      <c r="F748" s="379"/>
      <c r="G748" s="387"/>
    </row>
    <row r="749" customFormat="false" ht="15" hidden="false" customHeight="false" outlineLevel="0" collapsed="false">
      <c r="C749" s="310"/>
      <c r="D749" s="310"/>
      <c r="E749" s="70"/>
      <c r="F749" s="379"/>
      <c r="G749" s="387"/>
    </row>
    <row r="750" customFormat="false" ht="15" hidden="false" customHeight="false" outlineLevel="0" collapsed="false">
      <c r="C750" s="310"/>
      <c r="D750" s="310"/>
      <c r="E750" s="70"/>
      <c r="F750" s="379"/>
      <c r="G750" s="387"/>
    </row>
    <row r="751" customFormat="false" ht="15" hidden="false" customHeight="false" outlineLevel="0" collapsed="false">
      <c r="C751" s="310"/>
      <c r="D751" s="310"/>
      <c r="E751" s="70"/>
      <c r="F751" s="379"/>
      <c r="G751" s="387"/>
    </row>
    <row r="752" customFormat="false" ht="15" hidden="false" customHeight="false" outlineLevel="0" collapsed="false">
      <c r="C752" s="310"/>
      <c r="D752" s="310"/>
      <c r="E752" s="70"/>
      <c r="F752" s="379"/>
      <c r="G752" s="387"/>
    </row>
    <row r="753" customFormat="false" ht="15" hidden="false" customHeight="false" outlineLevel="0" collapsed="false">
      <c r="C753" s="310"/>
      <c r="D753" s="310"/>
      <c r="E753" s="70"/>
      <c r="F753" s="379"/>
      <c r="G753" s="387"/>
    </row>
    <row r="754" customFormat="false" ht="15" hidden="false" customHeight="false" outlineLevel="0" collapsed="false">
      <c r="C754" s="310"/>
      <c r="D754" s="310"/>
      <c r="E754" s="70"/>
      <c r="F754" s="379"/>
      <c r="G754" s="387"/>
    </row>
    <row r="755" customFormat="false" ht="15" hidden="false" customHeight="false" outlineLevel="0" collapsed="false">
      <c r="C755" s="310"/>
      <c r="D755" s="310"/>
      <c r="E755" s="70"/>
      <c r="F755" s="379"/>
      <c r="G755" s="387"/>
    </row>
    <row r="756" customFormat="false" ht="15" hidden="false" customHeight="false" outlineLevel="0" collapsed="false">
      <c r="C756" s="310"/>
      <c r="D756" s="310"/>
      <c r="E756" s="70"/>
      <c r="F756" s="379"/>
      <c r="G756" s="387"/>
    </row>
    <row r="757" customFormat="false" ht="15" hidden="false" customHeight="false" outlineLevel="0" collapsed="false">
      <c r="C757" s="310"/>
      <c r="D757" s="310"/>
      <c r="E757" s="70"/>
      <c r="F757" s="379"/>
      <c r="G757" s="387"/>
    </row>
    <row r="758" customFormat="false" ht="15" hidden="false" customHeight="false" outlineLevel="0" collapsed="false">
      <c r="C758" s="310"/>
      <c r="D758" s="310"/>
      <c r="E758" s="70"/>
      <c r="F758" s="379"/>
      <c r="G758" s="387"/>
    </row>
    <row r="759" customFormat="false" ht="15" hidden="false" customHeight="false" outlineLevel="0" collapsed="false">
      <c r="C759" s="310"/>
      <c r="D759" s="310"/>
      <c r="E759" s="70"/>
      <c r="F759" s="379"/>
      <c r="G759" s="387"/>
    </row>
    <row r="760" customFormat="false" ht="15" hidden="false" customHeight="false" outlineLevel="0" collapsed="false">
      <c r="C760" s="310"/>
      <c r="D760" s="310"/>
      <c r="E760" s="70"/>
      <c r="F760" s="379"/>
      <c r="G760" s="387"/>
    </row>
    <row r="761" customFormat="false" ht="15" hidden="false" customHeight="false" outlineLevel="0" collapsed="false">
      <c r="C761" s="310"/>
      <c r="D761" s="310"/>
      <c r="E761" s="70"/>
      <c r="F761" s="379"/>
      <c r="G761" s="387"/>
    </row>
    <row r="762" customFormat="false" ht="15" hidden="false" customHeight="false" outlineLevel="0" collapsed="false">
      <c r="C762" s="310"/>
      <c r="D762" s="310"/>
      <c r="E762" s="70"/>
      <c r="F762" s="379"/>
      <c r="G762" s="387"/>
    </row>
    <row r="763" customFormat="false" ht="15" hidden="false" customHeight="false" outlineLevel="0" collapsed="false">
      <c r="C763" s="310"/>
      <c r="D763" s="310"/>
      <c r="E763" s="70"/>
      <c r="F763" s="379"/>
      <c r="G763" s="387"/>
    </row>
    <row r="764" customFormat="false" ht="15" hidden="false" customHeight="false" outlineLevel="0" collapsed="false">
      <c r="C764" s="310"/>
      <c r="D764" s="310"/>
      <c r="E764" s="70"/>
      <c r="F764" s="379"/>
      <c r="G764" s="387"/>
    </row>
    <row r="765" customFormat="false" ht="15" hidden="false" customHeight="false" outlineLevel="0" collapsed="false">
      <c r="C765" s="310"/>
      <c r="D765" s="310"/>
      <c r="E765" s="70"/>
      <c r="F765" s="379"/>
      <c r="G765" s="387"/>
    </row>
    <row r="766" customFormat="false" ht="15" hidden="false" customHeight="false" outlineLevel="0" collapsed="false">
      <c r="C766" s="310"/>
      <c r="D766" s="310"/>
      <c r="E766" s="70"/>
      <c r="F766" s="379"/>
      <c r="G766" s="387"/>
    </row>
    <row r="767" customFormat="false" ht="15" hidden="false" customHeight="false" outlineLevel="0" collapsed="false">
      <c r="C767" s="310"/>
      <c r="D767" s="310"/>
      <c r="E767" s="70"/>
      <c r="F767" s="379"/>
      <c r="G767" s="387"/>
    </row>
    <row r="768" customFormat="false" ht="15" hidden="false" customHeight="false" outlineLevel="0" collapsed="false">
      <c r="C768" s="310"/>
      <c r="D768" s="310"/>
      <c r="E768" s="70"/>
      <c r="F768" s="379"/>
      <c r="G768" s="387"/>
    </row>
    <row r="769" customFormat="false" ht="15" hidden="false" customHeight="false" outlineLevel="0" collapsed="false">
      <c r="C769" s="310"/>
      <c r="D769" s="310"/>
      <c r="E769" s="70"/>
      <c r="F769" s="379"/>
      <c r="G769" s="387"/>
    </row>
    <row r="770" customFormat="false" ht="15" hidden="false" customHeight="false" outlineLevel="0" collapsed="false">
      <c r="C770" s="310"/>
      <c r="D770" s="310"/>
      <c r="E770" s="70"/>
      <c r="F770" s="379"/>
      <c r="G770" s="387"/>
    </row>
    <row r="771" customFormat="false" ht="15" hidden="false" customHeight="false" outlineLevel="0" collapsed="false">
      <c r="C771" s="310"/>
      <c r="D771" s="310"/>
      <c r="E771" s="70"/>
      <c r="F771" s="379"/>
      <c r="G771" s="387"/>
    </row>
    <row r="772" customFormat="false" ht="15" hidden="false" customHeight="false" outlineLevel="0" collapsed="false">
      <c r="C772" s="310"/>
      <c r="D772" s="310"/>
      <c r="E772" s="70"/>
      <c r="F772" s="379"/>
      <c r="G772" s="387"/>
    </row>
    <row r="773" customFormat="false" ht="15" hidden="false" customHeight="false" outlineLevel="0" collapsed="false">
      <c r="C773" s="310"/>
      <c r="D773" s="310"/>
      <c r="E773" s="70"/>
      <c r="F773" s="379"/>
      <c r="G773" s="387"/>
    </row>
    <row r="774" customFormat="false" ht="15" hidden="false" customHeight="false" outlineLevel="0" collapsed="false">
      <c r="C774" s="310"/>
      <c r="D774" s="310"/>
      <c r="E774" s="70"/>
      <c r="F774" s="379"/>
      <c r="G774" s="387"/>
    </row>
    <row r="775" customFormat="false" ht="15" hidden="false" customHeight="false" outlineLevel="0" collapsed="false">
      <c r="C775" s="310"/>
      <c r="D775" s="310"/>
      <c r="E775" s="70"/>
      <c r="F775" s="379"/>
      <c r="G775" s="387"/>
    </row>
    <row r="776" customFormat="false" ht="15" hidden="false" customHeight="false" outlineLevel="0" collapsed="false">
      <c r="C776" s="310"/>
      <c r="D776" s="310"/>
      <c r="E776" s="70"/>
      <c r="F776" s="379"/>
      <c r="G776" s="387"/>
    </row>
    <row r="777" customFormat="false" ht="15" hidden="false" customHeight="false" outlineLevel="0" collapsed="false">
      <c r="C777" s="310"/>
      <c r="D777" s="310"/>
      <c r="E777" s="70"/>
      <c r="F777" s="379"/>
      <c r="G777" s="387"/>
    </row>
    <row r="778" customFormat="false" ht="15" hidden="false" customHeight="false" outlineLevel="0" collapsed="false">
      <c r="C778" s="310"/>
      <c r="D778" s="310"/>
      <c r="E778" s="70"/>
      <c r="F778" s="379"/>
      <c r="G778" s="387"/>
    </row>
    <row r="779" customFormat="false" ht="15" hidden="false" customHeight="false" outlineLevel="0" collapsed="false">
      <c r="C779" s="310"/>
      <c r="D779" s="310"/>
      <c r="E779" s="70"/>
      <c r="F779" s="379"/>
      <c r="G779" s="387"/>
    </row>
    <row r="780" customFormat="false" ht="15" hidden="false" customHeight="false" outlineLevel="0" collapsed="false">
      <c r="C780" s="310"/>
      <c r="D780" s="310"/>
      <c r="E780" s="70"/>
      <c r="F780" s="379"/>
      <c r="G780" s="387"/>
    </row>
    <row r="781" customFormat="false" ht="15" hidden="false" customHeight="false" outlineLevel="0" collapsed="false">
      <c r="C781" s="310"/>
      <c r="D781" s="310"/>
      <c r="E781" s="70"/>
      <c r="F781" s="379"/>
      <c r="G781" s="387"/>
    </row>
    <row r="782" customFormat="false" ht="15" hidden="false" customHeight="false" outlineLevel="0" collapsed="false">
      <c r="C782" s="310"/>
      <c r="D782" s="310"/>
      <c r="E782" s="70"/>
      <c r="F782" s="379"/>
      <c r="G782" s="387"/>
    </row>
    <row r="783" customFormat="false" ht="15" hidden="false" customHeight="false" outlineLevel="0" collapsed="false">
      <c r="C783" s="310"/>
      <c r="D783" s="310"/>
      <c r="E783" s="70"/>
      <c r="F783" s="379"/>
      <c r="G783" s="387"/>
    </row>
    <row r="784" customFormat="false" ht="15" hidden="false" customHeight="false" outlineLevel="0" collapsed="false">
      <c r="C784" s="310"/>
      <c r="D784" s="310"/>
      <c r="E784" s="70"/>
      <c r="F784" s="379"/>
      <c r="G784" s="387"/>
    </row>
    <row r="785" customFormat="false" ht="15" hidden="false" customHeight="false" outlineLevel="0" collapsed="false">
      <c r="C785" s="310"/>
      <c r="D785" s="310"/>
      <c r="E785" s="70"/>
      <c r="F785" s="379"/>
      <c r="G785" s="387"/>
    </row>
    <row r="786" customFormat="false" ht="15" hidden="false" customHeight="false" outlineLevel="0" collapsed="false">
      <c r="C786" s="310"/>
      <c r="D786" s="310"/>
      <c r="E786" s="70"/>
      <c r="F786" s="379"/>
      <c r="G786" s="387"/>
    </row>
    <row r="787" customFormat="false" ht="15" hidden="false" customHeight="false" outlineLevel="0" collapsed="false">
      <c r="C787" s="310"/>
      <c r="D787" s="310"/>
      <c r="E787" s="70"/>
      <c r="F787" s="379"/>
      <c r="G787" s="387"/>
    </row>
    <row r="788" customFormat="false" ht="15" hidden="false" customHeight="false" outlineLevel="0" collapsed="false">
      <c r="C788" s="310"/>
      <c r="D788" s="310"/>
      <c r="E788" s="70"/>
      <c r="F788" s="379"/>
      <c r="G788" s="387"/>
    </row>
    <row r="789" customFormat="false" ht="15" hidden="false" customHeight="false" outlineLevel="0" collapsed="false">
      <c r="C789" s="310"/>
      <c r="D789" s="310"/>
      <c r="E789" s="70"/>
      <c r="F789" s="379"/>
      <c r="G789" s="387"/>
    </row>
    <row r="790" customFormat="false" ht="15" hidden="false" customHeight="false" outlineLevel="0" collapsed="false">
      <c r="C790" s="310"/>
      <c r="D790" s="310"/>
      <c r="E790" s="70"/>
      <c r="F790" s="379"/>
      <c r="G790" s="387"/>
    </row>
    <row r="791" customFormat="false" ht="15" hidden="false" customHeight="false" outlineLevel="0" collapsed="false">
      <c r="C791" s="310"/>
      <c r="D791" s="310"/>
      <c r="E791" s="70"/>
      <c r="F791" s="379"/>
      <c r="G791" s="387"/>
    </row>
    <row r="792" customFormat="false" ht="15" hidden="false" customHeight="false" outlineLevel="0" collapsed="false">
      <c r="C792" s="310"/>
      <c r="D792" s="310"/>
      <c r="E792" s="70"/>
      <c r="F792" s="379"/>
      <c r="G792" s="387"/>
    </row>
    <row r="793" customFormat="false" ht="15" hidden="false" customHeight="false" outlineLevel="0" collapsed="false">
      <c r="C793" s="310"/>
      <c r="D793" s="310"/>
      <c r="E793" s="70"/>
      <c r="F793" s="379"/>
      <c r="G793" s="387"/>
    </row>
    <row r="794" customFormat="false" ht="15" hidden="false" customHeight="false" outlineLevel="0" collapsed="false">
      <c r="C794" s="310"/>
      <c r="D794" s="310"/>
      <c r="E794" s="70"/>
      <c r="F794" s="379"/>
      <c r="G794" s="387"/>
    </row>
    <row r="795" customFormat="false" ht="15" hidden="false" customHeight="false" outlineLevel="0" collapsed="false">
      <c r="C795" s="310"/>
      <c r="D795" s="310"/>
      <c r="E795" s="70"/>
      <c r="F795" s="379"/>
      <c r="G795" s="387"/>
    </row>
    <row r="796" customFormat="false" ht="15" hidden="false" customHeight="false" outlineLevel="0" collapsed="false">
      <c r="C796" s="310"/>
      <c r="D796" s="310"/>
      <c r="E796" s="70"/>
      <c r="F796" s="379"/>
      <c r="G796" s="387"/>
    </row>
    <row r="797" customFormat="false" ht="15" hidden="false" customHeight="false" outlineLevel="0" collapsed="false">
      <c r="C797" s="310"/>
      <c r="D797" s="310"/>
      <c r="E797" s="70"/>
      <c r="F797" s="379"/>
      <c r="G797" s="387"/>
    </row>
    <row r="798" customFormat="false" ht="15" hidden="false" customHeight="false" outlineLevel="0" collapsed="false">
      <c r="C798" s="310"/>
      <c r="D798" s="310"/>
      <c r="E798" s="70"/>
      <c r="F798" s="379"/>
      <c r="G798" s="387"/>
    </row>
    <row r="799" customFormat="false" ht="15" hidden="false" customHeight="false" outlineLevel="0" collapsed="false">
      <c r="C799" s="310"/>
      <c r="D799" s="310"/>
      <c r="E799" s="70"/>
      <c r="F799" s="379"/>
      <c r="G799" s="387"/>
    </row>
    <row r="800" customFormat="false" ht="15" hidden="false" customHeight="false" outlineLevel="0" collapsed="false">
      <c r="C800" s="310"/>
      <c r="D800" s="310"/>
      <c r="E800" s="70"/>
      <c r="F800" s="379"/>
      <c r="G800" s="387"/>
    </row>
    <row r="801" customFormat="false" ht="15" hidden="false" customHeight="false" outlineLevel="0" collapsed="false">
      <c r="C801" s="310"/>
      <c r="D801" s="310"/>
      <c r="E801" s="70"/>
      <c r="F801" s="379"/>
      <c r="G801" s="387"/>
    </row>
    <row r="802" customFormat="false" ht="15" hidden="false" customHeight="false" outlineLevel="0" collapsed="false">
      <c r="C802" s="310"/>
      <c r="D802" s="310"/>
      <c r="E802" s="70"/>
      <c r="F802" s="379"/>
      <c r="G802" s="387"/>
    </row>
    <row r="803" customFormat="false" ht="15" hidden="false" customHeight="false" outlineLevel="0" collapsed="false">
      <c r="C803" s="310"/>
      <c r="D803" s="310"/>
      <c r="E803" s="70"/>
      <c r="F803" s="379"/>
      <c r="G803" s="387"/>
    </row>
    <row r="804" customFormat="false" ht="15" hidden="false" customHeight="false" outlineLevel="0" collapsed="false">
      <c r="C804" s="310"/>
      <c r="D804" s="310"/>
      <c r="E804" s="70"/>
      <c r="F804" s="379"/>
      <c r="G804" s="387"/>
    </row>
    <row r="805" customFormat="false" ht="15" hidden="false" customHeight="false" outlineLevel="0" collapsed="false">
      <c r="C805" s="310"/>
      <c r="D805" s="310"/>
      <c r="E805" s="70"/>
      <c r="F805" s="379"/>
      <c r="G805" s="387"/>
    </row>
    <row r="806" customFormat="false" ht="15" hidden="false" customHeight="false" outlineLevel="0" collapsed="false">
      <c r="C806" s="310"/>
      <c r="D806" s="310"/>
      <c r="E806" s="70"/>
      <c r="F806" s="379"/>
      <c r="G806" s="387"/>
    </row>
    <row r="807" customFormat="false" ht="15" hidden="false" customHeight="false" outlineLevel="0" collapsed="false">
      <c r="C807" s="310"/>
      <c r="D807" s="310"/>
      <c r="E807" s="70"/>
      <c r="F807" s="379"/>
      <c r="G807" s="387"/>
    </row>
    <row r="808" customFormat="false" ht="15" hidden="false" customHeight="false" outlineLevel="0" collapsed="false">
      <c r="C808" s="310"/>
      <c r="D808" s="310"/>
      <c r="E808" s="70"/>
      <c r="F808" s="379"/>
      <c r="G808" s="387"/>
    </row>
    <row r="809" customFormat="false" ht="15" hidden="false" customHeight="false" outlineLevel="0" collapsed="false">
      <c r="C809" s="310"/>
      <c r="D809" s="310"/>
      <c r="E809" s="70"/>
      <c r="F809" s="379"/>
      <c r="G809" s="387"/>
    </row>
    <row r="810" customFormat="false" ht="15" hidden="false" customHeight="false" outlineLevel="0" collapsed="false">
      <c r="C810" s="310"/>
      <c r="D810" s="310"/>
      <c r="E810" s="70"/>
      <c r="F810" s="379"/>
      <c r="G810" s="387"/>
    </row>
    <row r="811" customFormat="false" ht="15" hidden="false" customHeight="false" outlineLevel="0" collapsed="false">
      <c r="C811" s="310"/>
      <c r="D811" s="310"/>
      <c r="E811" s="70"/>
      <c r="F811" s="379"/>
      <c r="G811" s="387"/>
    </row>
    <row r="812" customFormat="false" ht="15" hidden="false" customHeight="false" outlineLevel="0" collapsed="false">
      <c r="C812" s="310"/>
      <c r="D812" s="310"/>
      <c r="E812" s="70"/>
      <c r="F812" s="379"/>
      <c r="G812" s="387"/>
    </row>
    <row r="813" customFormat="false" ht="15" hidden="false" customHeight="false" outlineLevel="0" collapsed="false">
      <c r="C813" s="310"/>
      <c r="D813" s="310"/>
      <c r="E813" s="70"/>
      <c r="F813" s="379"/>
      <c r="G813" s="387"/>
    </row>
    <row r="814" customFormat="false" ht="15" hidden="false" customHeight="false" outlineLevel="0" collapsed="false">
      <c r="C814" s="310"/>
      <c r="D814" s="310"/>
      <c r="E814" s="70"/>
      <c r="F814" s="379"/>
      <c r="G814" s="387"/>
    </row>
    <row r="815" customFormat="false" ht="15" hidden="false" customHeight="false" outlineLevel="0" collapsed="false">
      <c r="C815" s="310"/>
      <c r="D815" s="310"/>
      <c r="E815" s="70"/>
      <c r="F815" s="379"/>
      <c r="G815" s="387"/>
    </row>
    <row r="816" customFormat="false" ht="15" hidden="false" customHeight="false" outlineLevel="0" collapsed="false">
      <c r="C816" s="310"/>
      <c r="D816" s="310"/>
      <c r="E816" s="70"/>
      <c r="F816" s="379"/>
      <c r="G816" s="387"/>
    </row>
    <row r="817" customFormat="false" ht="15" hidden="false" customHeight="false" outlineLevel="0" collapsed="false">
      <c r="C817" s="310"/>
      <c r="D817" s="310"/>
      <c r="E817" s="70"/>
      <c r="F817" s="379"/>
      <c r="G817" s="387"/>
    </row>
    <row r="818" customFormat="false" ht="15" hidden="false" customHeight="false" outlineLevel="0" collapsed="false">
      <c r="C818" s="310"/>
      <c r="D818" s="310"/>
      <c r="E818" s="70"/>
      <c r="F818" s="379"/>
      <c r="G818" s="387"/>
    </row>
    <row r="819" customFormat="false" ht="15" hidden="false" customHeight="false" outlineLevel="0" collapsed="false">
      <c r="C819" s="310"/>
      <c r="D819" s="310"/>
      <c r="E819" s="70"/>
      <c r="F819" s="379"/>
      <c r="G819" s="387"/>
    </row>
    <row r="820" customFormat="false" ht="15" hidden="false" customHeight="false" outlineLevel="0" collapsed="false">
      <c r="C820" s="310"/>
      <c r="D820" s="310"/>
      <c r="E820" s="70"/>
      <c r="F820" s="379"/>
      <c r="G820" s="387"/>
    </row>
    <row r="821" customFormat="false" ht="15" hidden="false" customHeight="false" outlineLevel="0" collapsed="false">
      <c r="C821" s="310"/>
      <c r="D821" s="310"/>
      <c r="E821" s="70"/>
      <c r="F821" s="379"/>
      <c r="G821" s="387"/>
    </row>
    <row r="822" customFormat="false" ht="15" hidden="false" customHeight="false" outlineLevel="0" collapsed="false">
      <c r="C822" s="310"/>
      <c r="D822" s="310"/>
      <c r="E822" s="70"/>
      <c r="F822" s="379"/>
      <c r="G822" s="387"/>
    </row>
    <row r="823" customFormat="false" ht="15" hidden="false" customHeight="false" outlineLevel="0" collapsed="false">
      <c r="C823" s="310"/>
      <c r="D823" s="310"/>
      <c r="E823" s="70"/>
      <c r="F823" s="379"/>
      <c r="G823" s="387"/>
    </row>
    <row r="824" customFormat="false" ht="15" hidden="false" customHeight="false" outlineLevel="0" collapsed="false">
      <c r="C824" s="310"/>
      <c r="D824" s="310"/>
      <c r="E824" s="70"/>
      <c r="F824" s="379"/>
      <c r="G824" s="387"/>
    </row>
    <row r="825" customFormat="false" ht="15" hidden="false" customHeight="false" outlineLevel="0" collapsed="false">
      <c r="C825" s="310"/>
      <c r="D825" s="310"/>
      <c r="E825" s="70"/>
      <c r="F825" s="379"/>
      <c r="G825" s="387"/>
    </row>
    <row r="826" customFormat="false" ht="15" hidden="false" customHeight="false" outlineLevel="0" collapsed="false">
      <c r="C826" s="310"/>
      <c r="D826" s="310"/>
      <c r="E826" s="70"/>
      <c r="F826" s="379"/>
      <c r="G826" s="387"/>
    </row>
    <row r="827" customFormat="false" ht="15" hidden="false" customHeight="false" outlineLevel="0" collapsed="false">
      <c r="C827" s="310"/>
      <c r="D827" s="310"/>
      <c r="E827" s="70"/>
      <c r="F827" s="379"/>
      <c r="G827" s="387"/>
    </row>
    <row r="828" customFormat="false" ht="15" hidden="false" customHeight="false" outlineLevel="0" collapsed="false">
      <c r="C828" s="310"/>
      <c r="D828" s="310"/>
      <c r="E828" s="70"/>
      <c r="F828" s="379"/>
      <c r="G828" s="387"/>
    </row>
    <row r="829" customFormat="false" ht="15" hidden="false" customHeight="false" outlineLevel="0" collapsed="false">
      <c r="C829" s="310"/>
      <c r="D829" s="310"/>
      <c r="E829" s="70"/>
      <c r="F829" s="379"/>
      <c r="G829" s="387"/>
    </row>
    <row r="830" customFormat="false" ht="15" hidden="false" customHeight="false" outlineLevel="0" collapsed="false">
      <c r="C830" s="310"/>
      <c r="D830" s="310"/>
      <c r="E830" s="70"/>
      <c r="F830" s="379"/>
      <c r="G830" s="387"/>
    </row>
    <row r="831" customFormat="false" ht="15" hidden="false" customHeight="false" outlineLevel="0" collapsed="false">
      <c r="C831" s="310"/>
      <c r="D831" s="310"/>
      <c r="E831" s="70"/>
      <c r="F831" s="379"/>
      <c r="G831" s="387"/>
    </row>
    <row r="832" customFormat="false" ht="15" hidden="false" customHeight="false" outlineLevel="0" collapsed="false">
      <c r="C832" s="310"/>
      <c r="D832" s="310"/>
      <c r="E832" s="70"/>
      <c r="F832" s="379"/>
      <c r="G832" s="387"/>
    </row>
    <row r="833" customFormat="false" ht="15" hidden="false" customHeight="false" outlineLevel="0" collapsed="false">
      <c r="C833" s="310"/>
      <c r="D833" s="310"/>
      <c r="E833" s="70"/>
      <c r="F833" s="379"/>
      <c r="G833" s="387"/>
    </row>
    <row r="834" customFormat="false" ht="15" hidden="false" customHeight="false" outlineLevel="0" collapsed="false">
      <c r="C834" s="310"/>
      <c r="D834" s="310"/>
      <c r="E834" s="70"/>
      <c r="F834" s="379"/>
      <c r="G834" s="387"/>
    </row>
    <row r="835" customFormat="false" ht="15" hidden="false" customHeight="false" outlineLevel="0" collapsed="false">
      <c r="C835" s="310"/>
      <c r="D835" s="310"/>
      <c r="E835" s="70"/>
      <c r="F835" s="379"/>
      <c r="G835" s="387"/>
    </row>
    <row r="836" customFormat="false" ht="15" hidden="false" customHeight="false" outlineLevel="0" collapsed="false">
      <c r="C836" s="310"/>
      <c r="D836" s="310"/>
      <c r="E836" s="70"/>
      <c r="F836" s="379"/>
      <c r="G836" s="387"/>
    </row>
    <row r="837" customFormat="false" ht="15" hidden="false" customHeight="false" outlineLevel="0" collapsed="false">
      <c r="C837" s="310"/>
      <c r="D837" s="310"/>
      <c r="E837" s="70"/>
      <c r="F837" s="379"/>
      <c r="G837" s="387"/>
    </row>
    <row r="838" customFormat="false" ht="15" hidden="false" customHeight="false" outlineLevel="0" collapsed="false">
      <c r="C838" s="310"/>
      <c r="D838" s="310"/>
      <c r="E838" s="70"/>
      <c r="F838" s="379"/>
      <c r="G838" s="387"/>
    </row>
    <row r="839" customFormat="false" ht="15" hidden="false" customHeight="false" outlineLevel="0" collapsed="false">
      <c r="C839" s="310"/>
      <c r="D839" s="310"/>
      <c r="E839" s="70"/>
      <c r="F839" s="379"/>
      <c r="G839" s="387"/>
    </row>
    <row r="840" customFormat="false" ht="15" hidden="false" customHeight="false" outlineLevel="0" collapsed="false">
      <c r="C840" s="310"/>
      <c r="D840" s="310"/>
      <c r="E840" s="70"/>
      <c r="F840" s="379"/>
      <c r="G840" s="387"/>
    </row>
    <row r="841" customFormat="false" ht="15" hidden="false" customHeight="false" outlineLevel="0" collapsed="false">
      <c r="C841" s="310"/>
      <c r="D841" s="310"/>
      <c r="E841" s="70"/>
      <c r="F841" s="379"/>
      <c r="G841" s="387"/>
    </row>
    <row r="842" customFormat="false" ht="15" hidden="false" customHeight="false" outlineLevel="0" collapsed="false">
      <c r="C842" s="310"/>
      <c r="D842" s="310"/>
      <c r="E842" s="70"/>
      <c r="F842" s="379"/>
      <c r="G842" s="387"/>
    </row>
    <row r="843" customFormat="false" ht="15" hidden="false" customHeight="false" outlineLevel="0" collapsed="false">
      <c r="C843" s="310"/>
      <c r="D843" s="310"/>
      <c r="E843" s="70"/>
      <c r="F843" s="379"/>
      <c r="G843" s="387"/>
    </row>
    <row r="844" customFormat="false" ht="15" hidden="false" customHeight="false" outlineLevel="0" collapsed="false">
      <c r="C844" s="310"/>
      <c r="D844" s="310"/>
      <c r="E844" s="70"/>
      <c r="F844" s="379"/>
      <c r="G844" s="387"/>
    </row>
    <row r="845" customFormat="false" ht="15" hidden="false" customHeight="false" outlineLevel="0" collapsed="false">
      <c r="C845" s="310"/>
      <c r="D845" s="310"/>
      <c r="E845" s="70"/>
      <c r="F845" s="379"/>
      <c r="G845" s="387"/>
    </row>
    <row r="846" customFormat="false" ht="15" hidden="false" customHeight="false" outlineLevel="0" collapsed="false">
      <c r="C846" s="310"/>
      <c r="D846" s="310"/>
      <c r="E846" s="70"/>
      <c r="F846" s="379"/>
      <c r="G846" s="387"/>
    </row>
    <row r="847" customFormat="false" ht="15" hidden="false" customHeight="false" outlineLevel="0" collapsed="false">
      <c r="C847" s="310"/>
      <c r="D847" s="310"/>
      <c r="E847" s="70"/>
      <c r="F847" s="379"/>
      <c r="G847" s="387"/>
    </row>
    <row r="848" customFormat="false" ht="15" hidden="false" customHeight="false" outlineLevel="0" collapsed="false">
      <c r="C848" s="310"/>
      <c r="D848" s="310"/>
      <c r="E848" s="70"/>
      <c r="F848" s="379"/>
      <c r="G848" s="387"/>
    </row>
    <row r="849" customFormat="false" ht="15" hidden="false" customHeight="false" outlineLevel="0" collapsed="false">
      <c r="C849" s="310"/>
      <c r="D849" s="310"/>
      <c r="E849" s="70"/>
      <c r="F849" s="379"/>
      <c r="G849" s="387"/>
    </row>
    <row r="850" customFormat="false" ht="15" hidden="false" customHeight="false" outlineLevel="0" collapsed="false">
      <c r="C850" s="310"/>
      <c r="D850" s="310"/>
      <c r="E850" s="70"/>
      <c r="F850" s="379"/>
      <c r="G850" s="387"/>
    </row>
    <row r="851" customFormat="false" ht="15" hidden="false" customHeight="false" outlineLevel="0" collapsed="false">
      <c r="C851" s="310"/>
      <c r="D851" s="310"/>
      <c r="E851" s="70"/>
      <c r="F851" s="379"/>
      <c r="G851" s="387"/>
    </row>
    <row r="852" customFormat="false" ht="15" hidden="false" customHeight="false" outlineLevel="0" collapsed="false">
      <c r="C852" s="310"/>
      <c r="D852" s="310"/>
      <c r="E852" s="70"/>
      <c r="F852" s="379"/>
      <c r="G852" s="387"/>
    </row>
    <row r="853" customFormat="false" ht="15" hidden="false" customHeight="false" outlineLevel="0" collapsed="false">
      <c r="C853" s="310"/>
      <c r="D853" s="310"/>
      <c r="E853" s="70"/>
      <c r="F853" s="379"/>
      <c r="G853" s="387"/>
    </row>
    <row r="854" customFormat="false" ht="15" hidden="false" customHeight="false" outlineLevel="0" collapsed="false">
      <c r="C854" s="310"/>
      <c r="D854" s="310"/>
      <c r="E854" s="70"/>
      <c r="F854" s="379"/>
      <c r="G854" s="387"/>
    </row>
    <row r="855" customFormat="false" ht="15" hidden="false" customHeight="false" outlineLevel="0" collapsed="false">
      <c r="C855" s="310"/>
      <c r="D855" s="310"/>
      <c r="E855" s="70"/>
      <c r="F855" s="379"/>
      <c r="G855" s="387"/>
    </row>
    <row r="856" customFormat="false" ht="15" hidden="false" customHeight="false" outlineLevel="0" collapsed="false">
      <c r="C856" s="310"/>
      <c r="D856" s="310"/>
      <c r="E856" s="70"/>
      <c r="F856" s="379"/>
      <c r="G856" s="387"/>
    </row>
    <row r="857" customFormat="false" ht="15" hidden="false" customHeight="false" outlineLevel="0" collapsed="false">
      <c r="C857" s="310"/>
      <c r="D857" s="310"/>
      <c r="E857" s="70"/>
      <c r="F857" s="379"/>
      <c r="G857" s="387"/>
    </row>
    <row r="858" customFormat="false" ht="15" hidden="false" customHeight="false" outlineLevel="0" collapsed="false">
      <c r="C858" s="310"/>
      <c r="D858" s="310"/>
      <c r="E858" s="70"/>
      <c r="F858" s="379"/>
      <c r="G858" s="387"/>
    </row>
    <row r="859" customFormat="false" ht="15" hidden="false" customHeight="false" outlineLevel="0" collapsed="false">
      <c r="C859" s="310"/>
      <c r="D859" s="310"/>
      <c r="E859" s="70"/>
      <c r="F859" s="379"/>
      <c r="G859" s="387"/>
    </row>
    <row r="860" customFormat="false" ht="15" hidden="false" customHeight="false" outlineLevel="0" collapsed="false">
      <c r="C860" s="310"/>
      <c r="D860" s="310"/>
      <c r="E860" s="70"/>
      <c r="F860" s="379"/>
      <c r="G860" s="387"/>
    </row>
    <row r="861" customFormat="false" ht="15" hidden="false" customHeight="false" outlineLevel="0" collapsed="false">
      <c r="C861" s="310"/>
      <c r="D861" s="310"/>
      <c r="E861" s="70"/>
      <c r="F861" s="379"/>
      <c r="G861" s="387"/>
    </row>
    <row r="862" customFormat="false" ht="15" hidden="false" customHeight="false" outlineLevel="0" collapsed="false">
      <c r="C862" s="310"/>
      <c r="D862" s="310"/>
      <c r="E862" s="70"/>
      <c r="F862" s="379"/>
      <c r="G862" s="387"/>
    </row>
    <row r="863" customFormat="false" ht="15" hidden="false" customHeight="false" outlineLevel="0" collapsed="false">
      <c r="C863" s="310"/>
      <c r="D863" s="310"/>
      <c r="E863" s="70"/>
      <c r="F863" s="379"/>
      <c r="G863" s="387"/>
    </row>
    <row r="864" customFormat="false" ht="15" hidden="false" customHeight="false" outlineLevel="0" collapsed="false">
      <c r="C864" s="310"/>
      <c r="D864" s="310"/>
      <c r="E864" s="70"/>
      <c r="F864" s="379"/>
      <c r="G864" s="387"/>
    </row>
    <row r="865" customFormat="false" ht="15" hidden="false" customHeight="false" outlineLevel="0" collapsed="false">
      <c r="C865" s="310"/>
      <c r="D865" s="310"/>
      <c r="E865" s="70"/>
      <c r="F865" s="379"/>
      <c r="G865" s="387"/>
    </row>
    <row r="866" customFormat="false" ht="15" hidden="false" customHeight="false" outlineLevel="0" collapsed="false">
      <c r="C866" s="310"/>
      <c r="D866" s="310"/>
      <c r="E866" s="70"/>
      <c r="F866" s="379"/>
      <c r="G866" s="387"/>
    </row>
    <row r="867" customFormat="false" ht="15" hidden="false" customHeight="false" outlineLevel="0" collapsed="false">
      <c r="C867" s="310"/>
      <c r="D867" s="310"/>
      <c r="E867" s="70"/>
      <c r="F867" s="379"/>
      <c r="G867" s="387"/>
    </row>
    <row r="868" customFormat="false" ht="15" hidden="false" customHeight="false" outlineLevel="0" collapsed="false">
      <c r="C868" s="310"/>
      <c r="D868" s="310"/>
      <c r="E868" s="70"/>
      <c r="F868" s="379"/>
      <c r="G868" s="387"/>
    </row>
    <row r="869" customFormat="false" ht="15" hidden="false" customHeight="false" outlineLevel="0" collapsed="false">
      <c r="C869" s="310"/>
      <c r="D869" s="310"/>
      <c r="E869" s="70"/>
      <c r="F869" s="379"/>
      <c r="G869" s="387"/>
    </row>
    <row r="870" customFormat="false" ht="15" hidden="false" customHeight="false" outlineLevel="0" collapsed="false">
      <c r="C870" s="310"/>
      <c r="D870" s="310"/>
      <c r="E870" s="70"/>
      <c r="F870" s="379"/>
      <c r="G870" s="387"/>
    </row>
    <row r="871" customFormat="false" ht="15" hidden="false" customHeight="false" outlineLevel="0" collapsed="false">
      <c r="C871" s="310"/>
      <c r="D871" s="310"/>
      <c r="E871" s="70"/>
      <c r="F871" s="379"/>
      <c r="G871" s="387"/>
    </row>
    <row r="872" customFormat="false" ht="15" hidden="false" customHeight="false" outlineLevel="0" collapsed="false">
      <c r="C872" s="310"/>
      <c r="D872" s="310"/>
      <c r="E872" s="70"/>
      <c r="F872" s="379"/>
      <c r="G872" s="387"/>
    </row>
    <row r="873" customFormat="false" ht="15" hidden="false" customHeight="false" outlineLevel="0" collapsed="false">
      <c r="C873" s="310"/>
      <c r="D873" s="310"/>
      <c r="E873" s="70"/>
      <c r="F873" s="379"/>
      <c r="G873" s="387"/>
    </row>
    <row r="874" customFormat="false" ht="15" hidden="false" customHeight="false" outlineLevel="0" collapsed="false">
      <c r="C874" s="310"/>
      <c r="D874" s="310"/>
      <c r="E874" s="70"/>
      <c r="F874" s="379"/>
      <c r="G874" s="387"/>
    </row>
    <row r="875" customFormat="false" ht="15" hidden="false" customHeight="false" outlineLevel="0" collapsed="false">
      <c r="C875" s="310"/>
      <c r="D875" s="310"/>
      <c r="E875" s="70"/>
      <c r="F875" s="379"/>
      <c r="G875" s="387"/>
    </row>
    <row r="876" customFormat="false" ht="15" hidden="false" customHeight="false" outlineLevel="0" collapsed="false">
      <c r="C876" s="310"/>
      <c r="D876" s="310"/>
      <c r="E876" s="70"/>
      <c r="F876" s="379"/>
      <c r="G876" s="387"/>
    </row>
    <row r="877" customFormat="false" ht="15" hidden="false" customHeight="false" outlineLevel="0" collapsed="false">
      <c r="C877" s="310"/>
      <c r="D877" s="310"/>
      <c r="E877" s="70"/>
      <c r="F877" s="379"/>
      <c r="G877" s="387"/>
    </row>
    <row r="878" customFormat="false" ht="15" hidden="false" customHeight="false" outlineLevel="0" collapsed="false">
      <c r="C878" s="310"/>
      <c r="D878" s="310"/>
      <c r="E878" s="70"/>
      <c r="F878" s="379"/>
      <c r="G878" s="387"/>
    </row>
    <row r="879" customFormat="false" ht="15" hidden="false" customHeight="false" outlineLevel="0" collapsed="false">
      <c r="C879" s="310"/>
      <c r="D879" s="310"/>
      <c r="E879" s="70"/>
      <c r="F879" s="379"/>
      <c r="G879" s="387"/>
    </row>
    <row r="880" customFormat="false" ht="15" hidden="false" customHeight="false" outlineLevel="0" collapsed="false">
      <c r="C880" s="310"/>
      <c r="D880" s="310"/>
      <c r="E880" s="70"/>
      <c r="F880" s="379"/>
      <c r="G880" s="387"/>
    </row>
    <row r="881" customFormat="false" ht="15" hidden="false" customHeight="false" outlineLevel="0" collapsed="false">
      <c r="C881" s="310"/>
      <c r="D881" s="310"/>
      <c r="E881" s="70"/>
      <c r="F881" s="379"/>
      <c r="G881" s="387"/>
    </row>
    <row r="882" customFormat="false" ht="15" hidden="false" customHeight="false" outlineLevel="0" collapsed="false">
      <c r="C882" s="310"/>
      <c r="D882" s="310"/>
      <c r="E882" s="70"/>
      <c r="F882" s="379"/>
      <c r="G882" s="387"/>
    </row>
    <row r="883" customFormat="false" ht="15" hidden="false" customHeight="false" outlineLevel="0" collapsed="false">
      <c r="C883" s="310"/>
      <c r="D883" s="310"/>
      <c r="E883" s="70"/>
      <c r="F883" s="379"/>
      <c r="G883" s="387"/>
    </row>
    <row r="884" customFormat="false" ht="15" hidden="false" customHeight="false" outlineLevel="0" collapsed="false">
      <c r="C884" s="310"/>
      <c r="D884" s="310"/>
      <c r="E884" s="70"/>
      <c r="F884" s="379"/>
      <c r="G884" s="387"/>
    </row>
    <row r="885" customFormat="false" ht="15" hidden="false" customHeight="false" outlineLevel="0" collapsed="false">
      <c r="C885" s="310"/>
      <c r="D885" s="310"/>
      <c r="E885" s="70"/>
      <c r="F885" s="379"/>
      <c r="G885" s="387"/>
    </row>
    <row r="886" customFormat="false" ht="15" hidden="false" customHeight="false" outlineLevel="0" collapsed="false">
      <c r="C886" s="310"/>
      <c r="D886" s="310"/>
      <c r="E886" s="70"/>
      <c r="F886" s="379"/>
      <c r="G886" s="387"/>
    </row>
    <row r="887" customFormat="false" ht="15" hidden="false" customHeight="false" outlineLevel="0" collapsed="false">
      <c r="C887" s="310"/>
      <c r="D887" s="310"/>
      <c r="E887" s="70"/>
      <c r="F887" s="379"/>
      <c r="G887" s="387"/>
    </row>
    <row r="888" customFormat="false" ht="15" hidden="false" customHeight="false" outlineLevel="0" collapsed="false">
      <c r="C888" s="310"/>
      <c r="D888" s="310"/>
      <c r="E888" s="70"/>
      <c r="F888" s="379"/>
      <c r="G888" s="387"/>
    </row>
    <row r="889" customFormat="false" ht="15" hidden="false" customHeight="false" outlineLevel="0" collapsed="false">
      <c r="C889" s="310"/>
      <c r="D889" s="310"/>
      <c r="E889" s="70"/>
      <c r="F889" s="379"/>
      <c r="G889" s="387"/>
    </row>
    <row r="890" customFormat="false" ht="15" hidden="false" customHeight="false" outlineLevel="0" collapsed="false">
      <c r="C890" s="310"/>
      <c r="D890" s="310"/>
      <c r="E890" s="70"/>
      <c r="F890" s="379"/>
      <c r="G890" s="387"/>
    </row>
    <row r="891" customFormat="false" ht="15" hidden="false" customHeight="false" outlineLevel="0" collapsed="false">
      <c r="C891" s="310"/>
      <c r="D891" s="310"/>
      <c r="E891" s="70"/>
      <c r="F891" s="379"/>
      <c r="G891" s="387"/>
    </row>
    <row r="892" customFormat="false" ht="15" hidden="false" customHeight="false" outlineLevel="0" collapsed="false">
      <c r="C892" s="310"/>
      <c r="D892" s="310"/>
      <c r="E892" s="70"/>
      <c r="F892" s="379"/>
      <c r="G892" s="387"/>
    </row>
    <row r="893" customFormat="false" ht="15" hidden="false" customHeight="false" outlineLevel="0" collapsed="false">
      <c r="C893" s="310"/>
      <c r="D893" s="310"/>
      <c r="E893" s="70"/>
      <c r="F893" s="379"/>
      <c r="G893" s="387"/>
    </row>
    <row r="894" customFormat="false" ht="15" hidden="false" customHeight="false" outlineLevel="0" collapsed="false">
      <c r="C894" s="310"/>
      <c r="D894" s="310"/>
      <c r="E894" s="70"/>
      <c r="F894" s="379"/>
      <c r="G894" s="387"/>
    </row>
    <row r="895" customFormat="false" ht="15" hidden="false" customHeight="false" outlineLevel="0" collapsed="false">
      <c r="C895" s="310"/>
      <c r="D895" s="310"/>
      <c r="E895" s="70"/>
      <c r="F895" s="379"/>
      <c r="G895" s="387"/>
    </row>
    <row r="896" customFormat="false" ht="15" hidden="false" customHeight="false" outlineLevel="0" collapsed="false">
      <c r="C896" s="310"/>
      <c r="D896" s="310"/>
      <c r="E896" s="70"/>
      <c r="F896" s="379"/>
      <c r="G896" s="387"/>
    </row>
    <row r="897" customFormat="false" ht="15" hidden="false" customHeight="false" outlineLevel="0" collapsed="false">
      <c r="C897" s="310"/>
      <c r="D897" s="310"/>
      <c r="E897" s="70"/>
      <c r="F897" s="379"/>
      <c r="G897" s="387"/>
    </row>
    <row r="898" customFormat="false" ht="15" hidden="false" customHeight="false" outlineLevel="0" collapsed="false">
      <c r="C898" s="310"/>
      <c r="D898" s="310"/>
      <c r="E898" s="70"/>
      <c r="F898" s="379"/>
      <c r="G898" s="387"/>
    </row>
    <row r="899" customFormat="false" ht="15" hidden="false" customHeight="false" outlineLevel="0" collapsed="false">
      <c r="C899" s="310"/>
      <c r="D899" s="310"/>
      <c r="E899" s="70"/>
      <c r="F899" s="379"/>
      <c r="G899" s="387"/>
    </row>
    <row r="900" customFormat="false" ht="15" hidden="false" customHeight="false" outlineLevel="0" collapsed="false">
      <c r="C900" s="310"/>
      <c r="D900" s="310"/>
      <c r="E900" s="70"/>
      <c r="F900" s="379"/>
      <c r="G900" s="387"/>
    </row>
    <row r="901" customFormat="false" ht="15" hidden="false" customHeight="false" outlineLevel="0" collapsed="false">
      <c r="C901" s="310"/>
      <c r="D901" s="310"/>
      <c r="E901" s="70"/>
      <c r="F901" s="379"/>
      <c r="G901" s="387"/>
    </row>
    <row r="902" customFormat="false" ht="15" hidden="false" customHeight="false" outlineLevel="0" collapsed="false">
      <c r="C902" s="310"/>
      <c r="D902" s="310"/>
      <c r="E902" s="70"/>
      <c r="F902" s="379"/>
      <c r="G902" s="387"/>
    </row>
    <row r="903" customFormat="false" ht="15" hidden="false" customHeight="false" outlineLevel="0" collapsed="false">
      <c r="C903" s="310"/>
      <c r="D903" s="310"/>
      <c r="E903" s="70"/>
      <c r="F903" s="379"/>
      <c r="G903" s="387"/>
    </row>
    <row r="904" customFormat="false" ht="15" hidden="false" customHeight="false" outlineLevel="0" collapsed="false">
      <c r="C904" s="310"/>
      <c r="D904" s="310"/>
      <c r="E904" s="70"/>
      <c r="F904" s="379"/>
      <c r="G904" s="387"/>
    </row>
    <row r="905" customFormat="false" ht="15" hidden="false" customHeight="false" outlineLevel="0" collapsed="false">
      <c r="C905" s="310"/>
      <c r="D905" s="310"/>
      <c r="E905" s="70"/>
      <c r="F905" s="379"/>
      <c r="G905" s="387"/>
    </row>
    <row r="906" customFormat="false" ht="15" hidden="false" customHeight="false" outlineLevel="0" collapsed="false">
      <c r="C906" s="310"/>
      <c r="D906" s="310"/>
      <c r="E906" s="70"/>
      <c r="F906" s="379"/>
      <c r="G906" s="387"/>
    </row>
    <row r="907" customFormat="false" ht="15" hidden="false" customHeight="false" outlineLevel="0" collapsed="false">
      <c r="C907" s="310"/>
      <c r="D907" s="310"/>
      <c r="E907" s="70"/>
      <c r="F907" s="379"/>
      <c r="G907" s="387"/>
    </row>
    <row r="908" customFormat="false" ht="15" hidden="false" customHeight="false" outlineLevel="0" collapsed="false">
      <c r="C908" s="310"/>
      <c r="D908" s="310"/>
      <c r="E908" s="70"/>
      <c r="F908" s="379"/>
      <c r="G908" s="387"/>
    </row>
    <row r="909" customFormat="false" ht="15" hidden="false" customHeight="false" outlineLevel="0" collapsed="false">
      <c r="C909" s="310"/>
      <c r="D909" s="310"/>
      <c r="E909" s="70"/>
      <c r="F909" s="379"/>
      <c r="G909" s="387"/>
    </row>
    <row r="910" customFormat="false" ht="15" hidden="false" customHeight="false" outlineLevel="0" collapsed="false">
      <c r="C910" s="310"/>
      <c r="D910" s="310"/>
      <c r="E910" s="70"/>
      <c r="F910" s="379"/>
      <c r="G910" s="387"/>
    </row>
    <row r="911" customFormat="false" ht="15" hidden="false" customHeight="false" outlineLevel="0" collapsed="false">
      <c r="C911" s="310"/>
      <c r="D911" s="310"/>
      <c r="E911" s="70"/>
      <c r="F911" s="379"/>
      <c r="G911" s="387"/>
    </row>
    <row r="912" customFormat="false" ht="15" hidden="false" customHeight="false" outlineLevel="0" collapsed="false">
      <c r="C912" s="310"/>
      <c r="D912" s="310"/>
      <c r="E912" s="70"/>
      <c r="F912" s="379"/>
      <c r="G912" s="387"/>
    </row>
    <row r="913" customFormat="false" ht="15" hidden="false" customHeight="false" outlineLevel="0" collapsed="false">
      <c r="C913" s="310"/>
      <c r="D913" s="310"/>
      <c r="E913" s="70"/>
      <c r="F913" s="379"/>
      <c r="G913" s="387"/>
    </row>
    <row r="914" customFormat="false" ht="15" hidden="false" customHeight="false" outlineLevel="0" collapsed="false">
      <c r="C914" s="310"/>
      <c r="D914" s="310"/>
      <c r="E914" s="70"/>
      <c r="F914" s="379"/>
      <c r="G914" s="387"/>
    </row>
    <row r="915" customFormat="false" ht="15" hidden="false" customHeight="false" outlineLevel="0" collapsed="false">
      <c r="C915" s="310"/>
      <c r="D915" s="310"/>
      <c r="E915" s="70"/>
      <c r="F915" s="379"/>
      <c r="G915" s="387"/>
    </row>
    <row r="916" customFormat="false" ht="15" hidden="false" customHeight="false" outlineLevel="0" collapsed="false">
      <c r="C916" s="310"/>
      <c r="D916" s="310"/>
      <c r="E916" s="70"/>
      <c r="F916" s="379"/>
      <c r="G916" s="387"/>
    </row>
    <row r="917" customFormat="false" ht="15" hidden="false" customHeight="false" outlineLevel="0" collapsed="false">
      <c r="C917" s="310"/>
      <c r="D917" s="310"/>
      <c r="E917" s="70"/>
      <c r="F917" s="379"/>
      <c r="G917" s="387"/>
    </row>
    <row r="918" customFormat="false" ht="15" hidden="false" customHeight="false" outlineLevel="0" collapsed="false">
      <c r="C918" s="310"/>
      <c r="D918" s="310"/>
      <c r="E918" s="70"/>
      <c r="F918" s="379"/>
      <c r="G918" s="387"/>
    </row>
    <row r="919" customFormat="false" ht="15" hidden="false" customHeight="false" outlineLevel="0" collapsed="false">
      <c r="C919" s="310"/>
      <c r="D919" s="310"/>
      <c r="E919" s="70"/>
      <c r="F919" s="379"/>
      <c r="G919" s="387"/>
    </row>
    <row r="920" customFormat="false" ht="15" hidden="false" customHeight="false" outlineLevel="0" collapsed="false">
      <c r="C920" s="310"/>
      <c r="D920" s="310"/>
      <c r="E920" s="70"/>
      <c r="F920" s="379"/>
      <c r="G920" s="387"/>
    </row>
    <row r="921" customFormat="false" ht="15" hidden="false" customHeight="false" outlineLevel="0" collapsed="false">
      <c r="C921" s="310"/>
      <c r="D921" s="310"/>
      <c r="E921" s="70"/>
      <c r="F921" s="379"/>
      <c r="G921" s="387"/>
    </row>
    <row r="922" customFormat="false" ht="15" hidden="false" customHeight="false" outlineLevel="0" collapsed="false">
      <c r="C922" s="310"/>
      <c r="D922" s="310"/>
      <c r="E922" s="70"/>
      <c r="F922" s="379"/>
      <c r="G922" s="387"/>
    </row>
    <row r="923" customFormat="false" ht="15" hidden="false" customHeight="false" outlineLevel="0" collapsed="false">
      <c r="C923" s="310"/>
      <c r="D923" s="310"/>
      <c r="E923" s="70"/>
      <c r="F923" s="379"/>
      <c r="G923" s="387"/>
    </row>
    <row r="924" customFormat="false" ht="15" hidden="false" customHeight="false" outlineLevel="0" collapsed="false">
      <c r="C924" s="310"/>
      <c r="D924" s="310"/>
      <c r="E924" s="70"/>
      <c r="F924" s="379"/>
      <c r="G924" s="387"/>
    </row>
    <row r="925" customFormat="false" ht="15" hidden="false" customHeight="false" outlineLevel="0" collapsed="false">
      <c r="C925" s="310"/>
      <c r="D925" s="310"/>
      <c r="E925" s="70"/>
      <c r="F925" s="379"/>
      <c r="G925" s="387"/>
    </row>
    <row r="926" customFormat="false" ht="15" hidden="false" customHeight="false" outlineLevel="0" collapsed="false">
      <c r="C926" s="310"/>
      <c r="D926" s="310"/>
      <c r="E926" s="70"/>
      <c r="F926" s="379"/>
      <c r="G926" s="387"/>
    </row>
    <row r="927" customFormat="false" ht="15" hidden="false" customHeight="false" outlineLevel="0" collapsed="false">
      <c r="C927" s="310"/>
      <c r="D927" s="310"/>
      <c r="E927" s="70"/>
      <c r="F927" s="379"/>
      <c r="G927" s="387"/>
    </row>
    <row r="928" customFormat="false" ht="15" hidden="false" customHeight="false" outlineLevel="0" collapsed="false">
      <c r="C928" s="310"/>
      <c r="D928" s="310"/>
      <c r="E928" s="70"/>
      <c r="F928" s="379"/>
      <c r="G928" s="387"/>
    </row>
    <row r="929" customFormat="false" ht="15" hidden="false" customHeight="false" outlineLevel="0" collapsed="false">
      <c r="C929" s="310"/>
      <c r="D929" s="310"/>
      <c r="E929" s="70"/>
      <c r="F929" s="379"/>
      <c r="G929" s="387"/>
    </row>
    <row r="930" customFormat="false" ht="15" hidden="false" customHeight="false" outlineLevel="0" collapsed="false">
      <c r="C930" s="310"/>
      <c r="D930" s="310"/>
      <c r="E930" s="70"/>
      <c r="F930" s="379"/>
      <c r="G930" s="387"/>
    </row>
    <row r="931" customFormat="false" ht="15" hidden="false" customHeight="false" outlineLevel="0" collapsed="false">
      <c r="C931" s="310"/>
      <c r="D931" s="310"/>
      <c r="E931" s="70"/>
      <c r="F931" s="379"/>
      <c r="G931" s="387"/>
    </row>
    <row r="932" customFormat="false" ht="15" hidden="false" customHeight="false" outlineLevel="0" collapsed="false">
      <c r="C932" s="310"/>
      <c r="D932" s="310"/>
      <c r="E932" s="70"/>
      <c r="F932" s="379"/>
      <c r="G932" s="387"/>
    </row>
    <row r="933" customFormat="false" ht="15" hidden="false" customHeight="false" outlineLevel="0" collapsed="false">
      <c r="C933" s="310"/>
      <c r="D933" s="310"/>
      <c r="E933" s="70"/>
      <c r="F933" s="379"/>
      <c r="G933" s="387"/>
    </row>
    <row r="934" customFormat="false" ht="15" hidden="false" customHeight="false" outlineLevel="0" collapsed="false">
      <c r="C934" s="310"/>
      <c r="D934" s="310"/>
      <c r="E934" s="70"/>
      <c r="F934" s="379"/>
      <c r="G934" s="387"/>
    </row>
    <row r="935" customFormat="false" ht="15" hidden="false" customHeight="false" outlineLevel="0" collapsed="false">
      <c r="C935" s="310"/>
      <c r="D935" s="310"/>
      <c r="E935" s="70"/>
      <c r="F935" s="379"/>
      <c r="G935" s="387"/>
    </row>
    <row r="936" customFormat="false" ht="15" hidden="false" customHeight="false" outlineLevel="0" collapsed="false">
      <c r="C936" s="310"/>
      <c r="D936" s="310"/>
      <c r="E936" s="70"/>
      <c r="F936" s="379"/>
      <c r="G936" s="387"/>
    </row>
    <row r="937" customFormat="false" ht="15" hidden="false" customHeight="false" outlineLevel="0" collapsed="false">
      <c r="C937" s="310"/>
      <c r="D937" s="310"/>
      <c r="E937" s="70"/>
      <c r="F937" s="379"/>
      <c r="G937" s="387"/>
    </row>
    <row r="938" customFormat="false" ht="15" hidden="false" customHeight="false" outlineLevel="0" collapsed="false">
      <c r="C938" s="310"/>
      <c r="D938" s="310"/>
      <c r="E938" s="70"/>
      <c r="F938" s="379"/>
      <c r="G938" s="387"/>
    </row>
    <row r="939" customFormat="false" ht="15" hidden="false" customHeight="false" outlineLevel="0" collapsed="false">
      <c r="C939" s="310"/>
      <c r="D939" s="310"/>
      <c r="E939" s="70"/>
      <c r="F939" s="379"/>
      <c r="G939" s="387"/>
    </row>
    <row r="940" customFormat="false" ht="15" hidden="false" customHeight="false" outlineLevel="0" collapsed="false">
      <c r="C940" s="310"/>
      <c r="D940" s="310"/>
      <c r="E940" s="70"/>
      <c r="F940" s="379"/>
      <c r="G940" s="387"/>
    </row>
    <row r="941" customFormat="false" ht="15" hidden="false" customHeight="false" outlineLevel="0" collapsed="false">
      <c r="C941" s="310"/>
      <c r="D941" s="310"/>
      <c r="E941" s="70"/>
      <c r="F941" s="379"/>
      <c r="G941" s="387"/>
    </row>
    <row r="942" customFormat="false" ht="15" hidden="false" customHeight="false" outlineLevel="0" collapsed="false">
      <c r="C942" s="310"/>
      <c r="D942" s="310"/>
      <c r="E942" s="70"/>
      <c r="F942" s="379"/>
      <c r="G942" s="387"/>
    </row>
    <row r="943" customFormat="false" ht="15" hidden="false" customHeight="false" outlineLevel="0" collapsed="false">
      <c r="C943" s="310"/>
      <c r="D943" s="310"/>
      <c r="E943" s="70"/>
      <c r="F943" s="379"/>
      <c r="G943" s="387"/>
    </row>
    <row r="944" customFormat="false" ht="15" hidden="false" customHeight="false" outlineLevel="0" collapsed="false">
      <c r="C944" s="310"/>
      <c r="D944" s="310"/>
      <c r="E944" s="70"/>
      <c r="F944" s="379"/>
      <c r="G944" s="387"/>
    </row>
    <row r="945" customFormat="false" ht="15" hidden="false" customHeight="false" outlineLevel="0" collapsed="false">
      <c r="C945" s="310"/>
      <c r="D945" s="310"/>
      <c r="E945" s="70"/>
      <c r="F945" s="379"/>
      <c r="G945" s="387"/>
    </row>
    <row r="946" customFormat="false" ht="15" hidden="false" customHeight="false" outlineLevel="0" collapsed="false">
      <c r="C946" s="310"/>
      <c r="D946" s="310"/>
      <c r="E946" s="70"/>
      <c r="F946" s="379"/>
      <c r="G946" s="387"/>
    </row>
    <row r="947" customFormat="false" ht="15" hidden="false" customHeight="false" outlineLevel="0" collapsed="false">
      <c r="C947" s="310"/>
      <c r="D947" s="310"/>
      <c r="E947" s="70"/>
      <c r="F947" s="379"/>
      <c r="G947" s="387"/>
    </row>
    <row r="948" customFormat="false" ht="15" hidden="false" customHeight="false" outlineLevel="0" collapsed="false">
      <c r="C948" s="310"/>
      <c r="D948" s="310"/>
      <c r="E948" s="70"/>
      <c r="F948" s="379"/>
      <c r="G948" s="387"/>
    </row>
    <row r="949" customFormat="false" ht="15" hidden="false" customHeight="false" outlineLevel="0" collapsed="false">
      <c r="C949" s="310"/>
      <c r="D949" s="310"/>
      <c r="E949" s="70"/>
      <c r="F949" s="379"/>
      <c r="G949" s="387"/>
    </row>
    <row r="950" customFormat="false" ht="15" hidden="false" customHeight="false" outlineLevel="0" collapsed="false">
      <c r="C950" s="310"/>
      <c r="D950" s="310"/>
      <c r="E950" s="70"/>
      <c r="F950" s="379"/>
      <c r="G950" s="387"/>
    </row>
    <row r="951" customFormat="false" ht="15" hidden="false" customHeight="false" outlineLevel="0" collapsed="false">
      <c r="C951" s="310"/>
      <c r="D951" s="310"/>
      <c r="E951" s="70"/>
      <c r="F951" s="379"/>
      <c r="G951" s="387"/>
    </row>
    <row r="952" customFormat="false" ht="15" hidden="false" customHeight="false" outlineLevel="0" collapsed="false">
      <c r="C952" s="310"/>
      <c r="D952" s="310"/>
      <c r="E952" s="70"/>
      <c r="F952" s="379"/>
      <c r="G952" s="387"/>
    </row>
    <row r="953" customFormat="false" ht="15" hidden="false" customHeight="false" outlineLevel="0" collapsed="false">
      <c r="C953" s="310"/>
      <c r="D953" s="310"/>
      <c r="E953" s="70"/>
      <c r="F953" s="379"/>
      <c r="G953" s="387"/>
    </row>
    <row r="954" customFormat="false" ht="15" hidden="false" customHeight="false" outlineLevel="0" collapsed="false">
      <c r="C954" s="310"/>
      <c r="D954" s="310"/>
      <c r="E954" s="70"/>
      <c r="F954" s="379"/>
      <c r="G954" s="387"/>
    </row>
    <row r="955" customFormat="false" ht="15" hidden="false" customHeight="false" outlineLevel="0" collapsed="false">
      <c r="C955" s="310"/>
      <c r="D955" s="310"/>
      <c r="E955" s="70"/>
      <c r="F955" s="379"/>
      <c r="G955" s="387"/>
    </row>
    <row r="956" customFormat="false" ht="15" hidden="false" customHeight="false" outlineLevel="0" collapsed="false">
      <c r="C956" s="310"/>
      <c r="D956" s="310"/>
      <c r="E956" s="70"/>
      <c r="F956" s="379"/>
      <c r="G956" s="387"/>
    </row>
    <row r="957" customFormat="false" ht="15" hidden="false" customHeight="false" outlineLevel="0" collapsed="false">
      <c r="C957" s="310"/>
      <c r="D957" s="310"/>
      <c r="E957" s="70"/>
      <c r="F957" s="379"/>
      <c r="G957" s="387"/>
    </row>
    <row r="958" customFormat="false" ht="15" hidden="false" customHeight="false" outlineLevel="0" collapsed="false">
      <c r="C958" s="310"/>
      <c r="D958" s="310"/>
      <c r="E958" s="70"/>
      <c r="F958" s="379"/>
      <c r="G958" s="387"/>
    </row>
    <row r="959" customFormat="false" ht="15" hidden="false" customHeight="false" outlineLevel="0" collapsed="false">
      <c r="C959" s="310"/>
      <c r="D959" s="310"/>
      <c r="E959" s="70"/>
      <c r="F959" s="379"/>
      <c r="G959" s="387"/>
    </row>
    <row r="960" customFormat="false" ht="15" hidden="false" customHeight="false" outlineLevel="0" collapsed="false">
      <c r="C960" s="310"/>
      <c r="D960" s="310"/>
      <c r="E960" s="70"/>
      <c r="F960" s="379"/>
      <c r="G960" s="387"/>
    </row>
    <row r="961" customFormat="false" ht="15" hidden="false" customHeight="false" outlineLevel="0" collapsed="false">
      <c r="C961" s="310"/>
      <c r="D961" s="310"/>
      <c r="E961" s="70"/>
      <c r="F961" s="379"/>
      <c r="G961" s="387"/>
    </row>
    <row r="962" customFormat="false" ht="15" hidden="false" customHeight="false" outlineLevel="0" collapsed="false">
      <c r="C962" s="310"/>
      <c r="D962" s="310"/>
      <c r="E962" s="70"/>
      <c r="F962" s="379"/>
      <c r="G962" s="387"/>
    </row>
    <row r="963" customFormat="false" ht="15" hidden="false" customHeight="false" outlineLevel="0" collapsed="false">
      <c r="C963" s="310"/>
      <c r="D963" s="310"/>
      <c r="E963" s="70"/>
      <c r="F963" s="379"/>
      <c r="G963" s="387"/>
    </row>
    <row r="964" customFormat="false" ht="15" hidden="false" customHeight="false" outlineLevel="0" collapsed="false">
      <c r="C964" s="310"/>
      <c r="D964" s="310"/>
      <c r="E964" s="70"/>
      <c r="F964" s="379"/>
      <c r="G964" s="387"/>
    </row>
    <row r="965" customFormat="false" ht="15" hidden="false" customHeight="false" outlineLevel="0" collapsed="false">
      <c r="C965" s="310"/>
      <c r="D965" s="310"/>
      <c r="E965" s="70"/>
      <c r="F965" s="379"/>
      <c r="G965" s="387"/>
    </row>
    <row r="966" customFormat="false" ht="15" hidden="false" customHeight="false" outlineLevel="0" collapsed="false">
      <c r="C966" s="310"/>
      <c r="D966" s="310"/>
      <c r="E966" s="70"/>
      <c r="F966" s="379"/>
      <c r="G966" s="387"/>
    </row>
    <row r="967" customFormat="false" ht="15" hidden="false" customHeight="false" outlineLevel="0" collapsed="false">
      <c r="C967" s="310"/>
      <c r="D967" s="310"/>
      <c r="E967" s="70"/>
      <c r="F967" s="379"/>
      <c r="G967" s="387"/>
    </row>
    <row r="968" customFormat="false" ht="15" hidden="false" customHeight="false" outlineLevel="0" collapsed="false">
      <c r="C968" s="310"/>
      <c r="D968" s="310"/>
      <c r="E968" s="70"/>
      <c r="F968" s="379"/>
      <c r="G968" s="387"/>
    </row>
    <row r="969" customFormat="false" ht="15" hidden="false" customHeight="false" outlineLevel="0" collapsed="false">
      <c r="C969" s="310"/>
      <c r="D969" s="310"/>
      <c r="E969" s="70"/>
      <c r="F969" s="379"/>
      <c r="G969" s="387"/>
    </row>
    <row r="970" customFormat="false" ht="15" hidden="false" customHeight="false" outlineLevel="0" collapsed="false">
      <c r="C970" s="310"/>
      <c r="D970" s="310"/>
      <c r="E970" s="70"/>
      <c r="F970" s="379"/>
      <c r="G970" s="387"/>
    </row>
    <row r="971" customFormat="false" ht="15" hidden="false" customHeight="false" outlineLevel="0" collapsed="false">
      <c r="C971" s="310"/>
      <c r="D971" s="310"/>
      <c r="E971" s="70"/>
      <c r="F971" s="379"/>
      <c r="G971" s="387"/>
    </row>
    <row r="972" customFormat="false" ht="15" hidden="false" customHeight="false" outlineLevel="0" collapsed="false">
      <c r="C972" s="310"/>
      <c r="D972" s="310"/>
      <c r="E972" s="70"/>
      <c r="F972" s="379"/>
      <c r="G972" s="387"/>
    </row>
    <row r="973" customFormat="false" ht="15" hidden="false" customHeight="false" outlineLevel="0" collapsed="false">
      <c r="C973" s="310"/>
      <c r="D973" s="310"/>
      <c r="E973" s="70"/>
      <c r="F973" s="379"/>
      <c r="G973" s="387"/>
    </row>
    <row r="974" customFormat="false" ht="15" hidden="false" customHeight="false" outlineLevel="0" collapsed="false">
      <c r="C974" s="310"/>
      <c r="D974" s="310"/>
      <c r="E974" s="70"/>
      <c r="F974" s="379"/>
      <c r="G974" s="387"/>
    </row>
    <row r="975" customFormat="false" ht="15" hidden="false" customHeight="false" outlineLevel="0" collapsed="false">
      <c r="C975" s="310"/>
      <c r="D975" s="310"/>
      <c r="E975" s="70"/>
      <c r="F975" s="379"/>
      <c r="G975" s="387"/>
    </row>
    <row r="976" customFormat="false" ht="15" hidden="false" customHeight="false" outlineLevel="0" collapsed="false">
      <c r="C976" s="310"/>
      <c r="D976" s="310"/>
      <c r="E976" s="70"/>
      <c r="F976" s="379"/>
      <c r="G976" s="387"/>
    </row>
    <row r="977" customFormat="false" ht="15" hidden="false" customHeight="false" outlineLevel="0" collapsed="false">
      <c r="C977" s="310"/>
      <c r="D977" s="310"/>
      <c r="E977" s="70"/>
      <c r="F977" s="379"/>
      <c r="G977" s="387"/>
    </row>
    <row r="978" customFormat="false" ht="15" hidden="false" customHeight="false" outlineLevel="0" collapsed="false">
      <c r="C978" s="310"/>
      <c r="D978" s="310"/>
      <c r="E978" s="70"/>
      <c r="F978" s="379"/>
      <c r="G978" s="387"/>
    </row>
    <row r="979" customFormat="false" ht="15" hidden="false" customHeight="false" outlineLevel="0" collapsed="false">
      <c r="C979" s="310"/>
      <c r="D979" s="310"/>
      <c r="E979" s="70"/>
      <c r="F979" s="379"/>
      <c r="G979" s="387"/>
    </row>
    <row r="980" customFormat="false" ht="15" hidden="false" customHeight="false" outlineLevel="0" collapsed="false">
      <c r="C980" s="310"/>
      <c r="D980" s="310"/>
      <c r="E980" s="70"/>
      <c r="F980" s="379"/>
      <c r="G980" s="387"/>
    </row>
    <row r="981" customFormat="false" ht="15" hidden="false" customHeight="false" outlineLevel="0" collapsed="false">
      <c r="C981" s="310"/>
      <c r="D981" s="310"/>
      <c r="E981" s="70"/>
      <c r="F981" s="379"/>
      <c r="G981" s="387"/>
    </row>
    <row r="982" customFormat="false" ht="15" hidden="false" customHeight="false" outlineLevel="0" collapsed="false">
      <c r="C982" s="310"/>
      <c r="D982" s="310"/>
      <c r="E982" s="70"/>
      <c r="F982" s="379"/>
      <c r="G982" s="387"/>
    </row>
    <row r="983" customFormat="false" ht="15" hidden="false" customHeight="false" outlineLevel="0" collapsed="false">
      <c r="C983" s="310"/>
      <c r="D983" s="310"/>
      <c r="E983" s="70"/>
      <c r="F983" s="379"/>
      <c r="G983" s="387"/>
    </row>
    <row r="984" customFormat="false" ht="15" hidden="false" customHeight="false" outlineLevel="0" collapsed="false">
      <c r="C984" s="310"/>
      <c r="D984" s="310"/>
      <c r="E984" s="70"/>
      <c r="F984" s="379"/>
      <c r="G984" s="387"/>
    </row>
    <row r="985" customFormat="false" ht="15" hidden="false" customHeight="false" outlineLevel="0" collapsed="false">
      <c r="C985" s="310"/>
      <c r="D985" s="310"/>
      <c r="E985" s="70"/>
      <c r="F985" s="379"/>
      <c r="G985" s="387"/>
    </row>
    <row r="986" customFormat="false" ht="15" hidden="false" customHeight="false" outlineLevel="0" collapsed="false">
      <c r="C986" s="310"/>
      <c r="D986" s="310"/>
      <c r="E986" s="70"/>
      <c r="F986" s="379"/>
      <c r="G986" s="387"/>
    </row>
    <row r="987" customFormat="false" ht="15" hidden="false" customHeight="false" outlineLevel="0" collapsed="false">
      <c r="C987" s="310"/>
      <c r="D987" s="310"/>
      <c r="E987" s="70"/>
      <c r="F987" s="379"/>
      <c r="G987" s="387"/>
    </row>
    <row r="988" customFormat="false" ht="15" hidden="false" customHeight="false" outlineLevel="0" collapsed="false">
      <c r="C988" s="310"/>
      <c r="D988" s="310"/>
      <c r="E988" s="70"/>
      <c r="F988" s="379"/>
      <c r="G988" s="387"/>
    </row>
    <row r="989" customFormat="false" ht="15" hidden="false" customHeight="false" outlineLevel="0" collapsed="false">
      <c r="C989" s="310"/>
      <c r="D989" s="310"/>
      <c r="E989" s="70"/>
      <c r="F989" s="379"/>
      <c r="G989" s="387"/>
    </row>
    <row r="990" customFormat="false" ht="15" hidden="false" customHeight="false" outlineLevel="0" collapsed="false">
      <c r="C990" s="310"/>
      <c r="D990" s="310"/>
      <c r="E990" s="70"/>
      <c r="F990" s="379"/>
      <c r="G990" s="387"/>
    </row>
    <row r="991" customFormat="false" ht="15" hidden="false" customHeight="false" outlineLevel="0" collapsed="false">
      <c r="C991" s="310"/>
      <c r="D991" s="310"/>
      <c r="E991" s="70"/>
      <c r="F991" s="379"/>
      <c r="G991" s="387"/>
    </row>
    <row r="992" customFormat="false" ht="15" hidden="false" customHeight="false" outlineLevel="0" collapsed="false">
      <c r="C992" s="310"/>
      <c r="D992" s="310"/>
      <c r="E992" s="70"/>
      <c r="F992" s="379"/>
      <c r="G992" s="387"/>
    </row>
    <row r="993" customFormat="false" ht="15" hidden="false" customHeight="false" outlineLevel="0" collapsed="false">
      <c r="C993" s="310"/>
      <c r="D993" s="310"/>
      <c r="E993" s="70"/>
      <c r="F993" s="379"/>
      <c r="G993" s="387"/>
    </row>
    <row r="994" customFormat="false" ht="15" hidden="false" customHeight="false" outlineLevel="0" collapsed="false">
      <c r="C994" s="310"/>
      <c r="D994" s="310"/>
      <c r="E994" s="70"/>
      <c r="F994" s="379"/>
      <c r="G994" s="387"/>
    </row>
    <row r="995" customFormat="false" ht="15" hidden="false" customHeight="false" outlineLevel="0" collapsed="false">
      <c r="C995" s="310"/>
      <c r="D995" s="310"/>
      <c r="E995" s="70"/>
      <c r="F995" s="379"/>
      <c r="G995" s="387"/>
    </row>
    <row r="996" customFormat="false" ht="15" hidden="false" customHeight="false" outlineLevel="0" collapsed="false">
      <c r="C996" s="310"/>
      <c r="D996" s="310"/>
      <c r="E996" s="70"/>
      <c r="F996" s="379"/>
      <c r="G996" s="387"/>
    </row>
    <row r="997" customFormat="false" ht="15" hidden="false" customHeight="false" outlineLevel="0" collapsed="false">
      <c r="C997" s="310"/>
      <c r="D997" s="310"/>
      <c r="E997" s="70"/>
      <c r="F997" s="379"/>
      <c r="G997" s="387"/>
    </row>
    <row r="998" customFormat="false" ht="15" hidden="false" customHeight="false" outlineLevel="0" collapsed="false">
      <c r="C998" s="310"/>
      <c r="D998" s="310"/>
      <c r="E998" s="70"/>
      <c r="F998" s="379"/>
      <c r="G998" s="387"/>
    </row>
    <row r="999" customFormat="false" ht="15" hidden="false" customHeight="false" outlineLevel="0" collapsed="false">
      <c r="C999" s="310"/>
      <c r="D999" s="310"/>
      <c r="E999" s="70"/>
      <c r="F999" s="379"/>
      <c r="G999" s="387"/>
    </row>
    <row r="1000" customFormat="false" ht="15" hidden="false" customHeight="false" outlineLevel="0" collapsed="false">
      <c r="C1000" s="310"/>
      <c r="D1000" s="310"/>
      <c r="E1000" s="70"/>
      <c r="F1000" s="379"/>
      <c r="G1000" s="387"/>
    </row>
    <row r="1001" customFormat="false" ht="15" hidden="false" customHeight="false" outlineLevel="0" collapsed="false">
      <c r="C1001" s="310"/>
      <c r="D1001" s="310"/>
      <c r="E1001" s="70"/>
      <c r="F1001" s="379"/>
      <c r="G1001" s="387"/>
    </row>
    <row r="1002" customFormat="false" ht="15" hidden="false" customHeight="false" outlineLevel="0" collapsed="false">
      <c r="C1002" s="310"/>
      <c r="D1002" s="310"/>
      <c r="E1002" s="70"/>
      <c r="F1002" s="379"/>
      <c r="G1002" s="387"/>
    </row>
    <row r="1003" customFormat="false" ht="15" hidden="false" customHeight="false" outlineLevel="0" collapsed="false">
      <c r="C1003" s="310"/>
      <c r="D1003" s="310"/>
      <c r="E1003" s="70"/>
      <c r="F1003" s="379"/>
      <c r="G1003" s="387"/>
    </row>
    <row r="1004" customFormat="false" ht="15" hidden="false" customHeight="false" outlineLevel="0" collapsed="false">
      <c r="C1004" s="310"/>
      <c r="D1004" s="310"/>
      <c r="E1004" s="70"/>
      <c r="F1004" s="379"/>
      <c r="G1004" s="387"/>
    </row>
    <row r="1005" customFormat="false" ht="15" hidden="false" customHeight="false" outlineLevel="0" collapsed="false">
      <c r="C1005" s="310"/>
      <c r="D1005" s="310"/>
      <c r="E1005" s="70"/>
      <c r="F1005" s="379"/>
      <c r="G1005" s="387"/>
    </row>
    <row r="1006" customFormat="false" ht="15" hidden="false" customHeight="false" outlineLevel="0" collapsed="false">
      <c r="C1006" s="310"/>
      <c r="D1006" s="310"/>
      <c r="E1006" s="70"/>
      <c r="F1006" s="379"/>
      <c r="G1006" s="387"/>
    </row>
    <row r="1007" customFormat="false" ht="15" hidden="false" customHeight="false" outlineLevel="0" collapsed="false">
      <c r="C1007" s="310"/>
      <c r="D1007" s="310"/>
      <c r="E1007" s="70"/>
      <c r="F1007" s="379"/>
      <c r="G1007" s="387"/>
    </row>
    <row r="1008" customFormat="false" ht="15" hidden="false" customHeight="false" outlineLevel="0" collapsed="false">
      <c r="C1008" s="310"/>
      <c r="D1008" s="310"/>
      <c r="E1008" s="70"/>
      <c r="F1008" s="379"/>
      <c r="G1008" s="387"/>
    </row>
    <row r="1009" customFormat="false" ht="15" hidden="false" customHeight="false" outlineLevel="0" collapsed="false">
      <c r="C1009" s="310"/>
      <c r="D1009" s="310"/>
      <c r="E1009" s="70"/>
      <c r="F1009" s="379"/>
      <c r="G1009" s="387"/>
    </row>
    <row r="1010" customFormat="false" ht="15" hidden="false" customHeight="false" outlineLevel="0" collapsed="false">
      <c r="C1010" s="310"/>
      <c r="D1010" s="310"/>
      <c r="E1010" s="70"/>
      <c r="F1010" s="379"/>
      <c r="G1010" s="387"/>
    </row>
    <row r="1011" customFormat="false" ht="15" hidden="false" customHeight="false" outlineLevel="0" collapsed="false">
      <c r="C1011" s="310"/>
      <c r="D1011" s="310"/>
      <c r="E1011" s="70"/>
      <c r="F1011" s="379"/>
      <c r="G1011" s="387"/>
    </row>
    <row r="1012" customFormat="false" ht="15" hidden="false" customHeight="false" outlineLevel="0" collapsed="false">
      <c r="C1012" s="310"/>
      <c r="D1012" s="310"/>
      <c r="E1012" s="70"/>
      <c r="F1012" s="379"/>
      <c r="G1012" s="387"/>
    </row>
    <row r="1013" customFormat="false" ht="15" hidden="false" customHeight="false" outlineLevel="0" collapsed="false">
      <c r="C1013" s="310"/>
      <c r="D1013" s="310"/>
      <c r="E1013" s="70"/>
      <c r="F1013" s="379"/>
      <c r="G1013" s="387"/>
    </row>
    <row r="1014" customFormat="false" ht="15" hidden="false" customHeight="false" outlineLevel="0" collapsed="false">
      <c r="C1014" s="310"/>
      <c r="D1014" s="310"/>
      <c r="E1014" s="70"/>
      <c r="F1014" s="379"/>
      <c r="G1014" s="387"/>
    </row>
    <row r="1015" customFormat="false" ht="15" hidden="false" customHeight="false" outlineLevel="0" collapsed="false">
      <c r="C1015" s="310"/>
      <c r="D1015" s="310"/>
      <c r="E1015" s="70"/>
      <c r="F1015" s="379"/>
      <c r="G1015" s="387"/>
    </row>
    <row r="1016" customFormat="false" ht="15" hidden="false" customHeight="false" outlineLevel="0" collapsed="false">
      <c r="C1016" s="310"/>
      <c r="D1016" s="310"/>
      <c r="E1016" s="70"/>
      <c r="F1016" s="379"/>
      <c r="G1016" s="387"/>
    </row>
    <row r="1017" customFormat="false" ht="15" hidden="false" customHeight="false" outlineLevel="0" collapsed="false">
      <c r="C1017" s="310"/>
      <c r="D1017" s="310"/>
      <c r="E1017" s="70"/>
      <c r="F1017" s="379"/>
      <c r="G1017" s="387"/>
    </row>
    <row r="1018" customFormat="false" ht="15" hidden="false" customHeight="false" outlineLevel="0" collapsed="false">
      <c r="C1018" s="310"/>
      <c r="D1018" s="310"/>
      <c r="E1018" s="70"/>
      <c r="F1018" s="379"/>
      <c r="G1018" s="387"/>
    </row>
    <row r="1019" customFormat="false" ht="15" hidden="false" customHeight="false" outlineLevel="0" collapsed="false">
      <c r="C1019" s="310"/>
      <c r="D1019" s="310"/>
      <c r="E1019" s="70"/>
      <c r="F1019" s="379"/>
      <c r="G1019" s="387"/>
    </row>
    <row r="1020" customFormat="false" ht="15" hidden="false" customHeight="false" outlineLevel="0" collapsed="false">
      <c r="C1020" s="310"/>
      <c r="D1020" s="310"/>
      <c r="E1020" s="70"/>
      <c r="F1020" s="379"/>
      <c r="G1020" s="387"/>
    </row>
    <row r="1021" customFormat="false" ht="15" hidden="false" customHeight="false" outlineLevel="0" collapsed="false">
      <c r="C1021" s="310"/>
      <c r="D1021" s="310"/>
      <c r="E1021" s="70"/>
      <c r="F1021" s="379"/>
      <c r="G1021" s="387"/>
    </row>
    <row r="1022" customFormat="false" ht="15" hidden="false" customHeight="false" outlineLevel="0" collapsed="false">
      <c r="C1022" s="310"/>
      <c r="D1022" s="310"/>
      <c r="E1022" s="70"/>
      <c r="F1022" s="379"/>
      <c r="G1022" s="387"/>
    </row>
    <row r="1023" customFormat="false" ht="15" hidden="false" customHeight="false" outlineLevel="0" collapsed="false">
      <c r="C1023" s="310"/>
      <c r="D1023" s="310"/>
      <c r="E1023" s="70"/>
      <c r="F1023" s="379"/>
      <c r="G1023" s="387"/>
    </row>
    <row r="1024" customFormat="false" ht="15" hidden="false" customHeight="false" outlineLevel="0" collapsed="false">
      <c r="C1024" s="310"/>
      <c r="D1024" s="310"/>
      <c r="E1024" s="70"/>
      <c r="F1024" s="379"/>
      <c r="G1024" s="387"/>
    </row>
    <row r="1025" customFormat="false" ht="15" hidden="false" customHeight="false" outlineLevel="0" collapsed="false">
      <c r="C1025" s="310"/>
      <c r="D1025" s="310"/>
      <c r="E1025" s="70"/>
      <c r="F1025" s="379"/>
      <c r="G1025" s="387"/>
    </row>
    <row r="1026" customFormat="false" ht="15" hidden="false" customHeight="false" outlineLevel="0" collapsed="false">
      <c r="C1026" s="310"/>
      <c r="D1026" s="310"/>
      <c r="E1026" s="70"/>
      <c r="F1026" s="379"/>
      <c r="G1026" s="387"/>
    </row>
    <row r="1027" customFormat="false" ht="15" hidden="false" customHeight="false" outlineLevel="0" collapsed="false">
      <c r="C1027" s="310"/>
      <c r="D1027" s="310"/>
      <c r="E1027" s="70"/>
      <c r="F1027" s="379"/>
      <c r="G1027" s="387"/>
    </row>
    <row r="1028" customFormat="false" ht="15" hidden="false" customHeight="false" outlineLevel="0" collapsed="false">
      <c r="C1028" s="310"/>
      <c r="D1028" s="310"/>
      <c r="E1028" s="70"/>
      <c r="F1028" s="379"/>
      <c r="G1028" s="387"/>
    </row>
    <row r="1029" customFormat="false" ht="15" hidden="false" customHeight="false" outlineLevel="0" collapsed="false">
      <c r="C1029" s="310"/>
      <c r="D1029" s="310"/>
      <c r="E1029" s="70"/>
      <c r="F1029" s="379"/>
      <c r="G1029" s="387"/>
    </row>
    <row r="1030" customFormat="false" ht="15" hidden="false" customHeight="false" outlineLevel="0" collapsed="false">
      <c r="C1030" s="310"/>
      <c r="D1030" s="310"/>
      <c r="E1030" s="70"/>
      <c r="F1030" s="379"/>
      <c r="G1030" s="387"/>
    </row>
    <row r="1031" customFormat="false" ht="15" hidden="false" customHeight="false" outlineLevel="0" collapsed="false">
      <c r="C1031" s="310"/>
      <c r="D1031" s="310"/>
      <c r="E1031" s="70"/>
      <c r="F1031" s="379"/>
      <c r="G1031" s="387"/>
    </row>
    <row r="1032" customFormat="false" ht="15" hidden="false" customHeight="false" outlineLevel="0" collapsed="false">
      <c r="C1032" s="310"/>
      <c r="D1032" s="310"/>
      <c r="E1032" s="70"/>
      <c r="F1032" s="379"/>
      <c r="G1032" s="387"/>
    </row>
    <row r="1033" customFormat="false" ht="15" hidden="false" customHeight="false" outlineLevel="0" collapsed="false">
      <c r="C1033" s="310"/>
      <c r="D1033" s="310"/>
      <c r="E1033" s="70"/>
      <c r="F1033" s="379"/>
      <c r="G1033" s="387"/>
    </row>
    <row r="1034" customFormat="false" ht="15" hidden="false" customHeight="false" outlineLevel="0" collapsed="false">
      <c r="C1034" s="310"/>
      <c r="D1034" s="310"/>
      <c r="E1034" s="70"/>
      <c r="F1034" s="379"/>
      <c r="G1034" s="387"/>
    </row>
    <row r="1035" customFormat="false" ht="15" hidden="false" customHeight="false" outlineLevel="0" collapsed="false">
      <c r="C1035" s="310"/>
      <c r="D1035" s="310"/>
      <c r="E1035" s="70"/>
      <c r="F1035" s="379"/>
      <c r="G1035" s="387"/>
    </row>
    <row r="1036" customFormat="false" ht="15" hidden="false" customHeight="false" outlineLevel="0" collapsed="false">
      <c r="C1036" s="310"/>
      <c r="D1036" s="310"/>
      <c r="E1036" s="70"/>
      <c r="F1036" s="379"/>
      <c r="G1036" s="387"/>
    </row>
    <row r="1037" customFormat="false" ht="15" hidden="false" customHeight="false" outlineLevel="0" collapsed="false">
      <c r="C1037" s="310"/>
      <c r="D1037" s="310"/>
      <c r="E1037" s="70"/>
      <c r="F1037" s="379"/>
      <c r="G1037" s="387"/>
    </row>
    <row r="1038" customFormat="false" ht="15" hidden="false" customHeight="false" outlineLevel="0" collapsed="false">
      <c r="C1038" s="310"/>
      <c r="D1038" s="310"/>
      <c r="E1038" s="70"/>
      <c r="F1038" s="379"/>
      <c r="G1038" s="387"/>
    </row>
    <row r="1039" customFormat="false" ht="15" hidden="false" customHeight="false" outlineLevel="0" collapsed="false">
      <c r="C1039" s="310"/>
      <c r="D1039" s="310"/>
      <c r="E1039" s="70"/>
      <c r="F1039" s="379"/>
      <c r="G1039" s="387"/>
    </row>
    <row r="1040" customFormat="false" ht="15" hidden="false" customHeight="false" outlineLevel="0" collapsed="false">
      <c r="C1040" s="310"/>
      <c r="D1040" s="310"/>
      <c r="E1040" s="70"/>
      <c r="F1040" s="379"/>
      <c r="G1040" s="387"/>
    </row>
    <row r="1041" customFormat="false" ht="15" hidden="false" customHeight="false" outlineLevel="0" collapsed="false">
      <c r="C1041" s="310"/>
      <c r="D1041" s="310"/>
      <c r="E1041" s="70"/>
      <c r="F1041" s="379"/>
      <c r="G1041" s="387"/>
    </row>
    <row r="1042" customFormat="false" ht="15" hidden="false" customHeight="false" outlineLevel="0" collapsed="false">
      <c r="C1042" s="310"/>
      <c r="D1042" s="310"/>
      <c r="E1042" s="70"/>
      <c r="F1042" s="379"/>
      <c r="G1042" s="387"/>
    </row>
    <row r="1043" customFormat="false" ht="15" hidden="false" customHeight="false" outlineLevel="0" collapsed="false">
      <c r="C1043" s="310"/>
      <c r="D1043" s="310"/>
      <c r="E1043" s="70"/>
      <c r="F1043" s="379"/>
      <c r="G1043" s="387"/>
    </row>
    <row r="1044" customFormat="false" ht="15" hidden="false" customHeight="false" outlineLevel="0" collapsed="false">
      <c r="C1044" s="310"/>
      <c r="D1044" s="310"/>
      <c r="E1044" s="70"/>
      <c r="F1044" s="379"/>
      <c r="G1044" s="387"/>
    </row>
    <row r="1045" customFormat="false" ht="15" hidden="false" customHeight="false" outlineLevel="0" collapsed="false">
      <c r="C1045" s="310"/>
      <c r="D1045" s="310"/>
      <c r="E1045" s="70"/>
      <c r="F1045" s="379"/>
      <c r="G1045" s="387"/>
    </row>
    <row r="1046" customFormat="false" ht="15" hidden="false" customHeight="false" outlineLevel="0" collapsed="false">
      <c r="C1046" s="310"/>
      <c r="D1046" s="310"/>
      <c r="E1046" s="70"/>
      <c r="F1046" s="379"/>
      <c r="G1046" s="387"/>
    </row>
    <row r="1047" customFormat="false" ht="15" hidden="false" customHeight="false" outlineLevel="0" collapsed="false">
      <c r="C1047" s="310"/>
      <c r="D1047" s="310"/>
      <c r="E1047" s="70"/>
      <c r="F1047" s="379"/>
      <c r="G1047" s="387"/>
    </row>
    <row r="1048" customFormat="false" ht="15" hidden="false" customHeight="false" outlineLevel="0" collapsed="false">
      <c r="C1048" s="310"/>
      <c r="D1048" s="310"/>
      <c r="E1048" s="70"/>
      <c r="F1048" s="379"/>
      <c r="G1048" s="387"/>
    </row>
    <row r="1049" customFormat="false" ht="15" hidden="false" customHeight="false" outlineLevel="0" collapsed="false">
      <c r="C1049" s="310"/>
      <c r="D1049" s="310"/>
      <c r="E1049" s="70"/>
      <c r="F1049" s="379"/>
      <c r="G1049" s="387"/>
    </row>
    <row r="1050" customFormat="false" ht="15" hidden="false" customHeight="false" outlineLevel="0" collapsed="false">
      <c r="C1050" s="310"/>
      <c r="D1050" s="310"/>
      <c r="E1050" s="70"/>
      <c r="F1050" s="379"/>
      <c r="G1050" s="387"/>
    </row>
    <row r="1051" customFormat="false" ht="15" hidden="false" customHeight="false" outlineLevel="0" collapsed="false">
      <c r="C1051" s="310"/>
      <c r="D1051" s="310"/>
      <c r="E1051" s="70"/>
      <c r="F1051" s="379"/>
      <c r="G1051" s="387"/>
    </row>
    <row r="1052" customFormat="false" ht="15" hidden="false" customHeight="false" outlineLevel="0" collapsed="false">
      <c r="C1052" s="310"/>
      <c r="D1052" s="310"/>
      <c r="E1052" s="70"/>
      <c r="F1052" s="379"/>
      <c r="G1052" s="387"/>
    </row>
    <row r="1053" customFormat="false" ht="15" hidden="false" customHeight="false" outlineLevel="0" collapsed="false">
      <c r="C1053" s="310"/>
      <c r="D1053" s="310"/>
      <c r="E1053" s="70"/>
      <c r="F1053" s="379"/>
      <c r="G1053" s="387"/>
    </row>
    <row r="1054" customFormat="false" ht="15" hidden="false" customHeight="false" outlineLevel="0" collapsed="false">
      <c r="C1054" s="310"/>
      <c r="D1054" s="310"/>
      <c r="E1054" s="70"/>
      <c r="F1054" s="379"/>
      <c r="G1054" s="387"/>
    </row>
    <row r="1055" customFormat="false" ht="15" hidden="false" customHeight="false" outlineLevel="0" collapsed="false">
      <c r="C1055" s="310"/>
      <c r="D1055" s="310"/>
      <c r="E1055" s="70"/>
      <c r="F1055" s="379"/>
      <c r="G1055" s="387"/>
    </row>
    <row r="1056" customFormat="false" ht="15" hidden="false" customHeight="false" outlineLevel="0" collapsed="false">
      <c r="C1056" s="310"/>
      <c r="D1056" s="310"/>
      <c r="E1056" s="70"/>
      <c r="F1056" s="379"/>
      <c r="G1056" s="387"/>
    </row>
    <row r="1057" customFormat="false" ht="15" hidden="false" customHeight="false" outlineLevel="0" collapsed="false">
      <c r="C1057" s="310"/>
      <c r="D1057" s="310"/>
      <c r="E1057" s="70"/>
      <c r="F1057" s="379"/>
      <c r="G1057" s="387"/>
    </row>
  </sheetData>
  <mergeCells count="18">
    <mergeCell ref="H2:K2"/>
    <mergeCell ref="O2:P2"/>
    <mergeCell ref="A98:E98"/>
    <mergeCell ref="A99:E99"/>
    <mergeCell ref="A106:E106"/>
    <mergeCell ref="A128:E128"/>
    <mergeCell ref="A136:E136"/>
    <mergeCell ref="A219:E219"/>
    <mergeCell ref="A232:E232"/>
    <mergeCell ref="A233:E233"/>
    <mergeCell ref="A236:E236"/>
    <mergeCell ref="A240:E240"/>
    <mergeCell ref="A244:E244"/>
    <mergeCell ref="A248:E248"/>
    <mergeCell ref="A251:E251"/>
    <mergeCell ref="A255:E255"/>
    <mergeCell ref="A260:E260"/>
    <mergeCell ref="A266:E266"/>
  </mergeCells>
  <printOptions headings="false" gridLines="true" gridLinesSet="true" horizontalCentered="true" verticalCentered="false"/>
  <pageMargins left="0.7" right="0.7" top="0.75" bottom="0.75" header="0.511811023622047" footer="0.511811023622047"/>
  <pageSetup paperSize="9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336699"/>
    <pageSetUpPr fitToPage="true"/>
  </sheetPr>
  <dimension ref="A1:Z10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57.3"/>
    <col collapsed="false" customWidth="true" hidden="false" outlineLevel="0" max="3" min="2" style="0" width="47.29"/>
    <col collapsed="false" customWidth="true" hidden="true" outlineLevel="0" max="4" min="4" style="0" width="27.43"/>
    <col collapsed="false" customWidth="true" hidden="true" outlineLevel="0" max="7" min="5" style="0" width="8.71"/>
    <col collapsed="false" customWidth="true" hidden="true" outlineLevel="0" max="8" min="8" style="0" width="20.43"/>
    <col collapsed="false" customWidth="true" hidden="true" outlineLevel="0" max="9" min="9" style="0" width="18.86"/>
    <col collapsed="false" customWidth="true" hidden="true" outlineLevel="0" max="10" min="10" style="0" width="29.86"/>
    <col collapsed="false" customWidth="true" hidden="true" outlineLevel="0" max="11" min="11" style="0" width="28"/>
    <col collapsed="false" customWidth="true" hidden="true" outlineLevel="0" max="12" min="12" style="0" width="14.7"/>
    <col collapsed="false" customWidth="true" hidden="true" outlineLevel="0" max="13" min="13" style="0" width="15.29"/>
    <col collapsed="false" customWidth="true" hidden="true" outlineLevel="0" max="26" min="14" style="0" width="8.71"/>
  </cols>
  <sheetData>
    <row r="1" customFormat="false" ht="15" hidden="false" customHeight="false" outlineLevel="0" collapsed="false">
      <c r="A1" s="502" t="s">
        <v>423</v>
      </c>
      <c r="B1" s="503" t="s">
        <v>19</v>
      </c>
      <c r="C1" s="504"/>
      <c r="D1" s="64"/>
      <c r="E1" s="64"/>
      <c r="F1" s="64"/>
      <c r="G1" s="64"/>
      <c r="H1" s="505"/>
      <c r="I1" s="505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customFormat="false" ht="18.75" hidden="false" customHeight="true" outlineLevel="0" collapsed="false">
      <c r="A2" s="502"/>
      <c r="B2" s="506" t="n">
        <f aca="false">100 * ROUNDUP(D2 / 100, 0)</f>
        <v>32200</v>
      </c>
      <c r="C2" s="504"/>
      <c r="D2" s="132" t="n">
        <f aca="false">IF(B14=Конструктивы!B2,Дилер!B6,Дилер!B10)</f>
        <v>32200</v>
      </c>
      <c r="E2" s="64"/>
      <c r="F2" s="64"/>
      <c r="G2" s="64"/>
      <c r="H2" s="505"/>
      <c r="I2" s="505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customFormat="false" ht="15" hidden="false" customHeight="false" outlineLevel="0" collapsed="false">
      <c r="A3" s="507" t="s">
        <v>424</v>
      </c>
      <c r="B3" s="508" t="n">
        <f aca="true">TODAY()</f>
        <v>45990</v>
      </c>
      <c r="C3" s="508"/>
      <c r="D3" s="64"/>
      <c r="E3" s="64"/>
      <c r="F3" s="64"/>
      <c r="G3" s="64"/>
      <c r="H3" s="505"/>
      <c r="I3" s="505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customFormat="false" ht="15" hidden="false" customHeight="false" outlineLevel="0" collapsed="false">
      <c r="A4" s="509" t="s">
        <v>425</v>
      </c>
      <c r="B4" s="509"/>
      <c r="C4" s="509"/>
      <c r="D4" s="64"/>
      <c r="E4" s="64"/>
      <c r="F4" s="64"/>
      <c r="G4" s="64"/>
      <c r="H4" s="505"/>
      <c r="I4" s="505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customFormat="false" ht="15" hidden="false" customHeight="false" outlineLevel="0" collapsed="false">
      <c r="A5" s="507" t="s">
        <v>426</v>
      </c>
      <c r="B5" s="507"/>
      <c r="C5" s="507"/>
      <c r="D5" s="64"/>
      <c r="E5" s="64"/>
      <c r="F5" s="64"/>
      <c r="G5" s="64"/>
      <c r="H5" s="505"/>
      <c r="I5" s="505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customFormat="false" ht="15" hidden="false" customHeight="false" outlineLevel="0" collapsed="false">
      <c r="A6" s="509" t="s">
        <v>427</v>
      </c>
      <c r="B6" s="509"/>
      <c r="C6" s="509"/>
      <c r="D6" s="64"/>
      <c r="E6" s="64"/>
      <c r="F6" s="64"/>
      <c r="G6" s="64"/>
      <c r="H6" s="505"/>
      <c r="I6" s="505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customFormat="false" ht="15" hidden="false" customHeight="false" outlineLevel="0" collapsed="false">
      <c r="A7" s="507" t="s">
        <v>428</v>
      </c>
      <c r="B7" s="507"/>
      <c r="C7" s="507"/>
      <c r="D7" s="64"/>
      <c r="E7" s="64"/>
      <c r="F7" s="64"/>
      <c r="G7" s="64"/>
      <c r="H7" s="505"/>
      <c r="I7" s="505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customFormat="false" ht="15" hidden="false" customHeight="false" outlineLevel="0" collapsed="false">
      <c r="A8" s="509" t="s">
        <v>429</v>
      </c>
      <c r="B8" s="509"/>
      <c r="C8" s="509"/>
      <c r="D8" s="64"/>
      <c r="E8" s="64"/>
      <c r="F8" s="64"/>
      <c r="G8" s="64"/>
      <c r="H8" s="505"/>
      <c r="I8" s="505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customFormat="false" ht="19.5" hidden="false" customHeight="true" outlineLevel="0" collapsed="false">
      <c r="A9" s="510" t="s">
        <v>430</v>
      </c>
      <c r="B9" s="510"/>
      <c r="C9" s="510"/>
      <c r="D9" s="64"/>
      <c r="E9" s="64"/>
      <c r="F9" s="64"/>
      <c r="G9" s="64"/>
      <c r="H9" s="505"/>
      <c r="I9" s="505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customFormat="false" ht="15" hidden="false" customHeight="false" outlineLevel="0" collapsed="false">
      <c r="A10" s="509" t="s">
        <v>431</v>
      </c>
      <c r="B10" s="511" t="n">
        <v>2050</v>
      </c>
      <c r="C10" s="512"/>
      <c r="D10" s="513" t="s">
        <v>432</v>
      </c>
      <c r="E10" s="64"/>
      <c r="F10" s="64"/>
      <c r="G10" s="64"/>
      <c r="H10" s="505"/>
      <c r="I10" s="505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customFormat="false" ht="15" hidden="false" customHeight="false" outlineLevel="0" collapsed="false">
      <c r="A11" s="507" t="s">
        <v>433</v>
      </c>
      <c r="B11" s="514" t="n">
        <v>960</v>
      </c>
      <c r="C11" s="515"/>
      <c r="D11" s="516" t="s">
        <v>434</v>
      </c>
      <c r="E11" s="64"/>
      <c r="F11" s="64"/>
      <c r="G11" s="64"/>
      <c r="H11" s="505"/>
      <c r="I11" s="505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customFormat="false" ht="15" hidden="false" customHeight="false" outlineLevel="0" collapsed="false">
      <c r="A12" s="511" t="s">
        <v>435</v>
      </c>
      <c r="B12" s="517" t="s">
        <v>436</v>
      </c>
      <c r="C12" s="512"/>
      <c r="D12" s="518" t="s">
        <v>437</v>
      </c>
      <c r="E12" s="64"/>
      <c r="F12" s="64"/>
      <c r="G12" s="64"/>
      <c r="H12" s="505"/>
      <c r="I12" s="505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customFormat="false" ht="20.25" hidden="false" customHeight="true" outlineLevel="0" collapsed="false">
      <c r="A13" s="510" t="s">
        <v>438</v>
      </c>
      <c r="B13" s="510"/>
      <c r="C13" s="510"/>
      <c r="D13" s="64"/>
      <c r="E13" s="64"/>
      <c r="F13" s="64"/>
      <c r="G13" s="64"/>
      <c r="H13" s="505"/>
      <c r="I13" s="505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customFormat="false" ht="16.5" hidden="false" customHeight="true" outlineLevel="0" collapsed="false">
      <c r="A14" s="511" t="s">
        <v>439</v>
      </c>
      <c r="B14" s="519" t="s">
        <v>440</v>
      </c>
      <c r="C14" s="520"/>
      <c r="D14" s="64"/>
      <c r="E14" s="64"/>
      <c r="F14" s="64"/>
      <c r="G14" s="64"/>
      <c r="H14" s="505"/>
      <c r="I14" s="505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customFormat="false" ht="16.5" hidden="false" customHeight="true" outlineLevel="0" collapsed="false">
      <c r="A15" s="514" t="s">
        <v>441</v>
      </c>
      <c r="B15" s="507" t="s">
        <v>442</v>
      </c>
      <c r="C15" s="521"/>
      <c r="D15" s="64"/>
      <c r="E15" s="64"/>
      <c r="F15" s="64"/>
      <c r="G15" s="64"/>
      <c r="H15" s="505"/>
      <c r="I15" s="505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customFormat="false" ht="19.7" hidden="false" customHeight="false" outlineLevel="0" collapsed="false">
      <c r="A16" s="522" t="s">
        <v>443</v>
      </c>
      <c r="B16" s="522"/>
      <c r="C16" s="522"/>
      <c r="D16" s="64"/>
      <c r="E16" s="64"/>
      <c r="F16" s="64"/>
      <c r="G16" s="64"/>
      <c r="H16" s="505"/>
      <c r="I16" s="505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customFormat="false" ht="15.75" hidden="false" customHeight="true" outlineLevel="0" collapsed="false">
      <c r="A17" s="523"/>
      <c r="B17" s="523" t="s">
        <v>444</v>
      </c>
      <c r="C17" s="524" t="s">
        <v>445</v>
      </c>
      <c r="D17" s="64"/>
      <c r="E17" s="64"/>
      <c r="F17" s="64"/>
      <c r="G17" s="64"/>
      <c r="H17" s="505"/>
      <c r="I17" s="505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customFormat="false" ht="249.75" hidden="false" customHeight="true" outlineLevel="0" collapsed="false">
      <c r="A18" s="507" t="e">
        <f aca="false">ifs(B14=Конструктивы!B2,Конструктивы!B3,B14=Конструктивы!C2,Конструктивы!C3)</f>
        <v>#NAME?</v>
      </c>
      <c r="B18" s="507" t="e">
        <f aca="false">ifs(B19='Наружная отделка'!B3,'Наружная отделка'!B2,B19='Наружная отделка'!C3,'Наружная отделка'!C2,B19='Наружная отделка'!D3,'Наружная отделка'!D2,B19='Наружная отделка'!E3,'Наружная отделка'!E2,B19='Наружная отделка'!B6,'Наружная отделка'!B5,B19='Наружная отделка'!C6,'Наружная отделка'!C5,B19='Наружная отделка'!D6,'Наружная отделка'!D5,B19='Наружная отделка'!E6,'Наружная отделка'!E5,B19='Наружная отделка'!F6,'Наружная отделка'!F5,B19='Наружная отделка'!B9,'Наружная отделка'!B8,B19='Наружная отделка'!C9,'Наружная отделка'!C8,B19='Наружная отделка'!D9,'Наружная отделка'!D8,B19='Наружная отделка'!E9,'Наружная отделка'!E8,B19='Наружная отделка'!F9,'Наружная отделка'!F8,B19='Наружная отделка'!G9,'Наружная отделка'!G8,B19='Наружная отделка'!H9,'Наружная отделка'!H8,B19='Наружная отделка'!I9,'Наружная отделка'!I8,B19='Наружная отделка'!J9,'Наружная отделка'!J8,B19='Наружная отделка'!B12,'Наружная отделка'!B11,B19='Наружная отделка'!C12,'Наружная отделка'!C11,B19='Наружная отделка'!D12,'Наружная отделка'!D11,B19='Наружная отделка'!E12,'Наружная отделка'!E11,B19='Наружная отделка'!F12,'Наружная отделка'!F11,B19='Наружная отделка'!G12,'Наружная отделка'!G11,B19='Наружная отделка'!H12,'Наружная отделка'!H11,B19='Наружная отделка'!I12,'Наружная отделка'!I11,B19='Наружная отделка'!J12,'Наружная отделка'!J11)</f>
        <v>#NAME?</v>
      </c>
      <c r="C18" s="521" t="e">
        <f aca="false">ifs(C19='Внутренняя отделка'!B3,'Внутренняя отделка'!B2,C19='Внутренняя отделка'!C3,'Внутренняя отделка'!C2,C19='Внутренняя отделка'!D3,'Внутренняя отделка'!D2,C19='Внутренняя отделка'!E3,'Внутренняя отделка'!E2,C19='Внутренняя отделка'!F3,'Внутренняя отделка'!F2,C19='Внутренняя отделка'!G3,'Внутренняя отделка'!G2,C19='Внутренняя отделка'!H3,'Внутренняя отделка'!H2,C19='Внутренняя отделка'!I3,'Внутренняя отделка'!I2,C19='Внутренняя отделка'!J3,'Внутренняя отделка'!J2,C19='Внутренняя отделка'!K3,'Внутренняя отделка'!K2,C19='Внутренняя отделка'!L3,'Внутренняя отделка'!L2,C19='Внутренняя отделка'!M3,'Внутренняя отделка'!M2,C19='Внутренняя отделка'!N3,'Внутренняя отделка'!N2,C19='Внутренняя отделка'!B8,'Внутренняя отделка'!B7,C19='Внутренняя отделка'!C8,'Внутренняя отделка'!C7,C19='Внутренняя отделка'!D8,'Внутренняя отделка'!D7,C19='Внутренняя отделка'!E8,'Внутренняя отделка'!E7,C19='Внутренняя отделка'!F8,'Внутренняя отделка'!F7,C19='Внутренняя отделка'!G8,'Внутренняя отделка'!G7,C19='Внутренняя отделка'!H8,'Внутренняя отделка'!H7,C19='Внутренняя отделка'!I8,'Внутренняя отделка'!I7,C19='Внутренняя отделка'!J8,'Внутренняя отделка'!J7,C19='Внутренняя отделка'!K8,'Внутренняя отделка'!K7,C19='Внутренняя отделка'!B13,'Внутренняя отделка'!B12,C19='Внутренняя отделка'!C13,'Внутренняя отделка'!C12,C19='Внутренняя отделка'!D13,'Внутренняя отделка'!D12,C19='Внутренняя отделка'!E13,'Внутренняя отделка'!E12,C19='Внутренняя отделка'!B18,'Внутренняя отделка'!B17,C19='Внутренняя отделка'!C18,'Внутренняя отделка'!C17,C19='Внутренняя отделка'!D18,'Внутренняя отделка'!D17,C19='Внутренняя отделка'!E18,'Внутренняя отделка'!E17,C19='Внутренняя отделка'!F18,'Внутренняя отделка'!F17,C19='Внутренняя отделка'!L8,'Внутренняя отделка'!L7,C19='Внутренняя отделка'!M8,"Без МДФ-панели")</f>
        <v>#NAME?</v>
      </c>
      <c r="D18" s="64"/>
      <c r="E18" s="64"/>
      <c r="F18" s="64"/>
      <c r="G18" s="64"/>
      <c r="H18" s="505"/>
      <c r="I18" s="505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customFormat="false" ht="17.9" hidden="false" customHeight="false" outlineLevel="0" collapsed="false">
      <c r="A19" s="523" t="s">
        <v>446</v>
      </c>
      <c r="B19" s="523" t="s">
        <v>221</v>
      </c>
      <c r="C19" s="524" t="s">
        <v>447</v>
      </c>
      <c r="D19" s="64"/>
      <c r="E19" s="64"/>
      <c r="F19" s="64"/>
      <c r="G19" s="64"/>
      <c r="H19" s="505"/>
      <c r="I19" s="505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customFormat="false" ht="129" hidden="false" customHeight="true" outlineLevel="0" collapsed="false">
      <c r="A20" s="510" t="s">
        <v>448</v>
      </c>
      <c r="B20" s="525" t="e">
        <f aca="false">IF(OR(B19='Наружная отделка'!B3,B19='Наружная отделка'!C3,B19='Наружная отделка'!D3,B19='Наружная отделка'!E3),"Отделка металлом - ПВХ не используется",H20)</f>
        <v>#NAME?</v>
      </c>
      <c r="C20" s="526" t="e">
        <f aca="false">ifs(C21='Плёнки ПВХ'!B4,'Плёнки ПВХ'!B3,C21='Плёнки ПВХ'!C4,'Плёнки ПВХ'!C3,C21='Плёнки ПВХ'!D4,'Плёнки ПВХ'!D3,C21='Плёнки ПВХ'!E4,'Плёнки ПВХ'!E3,C21='Плёнки ПВХ'!F4,'Плёнки ПВХ'!F3,C21='Плёнки ПВХ'!G4,'Плёнки ПВХ'!G3,C21='Плёнки ПВХ'!H4,'Плёнки ПВХ'!H3,C21='Плёнки ПВХ'!I4,'Плёнки ПВХ'!I3,C21='Плёнки ПВХ'!J4,'Плёнки ПВХ'!J3,C21='Плёнки ПВХ'!K4,'Плёнки ПВХ'!K3,C21='Плёнки ПВХ'!L4,'Плёнки ПВХ'!L3,C21='Плёнки ПВХ'!G22,'Плёнки ПВХ'!G21,C21='Плёнки ПВХ'!B8,'Плёнки ПВХ'!B7,C21='Плёнки ПВХ'!C8,'Плёнки ПВХ'!C7,C21='Плёнки ПВХ'!D8,'Плёнки ПВХ'!D7,C21='Плёнки ПВХ'!E8,'Плёнки ПВХ'!E7,C21='Плёнки ПВХ'!F8,'Плёнки ПВХ'!F7,C21='Плёнки ПВХ'!G8,'Плёнки ПВХ'!G7,C21='Плёнки ПВХ'!H8,'Плёнки ПВХ'!H7,C21='Плёнки ПВХ'!I8,'Плёнки ПВХ'!I7,C21='Плёнки ПВХ'!J8,'Плёнки ПВХ'!J7,C21='Плёнки ПВХ'!B13,'Плёнки ПВХ'!B12,C21='Плёнки ПВХ'!C13,'Плёнки ПВХ'!C12,C21='Плёнки ПВХ'!D13,'Плёнки ПВХ'!D12,C21='Плёнки ПВХ'!E13,'Плёнки ПВХ'!E12,C21='Плёнки ПВХ'!B18,'Плёнки ПВХ'!B17,C21='Плёнки ПВХ'!C18,'Плёнки ПВХ'!C17,C21='Плёнки ПВХ'!D18,'Плёнки ПВХ'!D17,C21='Плёнки ПВХ'!E18,'Плёнки ПВХ'!E17,C21='Плёнки ПВХ'!F18,'Плёнки ПВХ'!F17,C21='Плёнки ПВХ'!G18,'Плёнки ПВХ'!G17,C21='Плёнки ПВХ'!H18,'Плёнки ПВХ'!H17,C21='Плёнки ПВХ'!I18,'Плёнки ПВХ'!I17,C21='Плёнки ПВХ'!J18,'Плёнки ПВХ'!J17,C21='Плёнки ПВХ'!K18,'Плёнки ПВХ'!K17,C21='Плёнки ПВХ'!L18,'Плёнки ПВХ'!L17,C21='Плёнки ПВХ'!B22,'Плёнки ПВХ'!B21,C21='Плёнки ПВХ'!C22,'Плёнки ПВХ'!C21,C21='Плёнки ПВХ'!D22,'Плёнки ПВХ'!D21,C21='Плёнки ПВХ'!E22,'Плёнки ПВХ'!E21,C21='Плёнки ПВХ'!F22,'Плёнки ПВХ'!F21,C21='Плёнки ПВХ'!G22,'Плёнки ПВХ'!G21,C21='Плёнки ПВХ'!H22,'Плёнки ПВХ'!H21,C21='Плёнки ПВХ'!I22,'Плёнки ПВХ'!I21,C21='Плёнки ПВХ'!J22,'Плёнки ПВХ'!J21,C21="Нет","Выберите цвет плёнки внутренней отделки")</f>
        <v>#NAME?</v>
      </c>
      <c r="D20" s="64"/>
      <c r="E20" s="64"/>
      <c r="F20" s="64"/>
      <c r="G20" s="64"/>
      <c r="H20" s="505" t="e">
        <f aca="false">ifs(B21='Плёнки ПВХ'!B4,'Плёнки ПВХ'!B3,B21='Плёнки ПВХ'!C4,'Плёнки ПВХ'!C3,B21='Плёнки ПВХ'!D4,'Плёнки ПВХ'!D3,B21='Плёнки ПВХ'!E4,'Плёнки ПВХ'!E3,B21='Плёнки ПВХ'!F4,'Плёнки ПВХ'!F3,B21='Плёнки ПВХ'!G4,'Плёнки ПВХ'!G3,B21='Плёнки ПВХ'!H4,'Плёнки ПВХ'!H3,B21='Плёнки ПВХ'!I4,'Плёнки ПВХ'!I3,B21='Плёнки ПВХ'!J4,'Плёнки ПВХ'!J3,B21='Плёнки ПВХ'!K4,'Плёнки ПВХ'!K3,B21='Плёнки ПВХ'!L4,'Плёнки ПВХ'!L3,B21='Плёнки ПВХ'!G22,'Плёнки ПВХ'!G21,B21="Нет","Выберите цвет плёнки наружней отделки!",B21='Плёнки ПВХ'!B8,'Плёнки ПВХ'!B7,B21='Плёнки ПВХ'!C8,'Плёнки ПВХ'!C7,B21='Плёнки ПВХ'!D8,'Плёнки ПВХ'!D7,B21='Плёнки ПВХ'!E8,'Плёнки ПВХ'!E7,B21='Плёнки ПВХ'!F8,'Плёнки ПВХ'!F7,B21='Плёнки ПВХ'!G8,'Плёнки ПВХ'!G7,B21='Плёнки ПВХ'!H8,'Плёнки ПВХ'!H7,B21='Плёнки ПВХ'!I8,'Плёнки ПВХ'!I7,B21='Плёнки ПВХ'!J8,'Плёнки ПВХ'!J7,B21='Плёнки ПВХ'!B13,'Плёнки ПВХ'!B12,B21='Плёнки ПВХ'!C13,'Плёнки ПВХ'!C12,B21='Плёнки ПВХ'!D13,'Плёнки ПВХ'!D12,B21='Плёнки ПВХ'!E13,'Плёнки ПВХ'!E12,B21='Плёнки ПВХ'!B18,'Плёнки ПВХ'!B17,B21='Плёнки ПВХ'!C18,'Плёнки ПВХ'!C17,B21='Плёнки ПВХ'!D18,'Плёнки ПВХ'!D17,B21='Плёнки ПВХ'!E18,'Плёнки ПВХ'!E17,B21='Плёнки ПВХ'!F18,'Плёнки ПВХ'!F17,B21='Плёнки ПВХ'!G18,'Плёнки ПВХ'!G17,B21='Плёнки ПВХ'!H18,'Плёнки ПВХ'!H17,B21='Плёнки ПВХ'!I18,'Плёнки ПВХ'!I17,B21='Плёнки ПВХ'!J18,'Плёнки ПВХ'!J17,B21='Плёнки ПВХ'!K18,'Плёнки ПВХ'!K17,B21='Плёнки ПВХ'!L18,'Плёнки ПВХ'!L17,B21='Плёнки ПВХ'!B22,'Плёнки ПВХ'!B21,B21='Плёнки ПВХ'!C22,'Плёнки ПВХ'!C21,B21='Плёнки ПВХ'!D22,'Плёнки ПВХ'!D21,B21='Плёнки ПВХ'!E22,'Плёнки ПВХ'!E21,B21='Плёнки ПВХ'!F22,'Плёнки ПВХ'!F21,B21='Плёнки ПВХ'!G22,'Плёнки ПВХ'!G21,B21='Плёнки ПВХ'!H22,'Плёнки ПВХ'!H21,B21='Плёнки ПВХ'!I22,'Плёнки ПВХ'!I21,B21='Плёнки ПВХ'!J22,'Плёнки ПВХ'!J21)</f>
        <v>#NAME?</v>
      </c>
      <c r="I20" s="505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customFormat="false" ht="15" hidden="false" customHeight="true" outlineLevel="0" collapsed="false">
      <c r="A21" s="523" t="s">
        <v>449</v>
      </c>
      <c r="B21" s="523" t="s">
        <v>450</v>
      </c>
      <c r="C21" s="524" t="s">
        <v>451</v>
      </c>
      <c r="D21" s="64"/>
      <c r="E21" s="64"/>
      <c r="F21" s="64"/>
      <c r="G21" s="64"/>
      <c r="H21" s="505"/>
      <c r="I21" s="505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customFormat="false" ht="129" hidden="false" customHeight="true" outlineLevel="0" collapsed="false">
      <c r="A22" s="527" t="s">
        <v>452</v>
      </c>
      <c r="B22" s="528" t="e">
        <f aca="false">IF(OR(B19='Наружная отделка'!B6,B19='Наружная отделка'!C6,B19='Наружная отделка'!D6,B19='Наружная отделка'!E6,B19='Наружная отделка'!F6),H22,"Дополнительных элементов с ПВХ нет")</f>
        <v>#NAME?</v>
      </c>
      <c r="C22" s="521"/>
      <c r="D22" s="64"/>
      <c r="E22" s="64"/>
      <c r="F22" s="64"/>
      <c r="G22" s="64"/>
      <c r="H22" s="505" t="e">
        <f aca="false">ifs(B23='Плёнки ПВХ'!B4,'Плёнки ПВХ'!B3,B23='Плёнки ПВХ'!C4,'Плёнки ПВХ'!C3,B23='Плёнки ПВХ'!D4,'Плёнки ПВХ'!D3,B23='Плёнки ПВХ'!E4,'Плёнки ПВХ'!E3,B23='Плёнки ПВХ'!F4,'Плёнки ПВХ'!F3,B23='Плёнки ПВХ'!G4,'Плёнки ПВХ'!G3,B23='Плёнки ПВХ'!H4,'Плёнки ПВХ'!H3,B23='Плёнки ПВХ'!I4,'Плёнки ПВХ'!I3,B23='Плёнки ПВХ'!J4,'Плёнки ПВХ'!J3,B23='Плёнки ПВХ'!K4,'Плёнки ПВХ'!K3,B23='Плёнки ПВХ'!L4,'Плёнки ПВХ'!L3,B23='Плёнки ПВХ'!G22,'Плёнки ПВХ'!G21,B23='Плёнки ПВХ'!B8,'Плёнки ПВХ'!B7,B23='Плёнки ПВХ'!C8,'Плёнки ПВХ'!C7,B23='Плёнки ПВХ'!D8,'Плёнки ПВХ'!D7,B23='Плёнки ПВХ'!E8,'Плёнки ПВХ'!E7,B23='Плёнки ПВХ'!F8,'Плёнки ПВХ'!F7,B23='Плёнки ПВХ'!G8,'Плёнки ПВХ'!G7,B23='Плёнки ПВХ'!H8,'Плёнки ПВХ'!H7,B23='Плёнки ПВХ'!I8,'Плёнки ПВХ'!I7,B23='Плёнки ПВХ'!J8,'Плёнки ПВХ'!J7,B23='Плёнки ПВХ'!B13,'Плёнки ПВХ'!B12,B23='Плёнки ПВХ'!C13,'Плёнки ПВХ'!C12,B23='Плёнки ПВХ'!D13,'Плёнки ПВХ'!D12,B23='Плёнки ПВХ'!E13,'Плёнки ПВХ'!E12,B23='Плёнки ПВХ'!B18,'Плёнки ПВХ'!B17,B23='Плёнки ПВХ'!C18,'Плёнки ПВХ'!C17,B23='Плёнки ПВХ'!D18,'Плёнки ПВХ'!D17,B23='Плёнки ПВХ'!E18,'Плёнки ПВХ'!E17,B23='Плёнки ПВХ'!F18,'Плёнки ПВХ'!F17,B23='Плёнки ПВХ'!G18,'Плёнки ПВХ'!G17,B23='Плёнки ПВХ'!H18,'Плёнки ПВХ'!H17,B23='Плёнки ПВХ'!I18,'Плёнки ПВХ'!I17,B23='Плёнки ПВХ'!J18,'Плёнки ПВХ'!J17,B23='Плёнки ПВХ'!K18,'Плёнки ПВХ'!K17,B23='Плёнки ПВХ'!L18,'Плёнки ПВХ'!L17,B23='Плёнки ПВХ'!B22,'Плёнки ПВХ'!B21,B23='Плёнки ПВХ'!C22,'Плёнки ПВХ'!C21,B23='Плёнки ПВХ'!D22,'Плёнки ПВХ'!D21,B23='Плёнки ПВХ'!E22,'Плёнки ПВХ'!E21,B23='Плёнки ПВХ'!F22,'Плёнки ПВХ'!F21,B23='Плёнки ПВХ'!G22,'Плёнки ПВХ'!G21,B23='Плёнки ПВХ'!H22,'Плёнки ПВХ'!H21,B23='Плёнки ПВХ'!I22,'Плёнки ПВХ'!I21,B23='Плёнки ПВХ'!J22,'Плёнки ПВХ'!J21,B23="Нет","Выберите цвет плёнки дополнительных элементов")</f>
        <v>#NAME?</v>
      </c>
      <c r="I22" s="505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customFormat="false" ht="15" hidden="false" customHeight="false" outlineLevel="0" collapsed="false">
      <c r="A23" s="523" t="s">
        <v>449</v>
      </c>
      <c r="B23" s="523" t="s">
        <v>453</v>
      </c>
      <c r="C23" s="524"/>
      <c r="D23" s="64"/>
      <c r="E23" s="64"/>
      <c r="F23" s="64"/>
      <c r="G23" s="64"/>
      <c r="H23" s="505"/>
      <c r="I23" s="505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customFormat="false" ht="130.5" hidden="false" customHeight="true" outlineLevel="0" collapsed="false">
      <c r="A24" s="510" t="s">
        <v>454</v>
      </c>
      <c r="B24" s="529" t="e">
        <f aca="false">IF(OR(B19='Наружная отделка'!B3,B19='Наружная отделка'!C3,B19='Наружная отделка'!D3,B19='Наружная отделка'!E3),"Модель двери без МДФ-наличника",H24)</f>
        <v>#NAME?</v>
      </c>
      <c r="C24" s="521"/>
      <c r="D24" s="64"/>
      <c r="E24" s="64"/>
      <c r="F24" s="64"/>
      <c r="G24" s="64"/>
      <c r="H24" s="505" t="e">
        <f aca="false">ifs(B25='Плёнки ПВХ'!B4,'Плёнки ПВХ'!B3,B25='Плёнки ПВХ'!C4,'Плёнки ПВХ'!C3,B25='Плёнки ПВХ'!D4,'Плёнки ПВХ'!D3,B25='Плёнки ПВХ'!E4,'Плёнки ПВХ'!E3,B25='Плёнки ПВХ'!F4,'Плёнки ПВХ'!F3,B25='Плёнки ПВХ'!G4,'Плёнки ПВХ'!G3,B25='Плёнки ПВХ'!H4,'Плёнки ПВХ'!H3,B25='Плёнки ПВХ'!I4,'Плёнки ПВХ'!I3,B25='Плёнки ПВХ'!J4,'Плёнки ПВХ'!J3,B25='Плёнки ПВХ'!K4,'Плёнки ПВХ'!K3,B25='Плёнки ПВХ'!L4,'Плёнки ПВХ'!L3,B25='Плёнки ПВХ'!G22,'Плёнки ПВХ'!G21,B25='Плёнки ПВХ'!B8,'Плёнки ПВХ'!B7,B25='Плёнки ПВХ'!C8,'Плёнки ПВХ'!C7,B25='Плёнки ПВХ'!D8,'Плёнки ПВХ'!D7,B25='Плёнки ПВХ'!E8,'Плёнки ПВХ'!E7,B25='Плёнки ПВХ'!F8,'Плёнки ПВХ'!F7,B25='Плёнки ПВХ'!G8,'Плёнки ПВХ'!G7,B25='Плёнки ПВХ'!H8,'Плёнки ПВХ'!H7,B25='Плёнки ПВХ'!I8,'Плёнки ПВХ'!I7,B25='Плёнки ПВХ'!J8,'Плёнки ПВХ'!J7,B25='Плёнки ПВХ'!B13,'Плёнки ПВХ'!B12,B25='Плёнки ПВХ'!C13,'Плёнки ПВХ'!C12,B25='Плёнки ПВХ'!D13,'Плёнки ПВХ'!D12,B25='Плёнки ПВХ'!E13,'Плёнки ПВХ'!E12,B25='Плёнки ПВХ'!B18,'Плёнки ПВХ'!B17,B25='Плёнки ПВХ'!C18,'Плёнки ПВХ'!C17,B25='Плёнки ПВХ'!D18,'Плёнки ПВХ'!D17,B25='Плёнки ПВХ'!E18,'Плёнки ПВХ'!E17,B25='Плёнки ПВХ'!F18,'Плёнки ПВХ'!F17,B25='Плёнки ПВХ'!G18,'Плёнки ПВХ'!G17,B25='Плёнки ПВХ'!H18,'Плёнки ПВХ'!H17,B25='Плёнки ПВХ'!I18,'Плёнки ПВХ'!I17,B25='Плёнки ПВХ'!J18,'Плёнки ПВХ'!J17,B25='Плёнки ПВХ'!K18,'Плёнки ПВХ'!K17,B25='Плёнки ПВХ'!L18,'Плёнки ПВХ'!L17,B25='Плёнки ПВХ'!B22,'Плёнки ПВХ'!B21,B25='Плёнки ПВХ'!C22,'Плёнки ПВХ'!C21,B25='Плёнки ПВХ'!D22,'Плёнки ПВХ'!D21,B25='Плёнки ПВХ'!E22,'Плёнки ПВХ'!E21,B25='Плёнки ПВХ'!F22,'Плёнки ПВХ'!F21,B25='Плёнки ПВХ'!G22,'Плёнки ПВХ'!G21,B25='Плёнки ПВХ'!H22,'Плёнки ПВХ'!H21,B25='Плёнки ПВХ'!I22,'Плёнки ПВХ'!I21,B25='Плёнки ПВХ'!J22,'Плёнки ПВХ'!J21,B25="Нет","Выберите цвет плёнки наличников",B25="Как основной",B20)</f>
        <v>#NAME?</v>
      </c>
      <c r="I24" s="505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customFormat="false" ht="15.75" hidden="false" customHeight="true" outlineLevel="0" collapsed="false">
      <c r="A25" s="523" t="s">
        <v>449</v>
      </c>
      <c r="B25" s="523" t="s">
        <v>451</v>
      </c>
      <c r="C25" s="524"/>
      <c r="D25" s="64"/>
      <c r="E25" s="64"/>
      <c r="F25" s="64"/>
      <c r="G25" s="64"/>
      <c r="H25" s="505" t="str">
        <f aca="false">IF(B19="Verso","Verso","Не удалять")</f>
        <v>Не удалять</v>
      </c>
      <c r="I25" s="505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customFormat="false" ht="19.7" hidden="false" customHeight="false" outlineLevel="0" collapsed="false">
      <c r="A26" s="522" t="s">
        <v>455</v>
      </c>
      <c r="B26" s="522"/>
      <c r="C26" s="522"/>
      <c r="D26" s="64"/>
      <c r="E26" s="64"/>
      <c r="F26" s="64"/>
      <c r="G26" s="64"/>
      <c r="H26" s="505" t="str">
        <f aca="false">IF(OR(Квартирная!B19='Наружная отделка'!D3,Квартирная!B19='Наружная отделка'!E3),"Металл отделка","Не удалять")</f>
        <v>Не удалять</v>
      </c>
      <c r="I26" s="505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customFormat="false" ht="15.75" hidden="false" customHeight="true" outlineLevel="0" collapsed="false">
      <c r="A27" s="523" t="s">
        <v>456</v>
      </c>
      <c r="B27" s="523" t="s">
        <v>457</v>
      </c>
      <c r="C27" s="524" t="s">
        <v>458</v>
      </c>
      <c r="D27" s="64"/>
      <c r="E27" s="64"/>
      <c r="F27" s="64"/>
      <c r="G27" s="64"/>
      <c r="H27" s="505"/>
      <c r="I27" s="505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customFormat="false" ht="127.5" hidden="false" customHeight="true" outlineLevel="0" collapsed="false">
      <c r="A28" s="507" t="n">
        <f aca="false">IF(A29="Цинкогрунтование",'Покраска металла'!B13,"Без предварительного грунтования")</f>
        <v>0</v>
      </c>
      <c r="B28" s="529" t="e">
        <f aca="false">J28</f>
        <v>#NAME?</v>
      </c>
      <c r="C28" s="521" t="str">
        <f aca="false">IF(OR(B19="Verso", B19="Stark", B19="Forta"), IF(C29="Нет", "Пожалуйста, выберите цвет дополнительного элемента", H28), "Использует только в моделях ""Verso"", ""Stark"", ""Forta""" )</f>
        <v>Использует только в моделях "Verso", "Stark", "Forta"</v>
      </c>
      <c r="D28" s="64"/>
      <c r="E28" s="64"/>
      <c r="F28" s="64"/>
      <c r="G28" s="64"/>
      <c r="H28" s="505" t="e">
        <f aca="false">ifs(C29='Покраска металла'!B4,'Покраска металла'!B3,C29='Покраска металла'!C4,'Покраска металла'!C3,C29='Покраска металла'!D4,'Покраска металла'!D3,C29='Покраска металла'!E4,'Покраска металла'!E3,C29='Покраска металла'!F4,'Покраска металла'!F3,C29='Покраска металла'!G4,'Покраска металла'!G3,C29='Покраска металла'!H4,'Покраска металла'!H3,C29='Покраска металла'!I4,'Покраска металла'!I3,C29='Покраска металла'!J4,'Покраска металла'!J3,C29='Покраска металла'!K4,'Покраска металла'!K3,C29='Покраска металла'!L4,'Покраска металла'!L3,C29='Покраска металла'!B9,'Покраска металла'!B8,C29='Покраска металла'!C9,'Покраска металла'!C8,C29='Покраска металла'!D9,'Покраска металла'!D8,C29='Покраска металла'!E9,'Покраска металла'!E8,C29='Покраска металла'!F9,'Покраска металла'!F8,C29='Покраска металла'!G9,'Покраска металла'!G8,C29='Покраска металла'!H9,'Покраска металла'!H8,C29='Покраска металла'!I9,'Покраска металла'!I8,C29='Покраска металла'!J9,'Покраска металла'!J8,C29='Покраска металла'!K9,'Покраска металла'!K8)</f>
        <v>#NAME?</v>
      </c>
      <c r="I28" s="530" t="str">
        <f aca="false">IF(AND(C29="Муар чёрный 9005",B19="Verso"),H28,"Пожалуйста, выберите &lt;Муар чёрный 9005&gt;")</f>
        <v>Пожалуйста, выберите &lt;Муар чёрный 9005&gt;</v>
      </c>
      <c r="J28" s="64" t="e">
        <f aca="false">ifs(B29='Покраска металла'!B4,'Покраска металла'!B3,B29='Покраска металла'!C4,'Покраска металла'!C3,B29='Покраска металла'!D4,'Покраска металла'!D3,B29='Покраска металла'!E4,'Покраска металла'!E3,B29='Покраска металла'!F4,'Покраска металла'!F3,B29='Покраска металла'!G4,'Покраска металла'!G3,B29='Покраска металла'!H4,'Покраска металла'!H3,B29='Покраска металла'!I4,'Покраска металла'!I3,B29='Покраска металла'!J4,'Покраска металла'!J3,B29='Покраска металла'!K4,'Покраска металла'!K3,B29='Покраска металла'!L4,'Покраска металла'!L3,B29='Покраска металла'!B9,'Покраска металла'!B8,B29='Покраска металла'!C9,'Покраска металла'!C8,B29='Покраска металла'!D9,'Покраска металла'!D8,B29='Покраска металла'!E9,'Покраска металла'!E8,B29='Покраска металла'!F9,'Покраска металла'!F8,B29='Покраска металла'!G9,'Покраска металла'!G8,B29='Покраска металла'!H9,'Покраска металла'!H8,B29='Покраска металла'!I9,'Покраска металла'!I8,B29='Покраска металла'!J9,'Покраска металла'!J8,B29='Покраска металла'!K9,'Покраска металла'!K8)</f>
        <v>#NAME?</v>
      </c>
      <c r="K28" s="64" t="str">
        <f aca="false">IF(B29="Букле серый",J28,"Пожалуйста, выберите &lt;Букле серый&gt;")</f>
        <v>Пожалуйста, выберите &lt;Букле серый&gt;</v>
      </c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customFormat="false" ht="15.75" hidden="false" customHeight="true" outlineLevel="0" collapsed="false">
      <c r="A29" s="531" t="s">
        <v>268</v>
      </c>
      <c r="B29" s="531" t="s">
        <v>53</v>
      </c>
      <c r="C29" s="532" t="s">
        <v>459</v>
      </c>
      <c r="D29" s="64"/>
      <c r="E29" s="64"/>
      <c r="F29" s="64"/>
      <c r="G29" s="64"/>
      <c r="H29" s="505"/>
      <c r="I29" s="505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customFormat="false" ht="19.7" hidden="false" customHeight="false" outlineLevel="0" collapsed="false">
      <c r="A30" s="522" t="s">
        <v>460</v>
      </c>
      <c r="B30" s="522"/>
      <c r="C30" s="522"/>
      <c r="D30" s="64"/>
      <c r="E30" s="64"/>
      <c r="F30" s="64"/>
      <c r="G30" s="64"/>
      <c r="H30" s="505"/>
      <c r="I30" s="505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customFormat="false" ht="183.75" hidden="false" customHeight="true" outlineLevel="0" collapsed="false">
      <c r="A31" s="527" t="s">
        <v>461</v>
      </c>
      <c r="B31" s="521" t="e">
        <f aca="false">IF(B43="Бугельная",J31,H31)</f>
        <v>#NAME?</v>
      </c>
      <c r="C31" s="521"/>
      <c r="D31" s="64"/>
      <c r="E31" s="64"/>
      <c r="F31" s="64"/>
      <c r="G31" s="64"/>
      <c r="H31" s="505" t="e">
        <f aca="false">ifs(B32='Замки '!C3,'Замки '!C2,B32='Замки '!D3,'Замки '!D2,B32='Замки '!E3,'Замки '!E2,B32='Замки '!F3,'Замки '!F2,B32='Замки '!G3,'Замки '!G2,B32='Замки '!H3,'Замки '!H2,B32='Замки '!J3,'Замки '!J2,B32='Замки '!K3,'Замки '!K2,B32='Замки '!L3,'Замки '!L2,B32='Замки '!I3,'Замки '!I2,B32='Замки '!M3,'Замки '!M2)</f>
        <v>#NAME?</v>
      </c>
      <c r="I31" s="505"/>
      <c r="J31" s="505" t="str">
        <f aca="false">IF(B32='Замки '!M3,'Замки '!M2,"Пожалуйста, выберите замок Гардиан 32.21 или отключите выбор бугельной ручки")</f>
        <v>Пожалуйста, выберите замок Гардиан 32.21 или отключите выбор бугельной ручки</v>
      </c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customFormat="false" ht="18.75" hidden="false" customHeight="true" outlineLevel="0" collapsed="false">
      <c r="A32" s="533" t="e">
        <f aca="false">IF(B32='Замки '!M3,"Специальный",H32)</f>
        <v>#NAME?</v>
      </c>
      <c r="B32" s="533" t="s">
        <v>134</v>
      </c>
      <c r="C32" s="533"/>
      <c r="D32" s="64"/>
      <c r="E32" s="64"/>
      <c r="F32" s="64"/>
      <c r="G32" s="64"/>
      <c r="H32" s="505" t="e">
        <f aca="false">ifs(B32='Замки '!C3,"Цилиндровый",B32='Замки '!D3,"Цилиндровый",B32='Замки '!E3,"Цилиндровый",B32='Замки '!F3,"Сувальдный",B32='Замки '!G3,"Сувальдный",B32='Замки '!H3,"Сувальдный",B32='Замки '!J3,"Электронный",B32='Замки '!K3,"Электронный",B32='Замки '!L3,"Электронный",B32='Замки '!I3,"Электронный",B32='Замки '!M3,"Специальный")</f>
        <v>#NAME?</v>
      </c>
      <c r="I32" s="505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customFormat="false" ht="178.5" hidden="false" customHeight="true" outlineLevel="0" collapsed="false">
      <c r="A33" s="527" t="s">
        <v>462</v>
      </c>
      <c r="B33" s="534" t="e">
        <f aca="false">ifs(B34='Замки '!A9,"Без дополнительного замка",B34='Замки '!C9,'Замки '!C8,B34='Замки '!D9,'Замки '!D8,B34='Замки '!E9,'Замки '!E8,B34='Замки '!G9,'Замки '!G8,B34='Замки '!H9,'Замки '!H8,B34='Замки '!F9,'Замки '!F8)</f>
        <v>#NAME?</v>
      </c>
      <c r="C33" s="534"/>
      <c r="D33" s="64"/>
      <c r="E33" s="64"/>
      <c r="F33" s="64"/>
      <c r="G33" s="64"/>
      <c r="H33" s="505"/>
      <c r="I33" s="505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customFormat="false" ht="18.75" hidden="false" customHeight="true" outlineLevel="0" collapsed="false">
      <c r="A34" s="533" t="e">
        <f aca="false">ifs(OR(B34='Замки '!C9,B34='Замки '!D9,B34='Замки '!E9),"Сувальдный",OR(B34='Замки '!G9,B34='Замки '!H9,B34='Замки '!F9),"Цилиндровый",B34='Замки '!A9,"Без дополнительного замка")</f>
        <v>#NAME?</v>
      </c>
      <c r="B34" s="533" t="s">
        <v>459</v>
      </c>
      <c r="C34" s="533"/>
      <c r="D34" s="64"/>
      <c r="E34" s="64"/>
      <c r="F34" s="64"/>
      <c r="G34" s="64"/>
      <c r="H34" s="505"/>
      <c r="I34" s="505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customFormat="false" ht="129.75" hidden="false" customHeight="true" outlineLevel="0" collapsed="false">
      <c r="A35" s="527" t="s">
        <v>463</v>
      </c>
      <c r="B35" s="521" t="e">
        <f aca="false">ifs(A32="Цилиндровый",H35,A32="Сувальдный","Замок с сувальдным ключём",A32="Электронный","Цилиндр в комплекте электронного замка",A32="Специальный",H35)</f>
        <v>#NAME?</v>
      </c>
      <c r="C35" s="521"/>
      <c r="D35" s="64"/>
      <c r="E35" s="64"/>
      <c r="F35" s="64"/>
      <c r="G35" s="64"/>
      <c r="H35" s="505" t="e">
        <f aca="false">ifs(B36=Цилиндр!B10,Цилиндр!A3,B36=Цилиндр!C10,Цилиндр!C3,B36=Цилиндр!D10,Цилиндр!E3,B36="Цилиндр не нужен","Пожалуйста, выберите цилиндровый механизм")</f>
        <v>#NAME?</v>
      </c>
      <c r="I35" s="505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customFormat="false" ht="18.75" hidden="false" customHeight="true" outlineLevel="0" collapsed="false">
      <c r="A36" s="527"/>
      <c r="B36" s="521" t="s">
        <v>464</v>
      </c>
      <c r="C36" s="521"/>
      <c r="D36" s="64"/>
      <c r="E36" s="64"/>
      <c r="F36" s="64"/>
      <c r="G36" s="64"/>
      <c r="H36" s="505"/>
      <c r="I36" s="505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customFormat="false" ht="133.5" hidden="false" customHeight="true" outlineLevel="0" collapsed="false">
      <c r="A37" s="527" t="s">
        <v>465</v>
      </c>
      <c r="B37" s="534" t="e">
        <f aca="false">ifs(A34="без дополнительного замка","Без дополнительного замка",A34="Цилиндровый",H37,A34="Сувальдный","Замок с сувальдным ключём")</f>
        <v>#NAME?</v>
      </c>
      <c r="C37" s="534"/>
      <c r="D37" s="64"/>
      <c r="E37" s="64"/>
      <c r="F37" s="64"/>
      <c r="G37" s="64"/>
      <c r="H37" s="505" t="e">
        <f aca="false">ifs(B38=Цилиндр!B11,Цилиндр!A3,B38=Цилиндр!C11,Цилиндр!C3,B38=Цилиндр!D11,Цилиндр!E3,B38="Цилиндр не нужен","Пожалуйста, выберите цилиндровый механизм")</f>
        <v>#NAME?</v>
      </c>
      <c r="I37" s="505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customFormat="false" ht="24.75" hidden="false" customHeight="true" outlineLevel="0" collapsed="false">
      <c r="A38" s="527"/>
      <c r="B38" s="521" t="s">
        <v>466</v>
      </c>
      <c r="C38" s="521"/>
      <c r="D38" s="64"/>
      <c r="E38" s="64"/>
      <c r="F38" s="64"/>
      <c r="G38" s="64"/>
      <c r="H38" s="505"/>
      <c r="I38" s="505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customFormat="false" ht="17.35" hidden="false" customHeight="false" outlineLevel="0" collapsed="false">
      <c r="A39" s="535" t="s">
        <v>45</v>
      </c>
      <c r="B39" s="535"/>
      <c r="C39" s="535"/>
      <c r="D39" s="64"/>
      <c r="E39" s="64"/>
      <c r="F39" s="64"/>
      <c r="G39" s="64"/>
      <c r="H39" s="505"/>
      <c r="I39" s="505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customFormat="false" ht="21" hidden="false" customHeight="true" outlineLevel="0" collapsed="false">
      <c r="A40" s="536"/>
      <c r="B40" s="536" t="s">
        <v>467</v>
      </c>
      <c r="C40" s="537" t="s">
        <v>468</v>
      </c>
      <c r="D40" s="64"/>
      <c r="E40" s="64"/>
      <c r="F40" s="64"/>
      <c r="G40" s="64"/>
      <c r="H40" s="505"/>
      <c r="I40" s="505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customFormat="false" ht="21.75" hidden="false" customHeight="true" outlineLevel="0" collapsed="false">
      <c r="A41" s="536" t="s">
        <v>469</v>
      </c>
      <c r="B41" s="538" t="s">
        <v>470</v>
      </c>
      <c r="C41" s="537" t="s">
        <v>471</v>
      </c>
      <c r="D41" s="64"/>
      <c r="E41" s="64"/>
      <c r="F41" s="64"/>
      <c r="G41" s="64"/>
      <c r="H41" s="505"/>
      <c r="I41" s="505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customFormat="false" ht="126.75" hidden="false" customHeight="true" outlineLevel="0" collapsed="false">
      <c r="A42" s="539" t="s">
        <v>472</v>
      </c>
      <c r="B42" s="540" t="e">
        <f aca="false">IF(B43="Бугельная",I42,G42)</f>
        <v>#NAME?</v>
      </c>
      <c r="C42" s="540"/>
      <c r="D42" s="64"/>
      <c r="E42" s="64"/>
      <c r="F42" s="64"/>
      <c r="G42" s="64" t="e">
        <f aca="false">IF(A32="Электронный","Корпус электронного замка",H42)</f>
        <v>#NAME?</v>
      </c>
      <c r="H42" s="505" t="e">
        <f aca="false">ifs(AND(C41="Квадратное",B41=Фурнитура!A31),Фурнитура!B4,AND(C41="Квадратное",B41=Фурнитура!A32),Фурнитура!B8,AND(C41="Квадратное",B41=Фурнитура!A33),Фурнитура!B12,AND(C41="Овальное",B41=Фурнитура!A34),Фурнитура!B17,AND(C41="Овальное",B41=Фурнитура!A33),Фурнитура!B25,AND(C41="Овальное",B41=Фурнитура!A32),Фурнитура!B21)</f>
        <v>#NAME?</v>
      </c>
      <c r="I42" s="505" t="n">
        <f aca="false">IF(AND(B43="Бугельная",C43="Стандартный размер"),"Пожалуйста, выберите размер бугельной ручки",Фурнитура!B43)</f>
        <v>0</v>
      </c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customFormat="false" ht="34.5" hidden="false" customHeight="true" outlineLevel="0" collapsed="false">
      <c r="A43" s="541" t="s">
        <v>473</v>
      </c>
      <c r="B43" s="531" t="s">
        <v>474</v>
      </c>
      <c r="C43" s="542" t="s">
        <v>475</v>
      </c>
      <c r="D43" s="95"/>
      <c r="E43" s="64"/>
      <c r="F43" s="64"/>
      <c r="G43" s="64"/>
      <c r="H43" s="505" t="str">
        <f aca="false">IF(B43="Бугельная"," ","Стандартный размер")</f>
        <v>Стандартный размер</v>
      </c>
      <c r="I43" s="543" t="str">
        <f aca="false">IF(OR(B43="Нажимная",B43="Бугельная в комплекте")," ","1600мм х 60мм")</f>
        <v> </v>
      </c>
      <c r="J43" s="64" t="str">
        <f aca="false">IF(OR(B43="Нажимная",B43="Бугельная в комплекте")," ","1800мм х 60мм")</f>
        <v> </v>
      </c>
      <c r="K43" s="544" t="e">
        <f aca="false">IF(OR(A32="Специальный",A32="Цилиндровый",A32="Сувальдный"),"Нажимная"," ")</f>
        <v>#NAME?</v>
      </c>
      <c r="L43" s="544" t="e">
        <f aca="false">IF(AND(A32="Электронный",OR(B32=Управление!I159,B32=Управление!I160,B32=Управление!I161)),"В корпусе"," ")</f>
        <v>#NAME?</v>
      </c>
      <c r="M43" s="544" t="str">
        <f aca="false">IF(OR(C19='Внутренняя отделка'!B13,C19='Внутренняя отделка'!C13,C19='Внутренняя отделка'!D13,C19='Внутренняя отделка'!E13)," ","Бугельная")</f>
        <v>Бугельная</v>
      </c>
      <c r="N43" s="544" t="e">
        <f aca="false">IF(AND(A32="Электронный",B32=Управление!I163),"Бугельная в комплекте"," ")</f>
        <v>#NAME?</v>
      </c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customFormat="false" ht="116.25" hidden="false" customHeight="true" outlineLevel="0" collapsed="false">
      <c r="A44" s="510" t="s">
        <v>476</v>
      </c>
      <c r="B44" s="507" t="e">
        <f aca="false">ifs(A32="Цилиндровый",H45,A32="Сувальдный",I45,A32="Электронный","Корпус электронного замка",A32="Специальный",H45)</f>
        <v>#NAME?</v>
      </c>
      <c r="C44" s="507"/>
      <c r="D44" s="505"/>
      <c r="E44" s="64"/>
      <c r="F44" s="64"/>
      <c r="G44" s="64"/>
      <c r="H44" s="505"/>
      <c r="I44" s="505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customFormat="false" ht="118.5" hidden="false" customHeight="true" outlineLevel="0" collapsed="false">
      <c r="A45" s="527" t="s">
        <v>477</v>
      </c>
      <c r="B45" s="507" t="e">
        <f aca="false">ifs(A34="Цилиндровый",H45,A34="Сувальдный",I45,A34="Без дополнительного замка","Без дополнительного замка")</f>
        <v>#NAME?</v>
      </c>
      <c r="C45" s="507"/>
      <c r="D45" s="505"/>
      <c r="E45" s="64"/>
      <c r="F45" s="64"/>
      <c r="G45" s="64"/>
      <c r="H45" s="505" t="e">
        <f aca="false">ifs(AND(C41="Квадратное",B41=Фурнитура!A31),Фурнитура!C4,AND(C41="Квадратное",B41=Фурнитура!A32),Фурнитура!C8,AND(C41="Квадратное",B41=Фурнитура!A33),Фурнитура!C12,AND(C41="Овальное",B41=Фурнитура!A34),Фурнитура!C17,AND(C41="Овальное",B41=Фурнитура!A33),Фурнитура!C25,AND(C41="Овальное",B41=Фурнитура!A32),Фурнитура!C21)</f>
        <v>#NAME?</v>
      </c>
      <c r="I45" s="505" t="e">
        <f aca="false">ifs(AND(C41="Квадратное",B41=Фурнитура!A31),Фурнитура!D4,AND(C41="Квадратное",B41=Фурнитура!A32),Фурнитура!D8,AND(C41="Квадратное",B41=Фурнитура!A33),Фурнитура!D12,AND(C41="Овальное",B41=Фурнитура!A34),Фурнитура!D17,AND(C41="Овальное",B41=Фурнитура!A33),Фурнитура!D25,AND(C41="Овальное",B41=Фурнитура!A32),Фурнитура!D21)</f>
        <v>#NAME?</v>
      </c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customFormat="false" ht="98.25" hidden="false" customHeight="true" outlineLevel="0" collapsed="false">
      <c r="A46" s="527" t="s">
        <v>478</v>
      </c>
      <c r="B46" s="521" t="e">
        <f aca="false">ifs(A32="Цилиндровый",H46,A32="Сувальдный",H46,A32="Электронный","Корпус электронного замка",A32="Специальный",H46)</f>
        <v>#NAME?</v>
      </c>
      <c r="C46" s="521"/>
      <c r="D46" s="64"/>
      <c r="E46" s="64"/>
      <c r="F46" s="64"/>
      <c r="G46" s="64"/>
      <c r="H46" s="505" t="e">
        <f aca="false">ifs(AND(OR(A32="Специальный",A32="Цилиндровый"),B41="Чёрная"),Фурнитура!G21,AND(OR(A32="Специальный",A32="Цилиндровый"),B41="Бронза"),Фурнитура!G17,AND(OR(A32="Специальный",A32="Цилиндровый"),B41="Хром"),Фурнитура!G12,AND(OR(A32="Специальный",A32="Цилиндровый"),B41="Золото"),Фурнитура!G4,A32="Сувальдный","Замок без цилиндра",A32="Электронный","Вертушка в корпусе электронного замка")</f>
        <v>#NAME?</v>
      </c>
      <c r="I46" s="505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customFormat="false" ht="98.25" hidden="false" customHeight="true" outlineLevel="0" collapsed="false">
      <c r="A47" s="527" t="s">
        <v>479</v>
      </c>
      <c r="B47" s="534" t="e">
        <f aca="false">H47</f>
        <v>#NAME?</v>
      </c>
      <c r="C47" s="534"/>
      <c r="D47" s="64"/>
      <c r="E47" s="64"/>
      <c r="F47" s="64"/>
      <c r="G47" s="64"/>
      <c r="H47" s="505" t="e">
        <f aca="false">ifs(AND(A34="Цилиндровый",B41="Чёрная"),Фурнитура!G21,AND(A34="Цилиндровый",B41="Бронза"),Фурнитура!G17,AND(A34="Цилиндровый",B41="Хром"),Фурнитура!G12,AND(A34="Цилиндровый",B41="Золото"),Фурнитура!G4,A34="Сувальдный","Замок без цилиндра",A34="Электронный","Вертушка в корпусе электронного замка",A34="Без дополнительного замка","Без дополнительного замка")</f>
        <v>#NAME?</v>
      </c>
      <c r="I47" s="505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customFormat="false" ht="120" hidden="false" customHeight="true" outlineLevel="0" collapsed="false">
      <c r="A48" s="510" t="s">
        <v>480</v>
      </c>
      <c r="B48" s="545" t="e">
        <f aca="false">ifs(A32="Электронный","Задвижка в корпусе электронного замка",A32="Специальный",I48,A32="Сувальдный",I48,A32="Цилиндровый",I48)</f>
        <v>#NAME?</v>
      </c>
      <c r="C48" s="545"/>
      <c r="E48" s="64"/>
      <c r="F48" s="64"/>
      <c r="G48" s="64"/>
      <c r="H48" s="505" t="e">
        <f aca="false">ifs(AND(C41="Квадратное",B41=Фурнитура!A31,B51="Да"),Фурнитура!E4,AND(C41="Квадратное",B41=Фурнитура!A32,B51="Да"),Фурнитура!E8,AND(C41="Квадратное",B41=Фурнитура!A33,B51="Да"),Фурнитура!E12,AND(C41="Овальное",B41=Фурнитура!A34,B51="Да"),Фурнитура!E17,AND(C41="Овальное",B41=Фурнитура!A25,B51="Да"),Фурнитура!E25,AND(C41="Овальное",B41=Фурнитура!A32,B49="Да"),Фурнитура!E21)</f>
        <v>#NAME?</v>
      </c>
      <c r="I48" s="505" t="e">
        <f aca="false">ifs(AND(C41="Квадратное",B41=Фурнитура!A31,B49="Да"),Фурнитура!F4,AND(C41="Квадратное",B41=Фурнитура!A32,B49="Да"),Фурнитура!F8,AND(C41="Квадратное",B41=Фурнитура!A33,B49="Да"),Фурнитура!F12,AND(C41="Овальное",B41=Фурнитура!A34,B49="Да"),Фурнитура!F17,AND(C41="Овальное",B41=Фурнитура!A33,B49="Да"),Фурнитура!F25,AND(C41="Овальное",B41=Фурнитура!A32,B49="Да"),Фурнитура!F21,B49="Нет","Опция отключена")</f>
        <v>#NAME?</v>
      </c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customFormat="false" ht="17.25" hidden="false" customHeight="true" outlineLevel="0" collapsed="false">
      <c r="A49" s="510"/>
      <c r="B49" s="546" t="s">
        <v>459</v>
      </c>
      <c r="C49" s="546"/>
      <c r="D49" s="64"/>
      <c r="E49" s="64"/>
      <c r="F49" s="64"/>
      <c r="G49" s="64"/>
      <c r="H49" s="505" t="e">
        <f aca="false">IF(A32="Электронный"," ","Да")</f>
        <v>#NAME?</v>
      </c>
      <c r="I49" s="505" t="s">
        <v>459</v>
      </c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customFormat="false" ht="118.5" hidden="false" customHeight="true" outlineLevel="0" collapsed="false">
      <c r="A50" s="539" t="s">
        <v>481</v>
      </c>
      <c r="B50" s="547" t="str">
        <f aca="false">IF(B51="Да",H48,"Без глазка")</f>
        <v>Без глазка</v>
      </c>
      <c r="C50" s="547"/>
      <c r="D50" s="64"/>
      <c r="E50" s="64"/>
      <c r="F50" s="64"/>
      <c r="G50" s="64"/>
      <c r="H50" s="505"/>
      <c r="I50" s="505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customFormat="false" ht="15.75" hidden="false" customHeight="true" outlineLevel="0" collapsed="false">
      <c r="A51" s="539"/>
      <c r="B51" s="546" t="s">
        <v>459</v>
      </c>
      <c r="C51" s="546"/>
      <c r="D51" s="64"/>
      <c r="E51" s="64"/>
      <c r="F51" s="64"/>
      <c r="G51" s="64"/>
      <c r="H51" s="505"/>
      <c r="I51" s="505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customFormat="false" ht="19.7" hidden="false" customHeight="false" outlineLevel="0" collapsed="false">
      <c r="A52" s="522" t="s">
        <v>482</v>
      </c>
      <c r="B52" s="522"/>
      <c r="C52" s="522"/>
      <c r="D52" s="64"/>
      <c r="E52" s="64"/>
      <c r="F52" s="64"/>
      <c r="G52" s="64"/>
      <c r="H52" s="505"/>
      <c r="I52" s="505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customFormat="false" ht="165.75" hidden="false" customHeight="true" outlineLevel="0" collapsed="false">
      <c r="A53" s="510" t="s">
        <v>483</v>
      </c>
      <c r="B53" s="545" t="str">
        <f aca="false">IF(B54="Порог шлифованный. Цвет: Хром",Порог!C4,"Опция отключена")</f>
        <v>Опция отключена</v>
      </c>
      <c r="C53" s="545"/>
      <c r="D53" s="64"/>
      <c r="E53" s="64"/>
      <c r="F53" s="64"/>
      <c r="G53" s="64"/>
      <c r="H53" s="505"/>
      <c r="I53" s="505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customFormat="false" ht="19.5" hidden="false" customHeight="true" outlineLevel="0" collapsed="false">
      <c r="A54" s="510"/>
      <c r="B54" s="548" t="s">
        <v>459</v>
      </c>
      <c r="C54" s="548"/>
      <c r="D54" s="64"/>
      <c r="E54" s="64"/>
      <c r="F54" s="64"/>
      <c r="G54" s="64"/>
      <c r="H54" s="505"/>
      <c r="I54" s="505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customFormat="false" ht="19.7" hidden="false" customHeight="false" outlineLevel="0" collapsed="false">
      <c r="A55" s="549" t="s">
        <v>484</v>
      </c>
      <c r="B55" s="549" t="n">
        <f aca="false">B2</f>
        <v>32200</v>
      </c>
      <c r="C55" s="549"/>
      <c r="D55" s="64"/>
      <c r="E55" s="64"/>
      <c r="F55" s="64"/>
      <c r="G55" s="64"/>
      <c r="H55" s="505"/>
      <c r="I55" s="505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customFormat="false" ht="37.5" hidden="false" customHeight="true" outlineLevel="0" collapsed="false">
      <c r="A56" s="531" t="s">
        <v>485</v>
      </c>
      <c r="B56" s="531"/>
      <c r="C56" s="531"/>
      <c r="D56" s="64"/>
      <c r="E56" s="64"/>
      <c r="F56" s="64"/>
      <c r="G56" s="64"/>
      <c r="H56" s="505"/>
      <c r="I56" s="505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customFormat="false" ht="22.5" hidden="false" customHeight="true" outlineLevel="0" collapsed="false">
      <c r="A57" s="521" t="s">
        <v>486</v>
      </c>
      <c r="B57" s="507" t="s">
        <v>487</v>
      </c>
      <c r="C57" s="521" t="s">
        <v>488</v>
      </c>
      <c r="D57" s="64"/>
      <c r="E57" s="64"/>
      <c r="F57" s="64"/>
      <c r="G57" s="64"/>
      <c r="H57" s="505"/>
      <c r="I57" s="505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customFormat="false" ht="21.75" hidden="false" customHeight="true" outlineLevel="0" collapsed="false">
      <c r="A58" s="521"/>
      <c r="B58" s="507"/>
      <c r="C58" s="521"/>
      <c r="D58" s="64"/>
      <c r="E58" s="64"/>
      <c r="F58" s="64"/>
      <c r="G58" s="64"/>
      <c r="H58" s="505"/>
      <c r="I58" s="505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customFormat="false" ht="21.75" hidden="false" customHeight="true" outlineLevel="0" collapsed="false">
      <c r="A59" s="531" t="s">
        <v>489</v>
      </c>
      <c r="B59" s="531"/>
      <c r="C59" s="531"/>
      <c r="D59" s="64"/>
      <c r="E59" s="64"/>
      <c r="F59" s="64"/>
      <c r="G59" s="64"/>
      <c r="H59" s="505"/>
      <c r="I59" s="505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customFormat="false" ht="21.75" hidden="false" customHeight="true" outlineLevel="0" collapsed="false">
      <c r="A60" s="507" t="s">
        <v>490</v>
      </c>
      <c r="B60" s="507"/>
      <c r="C60" s="507"/>
      <c r="D60" s="64"/>
      <c r="E60" s="64"/>
      <c r="F60" s="64"/>
      <c r="G60" s="64"/>
      <c r="H60" s="505"/>
      <c r="I60" s="505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customFormat="false" ht="28.5" hidden="false" customHeight="true" outlineLevel="0" collapsed="false">
      <c r="A61" s="531" t="s">
        <v>491</v>
      </c>
      <c r="B61" s="531"/>
      <c r="C61" s="531"/>
      <c r="D61" s="64"/>
      <c r="E61" s="64"/>
      <c r="F61" s="64"/>
      <c r="G61" s="64"/>
      <c r="H61" s="505"/>
      <c r="I61" s="505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customFormat="false" ht="15.75" hidden="false" customHeight="true" outlineLevel="0" collapsed="false">
      <c r="A62" s="550"/>
      <c r="B62" s="550"/>
      <c r="C62" s="551"/>
      <c r="D62" s="64"/>
      <c r="E62" s="64"/>
      <c r="F62" s="64"/>
      <c r="G62" s="64"/>
      <c r="H62" s="505"/>
      <c r="I62" s="505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customFormat="false" ht="15.75" hidden="false" customHeight="true" outlineLevel="0" collapsed="false">
      <c r="A63" s="550"/>
      <c r="B63" s="550"/>
      <c r="C63" s="551"/>
      <c r="D63" s="64"/>
      <c r="E63" s="64"/>
      <c r="F63" s="64"/>
      <c r="G63" s="64"/>
      <c r="H63" s="505"/>
      <c r="I63" s="505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customFormat="false" ht="15.75" hidden="false" customHeight="true" outlineLevel="0" collapsed="false">
      <c r="A64" s="550"/>
      <c r="B64" s="550"/>
      <c r="C64" s="551"/>
      <c r="D64" s="64"/>
      <c r="E64" s="64"/>
      <c r="F64" s="64"/>
      <c r="G64" s="64"/>
      <c r="H64" s="505"/>
      <c r="I64" s="505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customFormat="false" ht="15.75" hidden="false" customHeight="true" outlineLevel="0" collapsed="false">
      <c r="A65" s="550"/>
      <c r="B65" s="550"/>
      <c r="C65" s="551"/>
      <c r="D65" s="64"/>
      <c r="E65" s="64"/>
      <c r="F65" s="64"/>
      <c r="G65" s="64"/>
      <c r="H65" s="505"/>
      <c r="I65" s="505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customFormat="false" ht="15.75" hidden="false" customHeight="true" outlineLevel="0" collapsed="false">
      <c r="A66" s="550"/>
      <c r="B66" s="550"/>
      <c r="C66" s="551"/>
      <c r="D66" s="64"/>
      <c r="E66" s="64"/>
      <c r="F66" s="64"/>
      <c r="G66" s="64"/>
      <c r="H66" s="505"/>
      <c r="I66" s="505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customFormat="false" ht="15.75" hidden="false" customHeight="true" outlineLevel="0" collapsed="false">
      <c r="A67" s="550"/>
      <c r="B67" s="550"/>
      <c r="C67" s="551"/>
      <c r="D67" s="64"/>
      <c r="E67" s="64"/>
      <c r="F67" s="64"/>
      <c r="G67" s="64"/>
      <c r="H67" s="505"/>
      <c r="I67" s="505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customFormat="false" ht="15.75" hidden="false" customHeight="true" outlineLevel="0" collapsed="false">
      <c r="A68" s="550"/>
      <c r="B68" s="550"/>
      <c r="C68" s="551"/>
      <c r="D68" s="64"/>
      <c r="E68" s="64"/>
      <c r="F68" s="64"/>
      <c r="G68" s="64"/>
      <c r="H68" s="505"/>
      <c r="I68" s="505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customFormat="false" ht="15.75" hidden="false" customHeight="true" outlineLevel="0" collapsed="false">
      <c r="A69" s="550"/>
      <c r="B69" s="550"/>
      <c r="C69" s="551"/>
      <c r="D69" s="64"/>
      <c r="E69" s="64"/>
      <c r="F69" s="64"/>
      <c r="G69" s="64"/>
      <c r="H69" s="505"/>
      <c r="I69" s="505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customFormat="false" ht="15.75" hidden="false" customHeight="true" outlineLevel="0" collapsed="false">
      <c r="A70" s="550"/>
      <c r="B70" s="550"/>
      <c r="C70" s="551"/>
      <c r="D70" s="64"/>
      <c r="E70" s="64"/>
      <c r="F70" s="64"/>
      <c r="G70" s="64"/>
      <c r="H70" s="505"/>
      <c r="I70" s="505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customFormat="false" ht="15.75" hidden="false" customHeight="true" outlineLevel="0" collapsed="false">
      <c r="A71" s="550"/>
      <c r="B71" s="550"/>
      <c r="C71" s="551"/>
      <c r="D71" s="64"/>
      <c r="E71" s="64"/>
      <c r="F71" s="64"/>
      <c r="G71" s="64"/>
      <c r="H71" s="505"/>
      <c r="I71" s="505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customFormat="false" ht="15.75" hidden="false" customHeight="true" outlineLevel="0" collapsed="false">
      <c r="A72" s="550"/>
      <c r="B72" s="550"/>
      <c r="C72" s="551"/>
      <c r="D72" s="64"/>
      <c r="E72" s="64"/>
      <c r="F72" s="64"/>
      <c r="G72" s="64"/>
      <c r="H72" s="505"/>
      <c r="I72" s="505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customFormat="false" ht="15.75" hidden="false" customHeight="true" outlineLevel="0" collapsed="false">
      <c r="A73" s="550"/>
      <c r="B73" s="550"/>
      <c r="C73" s="551"/>
      <c r="D73" s="64"/>
      <c r="E73" s="64"/>
      <c r="F73" s="64"/>
      <c r="G73" s="64"/>
      <c r="H73" s="505"/>
      <c r="I73" s="505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customFormat="false" ht="15.75" hidden="false" customHeight="true" outlineLevel="0" collapsed="false">
      <c r="A74" s="550"/>
      <c r="B74" s="550"/>
      <c r="C74" s="551"/>
      <c r="D74" s="64"/>
      <c r="E74" s="64"/>
      <c r="F74" s="64"/>
      <c r="G74" s="64"/>
      <c r="H74" s="505"/>
      <c r="I74" s="505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customFormat="false" ht="15.75" hidden="false" customHeight="true" outlineLevel="0" collapsed="false">
      <c r="A75" s="550"/>
      <c r="B75" s="550"/>
      <c r="C75" s="551"/>
      <c r="D75" s="64"/>
      <c r="E75" s="64"/>
      <c r="F75" s="64"/>
      <c r="G75" s="64"/>
      <c r="H75" s="505"/>
      <c r="I75" s="505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customFormat="false" ht="15.75" hidden="false" customHeight="true" outlineLevel="0" collapsed="false">
      <c r="A76" s="550"/>
      <c r="B76" s="550"/>
      <c r="C76" s="551"/>
      <c r="D76" s="64"/>
      <c r="E76" s="64"/>
      <c r="F76" s="64"/>
      <c r="G76" s="64"/>
      <c r="H76" s="505"/>
      <c r="I76" s="505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customFormat="false" ht="15.75" hidden="false" customHeight="true" outlineLevel="0" collapsed="false">
      <c r="A77" s="550"/>
      <c r="B77" s="550"/>
      <c r="C77" s="551"/>
      <c r="D77" s="64"/>
      <c r="E77" s="64"/>
      <c r="F77" s="64"/>
      <c r="G77" s="64"/>
      <c r="H77" s="505"/>
      <c r="I77" s="505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customFormat="false" ht="15.75" hidden="false" customHeight="true" outlineLevel="0" collapsed="false">
      <c r="A78" s="550"/>
      <c r="B78" s="550"/>
      <c r="C78" s="551"/>
      <c r="D78" s="64"/>
      <c r="E78" s="64"/>
      <c r="F78" s="64"/>
      <c r="G78" s="64"/>
      <c r="H78" s="505"/>
      <c r="I78" s="505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customFormat="false" ht="15.75" hidden="false" customHeight="true" outlineLevel="0" collapsed="false">
      <c r="A79" s="550"/>
      <c r="B79" s="550"/>
      <c r="C79" s="551"/>
      <c r="D79" s="64"/>
      <c r="E79" s="64"/>
      <c r="F79" s="64"/>
      <c r="G79" s="64"/>
      <c r="H79" s="505"/>
      <c r="I79" s="505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customFormat="false" ht="15.75" hidden="false" customHeight="true" outlineLevel="0" collapsed="false">
      <c r="A80" s="550"/>
      <c r="B80" s="550"/>
      <c r="C80" s="551"/>
      <c r="D80" s="64"/>
      <c r="E80" s="64"/>
      <c r="F80" s="64"/>
      <c r="G80" s="64"/>
      <c r="H80" s="505"/>
      <c r="I80" s="505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customFormat="false" ht="15.75" hidden="false" customHeight="true" outlineLevel="0" collapsed="false">
      <c r="A81" s="550"/>
      <c r="B81" s="550"/>
      <c r="C81" s="551"/>
      <c r="D81" s="64"/>
      <c r="E81" s="64"/>
      <c r="F81" s="64"/>
      <c r="G81" s="64"/>
      <c r="H81" s="505"/>
      <c r="I81" s="505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customFormat="false" ht="15.75" hidden="false" customHeight="true" outlineLevel="0" collapsed="false">
      <c r="A82" s="550"/>
      <c r="B82" s="550"/>
      <c r="C82" s="551"/>
      <c r="D82" s="64"/>
      <c r="E82" s="64"/>
      <c r="F82" s="64"/>
      <c r="G82" s="64"/>
      <c r="H82" s="505"/>
      <c r="I82" s="505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customFormat="false" ht="15.75" hidden="false" customHeight="true" outlineLevel="0" collapsed="false">
      <c r="A83" s="550"/>
      <c r="B83" s="550"/>
      <c r="C83" s="551"/>
      <c r="D83" s="64"/>
      <c r="E83" s="64"/>
      <c r="F83" s="64"/>
      <c r="G83" s="64"/>
      <c r="H83" s="505"/>
      <c r="I83" s="505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customFormat="false" ht="15.75" hidden="false" customHeight="true" outlineLevel="0" collapsed="false">
      <c r="A84" s="550"/>
      <c r="B84" s="550"/>
      <c r="C84" s="551"/>
      <c r="D84" s="64"/>
      <c r="E84" s="64"/>
      <c r="F84" s="64"/>
      <c r="G84" s="64"/>
      <c r="H84" s="505"/>
      <c r="I84" s="505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customFormat="false" ht="15.75" hidden="false" customHeight="true" outlineLevel="0" collapsed="false">
      <c r="A85" s="550"/>
      <c r="B85" s="550"/>
      <c r="C85" s="551"/>
      <c r="D85" s="64"/>
      <c r="E85" s="64"/>
      <c r="F85" s="64"/>
      <c r="G85" s="64"/>
      <c r="H85" s="505"/>
      <c r="I85" s="505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customFormat="false" ht="15.75" hidden="false" customHeight="true" outlineLevel="0" collapsed="false">
      <c r="A86" s="550"/>
      <c r="B86" s="550"/>
      <c r="C86" s="551"/>
      <c r="D86" s="64"/>
      <c r="E86" s="64"/>
      <c r="F86" s="64"/>
      <c r="G86" s="64"/>
      <c r="H86" s="505"/>
      <c r="I86" s="505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customFormat="false" ht="15.75" hidden="false" customHeight="true" outlineLevel="0" collapsed="false">
      <c r="A87" s="550"/>
      <c r="B87" s="550"/>
      <c r="C87" s="551"/>
      <c r="D87" s="64"/>
      <c r="E87" s="64"/>
      <c r="F87" s="64"/>
      <c r="G87" s="64"/>
      <c r="H87" s="505"/>
      <c r="I87" s="505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customFormat="false" ht="15.75" hidden="false" customHeight="true" outlineLevel="0" collapsed="false">
      <c r="A88" s="550"/>
      <c r="B88" s="550"/>
      <c r="C88" s="551"/>
      <c r="D88" s="64"/>
      <c r="E88" s="64"/>
      <c r="F88" s="64"/>
      <c r="G88" s="64"/>
      <c r="H88" s="505"/>
      <c r="I88" s="505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customFormat="false" ht="15.75" hidden="false" customHeight="true" outlineLevel="0" collapsed="false">
      <c r="A89" s="550"/>
      <c r="B89" s="550"/>
      <c r="C89" s="551"/>
      <c r="D89" s="64"/>
      <c r="E89" s="64"/>
      <c r="F89" s="64"/>
      <c r="G89" s="64"/>
      <c r="H89" s="505"/>
      <c r="I89" s="505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customFormat="false" ht="15.75" hidden="false" customHeight="true" outlineLevel="0" collapsed="false">
      <c r="A90" s="550"/>
      <c r="B90" s="550"/>
      <c r="C90" s="551"/>
      <c r="D90" s="64"/>
      <c r="E90" s="64"/>
      <c r="F90" s="64"/>
      <c r="G90" s="64"/>
      <c r="H90" s="505"/>
      <c r="I90" s="505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customFormat="false" ht="15.75" hidden="false" customHeight="true" outlineLevel="0" collapsed="false">
      <c r="A91" s="550"/>
      <c r="B91" s="550"/>
      <c r="C91" s="551"/>
      <c r="D91" s="64"/>
      <c r="E91" s="64"/>
      <c r="F91" s="64"/>
      <c r="G91" s="64"/>
      <c r="H91" s="505"/>
      <c r="I91" s="505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customFormat="false" ht="15.75" hidden="false" customHeight="true" outlineLevel="0" collapsed="false">
      <c r="A92" s="550"/>
      <c r="B92" s="550"/>
      <c r="C92" s="551"/>
      <c r="D92" s="64"/>
      <c r="E92" s="64"/>
      <c r="F92" s="64"/>
      <c r="G92" s="64"/>
      <c r="H92" s="505"/>
      <c r="I92" s="505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customFormat="false" ht="15.75" hidden="false" customHeight="true" outlineLevel="0" collapsed="false">
      <c r="A93" s="550"/>
      <c r="B93" s="550"/>
      <c r="C93" s="551"/>
      <c r="D93" s="64"/>
      <c r="E93" s="64"/>
      <c r="F93" s="64"/>
      <c r="G93" s="64"/>
      <c r="H93" s="505"/>
      <c r="I93" s="505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customFormat="false" ht="15.75" hidden="false" customHeight="true" outlineLevel="0" collapsed="false">
      <c r="A94" s="550"/>
      <c r="B94" s="550"/>
      <c r="C94" s="551"/>
      <c r="D94" s="64"/>
      <c r="E94" s="64"/>
      <c r="F94" s="64"/>
      <c r="G94" s="64"/>
      <c r="H94" s="505"/>
      <c r="I94" s="505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customFormat="false" ht="15.75" hidden="false" customHeight="true" outlineLevel="0" collapsed="false">
      <c r="A95" s="550"/>
      <c r="B95" s="550"/>
      <c r="C95" s="551"/>
      <c r="D95" s="64"/>
      <c r="E95" s="64"/>
      <c r="F95" s="64"/>
      <c r="G95" s="64"/>
      <c r="H95" s="505"/>
      <c r="I95" s="505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customFormat="false" ht="15.75" hidden="false" customHeight="true" outlineLevel="0" collapsed="false">
      <c r="A96" s="550"/>
      <c r="B96" s="550"/>
      <c r="C96" s="551"/>
      <c r="D96" s="64"/>
      <c r="E96" s="64"/>
      <c r="F96" s="64"/>
      <c r="G96" s="64"/>
      <c r="H96" s="505"/>
      <c r="I96" s="505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customFormat="false" ht="15.75" hidden="false" customHeight="true" outlineLevel="0" collapsed="false">
      <c r="A97" s="550"/>
      <c r="B97" s="550"/>
      <c r="C97" s="551"/>
      <c r="D97" s="64"/>
      <c r="E97" s="64"/>
      <c r="F97" s="64"/>
      <c r="G97" s="64"/>
      <c r="H97" s="505"/>
      <c r="I97" s="505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customFormat="false" ht="15.75" hidden="false" customHeight="true" outlineLevel="0" collapsed="false">
      <c r="A98" s="550"/>
      <c r="B98" s="550"/>
      <c r="C98" s="551"/>
      <c r="D98" s="64"/>
      <c r="E98" s="64"/>
      <c r="F98" s="64"/>
      <c r="G98" s="64"/>
      <c r="H98" s="505"/>
      <c r="I98" s="505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customFormat="false" ht="15.75" hidden="false" customHeight="true" outlineLevel="0" collapsed="false">
      <c r="A99" s="550"/>
      <c r="B99" s="550"/>
      <c r="C99" s="551"/>
      <c r="D99" s="64"/>
      <c r="E99" s="64"/>
      <c r="F99" s="64"/>
      <c r="G99" s="64"/>
      <c r="H99" s="505"/>
      <c r="I99" s="505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customFormat="false" ht="15.75" hidden="false" customHeight="true" outlineLevel="0" collapsed="false">
      <c r="A100" s="550"/>
      <c r="B100" s="550"/>
      <c r="C100" s="551"/>
      <c r="D100" s="64"/>
      <c r="E100" s="64"/>
      <c r="F100" s="64"/>
      <c r="G100" s="64"/>
      <c r="H100" s="505"/>
      <c r="I100" s="505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customFormat="false" ht="15.75" hidden="false" customHeight="true" outlineLevel="0" collapsed="false">
      <c r="A101" s="550"/>
      <c r="B101" s="550"/>
      <c r="C101" s="551"/>
      <c r="D101" s="64"/>
      <c r="E101" s="64"/>
      <c r="F101" s="64"/>
      <c r="G101" s="64"/>
      <c r="H101" s="505"/>
      <c r="I101" s="505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customFormat="false" ht="15.75" hidden="false" customHeight="true" outlineLevel="0" collapsed="false">
      <c r="A102" s="550"/>
      <c r="B102" s="550"/>
      <c r="C102" s="551"/>
      <c r="D102" s="64"/>
      <c r="E102" s="64"/>
      <c r="F102" s="64"/>
      <c r="G102" s="64"/>
      <c r="H102" s="505"/>
      <c r="I102" s="505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customFormat="false" ht="15.75" hidden="false" customHeight="true" outlineLevel="0" collapsed="false">
      <c r="A103" s="550"/>
      <c r="B103" s="550"/>
      <c r="C103" s="551"/>
      <c r="D103" s="64"/>
      <c r="E103" s="64"/>
      <c r="F103" s="64"/>
      <c r="G103" s="64"/>
      <c r="H103" s="505"/>
      <c r="I103" s="505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customFormat="false" ht="15.75" hidden="false" customHeight="true" outlineLevel="0" collapsed="false">
      <c r="A104" s="550"/>
      <c r="B104" s="550"/>
      <c r="C104" s="551"/>
      <c r="D104" s="64"/>
      <c r="E104" s="64"/>
      <c r="F104" s="64"/>
      <c r="G104" s="64"/>
      <c r="H104" s="505"/>
      <c r="I104" s="505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customFormat="false" ht="15.75" hidden="false" customHeight="true" outlineLevel="0" collapsed="false">
      <c r="A105" s="550"/>
      <c r="B105" s="550"/>
      <c r="C105" s="551"/>
      <c r="D105" s="64"/>
      <c r="E105" s="64"/>
      <c r="F105" s="64"/>
      <c r="G105" s="64"/>
      <c r="H105" s="505"/>
      <c r="I105" s="505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customFormat="false" ht="15.75" hidden="false" customHeight="true" outlineLevel="0" collapsed="false">
      <c r="A106" s="550"/>
      <c r="B106" s="550"/>
      <c r="C106" s="551"/>
      <c r="D106" s="64"/>
      <c r="E106" s="64"/>
      <c r="F106" s="64"/>
      <c r="G106" s="64"/>
      <c r="H106" s="505"/>
      <c r="I106" s="505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customFormat="false" ht="15.75" hidden="false" customHeight="true" outlineLevel="0" collapsed="false">
      <c r="A107" s="550"/>
      <c r="B107" s="550"/>
      <c r="C107" s="551"/>
      <c r="D107" s="64"/>
      <c r="E107" s="64"/>
      <c r="F107" s="64"/>
      <c r="G107" s="64"/>
      <c r="H107" s="505"/>
      <c r="I107" s="505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customFormat="false" ht="15.75" hidden="false" customHeight="true" outlineLevel="0" collapsed="false">
      <c r="A108" s="550"/>
      <c r="B108" s="550"/>
      <c r="C108" s="551"/>
      <c r="D108" s="64"/>
      <c r="E108" s="64"/>
      <c r="F108" s="64"/>
      <c r="G108" s="64"/>
      <c r="H108" s="505"/>
      <c r="I108" s="505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customFormat="false" ht="15.75" hidden="false" customHeight="true" outlineLevel="0" collapsed="false">
      <c r="A109" s="550"/>
      <c r="B109" s="550"/>
      <c r="C109" s="551"/>
      <c r="D109" s="64"/>
      <c r="E109" s="64"/>
      <c r="F109" s="64"/>
      <c r="G109" s="64"/>
      <c r="H109" s="505"/>
      <c r="I109" s="505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customFormat="false" ht="15.75" hidden="false" customHeight="true" outlineLevel="0" collapsed="false">
      <c r="A110" s="550"/>
      <c r="B110" s="550"/>
      <c r="C110" s="551"/>
      <c r="D110" s="64"/>
      <c r="E110" s="64"/>
      <c r="F110" s="64"/>
      <c r="G110" s="64"/>
      <c r="H110" s="505"/>
      <c r="I110" s="505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customFormat="false" ht="15.75" hidden="false" customHeight="true" outlineLevel="0" collapsed="false">
      <c r="A111" s="550"/>
      <c r="B111" s="550"/>
      <c r="C111" s="551"/>
      <c r="D111" s="64"/>
      <c r="E111" s="64"/>
      <c r="F111" s="64"/>
      <c r="G111" s="64"/>
      <c r="H111" s="505"/>
      <c r="I111" s="505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customFormat="false" ht="15.75" hidden="false" customHeight="true" outlineLevel="0" collapsed="false">
      <c r="A112" s="550"/>
      <c r="B112" s="550"/>
      <c r="C112" s="551"/>
      <c r="D112" s="64"/>
      <c r="E112" s="64"/>
      <c r="F112" s="64"/>
      <c r="G112" s="64"/>
      <c r="H112" s="505"/>
      <c r="I112" s="505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customFormat="false" ht="15.75" hidden="false" customHeight="true" outlineLevel="0" collapsed="false">
      <c r="A113" s="550"/>
      <c r="B113" s="550"/>
      <c r="C113" s="551"/>
      <c r="D113" s="64"/>
      <c r="E113" s="64"/>
      <c r="F113" s="64"/>
      <c r="G113" s="64"/>
      <c r="H113" s="505"/>
      <c r="I113" s="505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customFormat="false" ht="15.75" hidden="false" customHeight="true" outlineLevel="0" collapsed="false">
      <c r="A114" s="550"/>
      <c r="B114" s="550"/>
      <c r="C114" s="551"/>
      <c r="D114" s="64"/>
      <c r="E114" s="64"/>
      <c r="F114" s="64"/>
      <c r="G114" s="64"/>
      <c r="H114" s="505"/>
      <c r="I114" s="505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customFormat="false" ht="15.75" hidden="false" customHeight="true" outlineLevel="0" collapsed="false">
      <c r="A115" s="550"/>
      <c r="B115" s="550"/>
      <c r="C115" s="551"/>
      <c r="D115" s="64"/>
      <c r="E115" s="64"/>
      <c r="F115" s="64"/>
      <c r="G115" s="64"/>
      <c r="H115" s="505"/>
      <c r="I115" s="505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customFormat="false" ht="15.75" hidden="false" customHeight="true" outlineLevel="0" collapsed="false">
      <c r="A116" s="550"/>
      <c r="B116" s="550"/>
      <c r="C116" s="551"/>
      <c r="D116" s="64"/>
      <c r="E116" s="64"/>
      <c r="F116" s="64"/>
      <c r="G116" s="64"/>
      <c r="H116" s="505"/>
      <c r="I116" s="505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customFormat="false" ht="15.75" hidden="false" customHeight="true" outlineLevel="0" collapsed="false">
      <c r="A117" s="550"/>
      <c r="B117" s="550"/>
      <c r="C117" s="551"/>
      <c r="D117" s="64"/>
      <c r="E117" s="64"/>
      <c r="F117" s="64"/>
      <c r="G117" s="64"/>
      <c r="H117" s="505"/>
      <c r="I117" s="505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customFormat="false" ht="15.75" hidden="false" customHeight="true" outlineLevel="0" collapsed="false">
      <c r="A118" s="550"/>
      <c r="B118" s="550"/>
      <c r="C118" s="551"/>
      <c r="D118" s="64"/>
      <c r="E118" s="64"/>
      <c r="F118" s="64"/>
      <c r="G118" s="64"/>
      <c r="H118" s="505"/>
      <c r="I118" s="505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customFormat="false" ht="15.75" hidden="false" customHeight="true" outlineLevel="0" collapsed="false">
      <c r="A119" s="550"/>
      <c r="B119" s="550"/>
      <c r="C119" s="551"/>
      <c r="D119" s="64"/>
      <c r="E119" s="64"/>
      <c r="F119" s="64"/>
      <c r="G119" s="64"/>
      <c r="H119" s="505"/>
      <c r="I119" s="505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customFormat="false" ht="15.75" hidden="false" customHeight="true" outlineLevel="0" collapsed="false">
      <c r="A120" s="550"/>
      <c r="B120" s="550"/>
      <c r="C120" s="551"/>
      <c r="D120" s="64"/>
      <c r="E120" s="64"/>
      <c r="F120" s="64"/>
      <c r="G120" s="64"/>
      <c r="H120" s="505"/>
      <c r="I120" s="505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customFormat="false" ht="15.75" hidden="false" customHeight="true" outlineLevel="0" collapsed="false">
      <c r="A121" s="550"/>
      <c r="B121" s="550"/>
      <c r="C121" s="551"/>
      <c r="D121" s="64"/>
      <c r="E121" s="64"/>
      <c r="F121" s="64"/>
      <c r="G121" s="64"/>
      <c r="H121" s="505"/>
      <c r="I121" s="505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customFormat="false" ht="15.75" hidden="false" customHeight="true" outlineLevel="0" collapsed="false">
      <c r="A122" s="550"/>
      <c r="B122" s="550"/>
      <c r="C122" s="551"/>
      <c r="D122" s="64"/>
      <c r="E122" s="64"/>
      <c r="F122" s="64"/>
      <c r="G122" s="64"/>
      <c r="H122" s="505"/>
      <c r="I122" s="505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customFormat="false" ht="15.75" hidden="false" customHeight="true" outlineLevel="0" collapsed="false">
      <c r="A123" s="550"/>
      <c r="B123" s="550"/>
      <c r="C123" s="551"/>
      <c r="D123" s="64"/>
      <c r="E123" s="64"/>
      <c r="F123" s="64"/>
      <c r="G123" s="64"/>
      <c r="H123" s="505"/>
      <c r="I123" s="505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customFormat="false" ht="15.75" hidden="false" customHeight="true" outlineLevel="0" collapsed="false">
      <c r="A124" s="550"/>
      <c r="B124" s="550"/>
      <c r="C124" s="551"/>
      <c r="D124" s="64"/>
      <c r="E124" s="64"/>
      <c r="F124" s="64"/>
      <c r="G124" s="64"/>
      <c r="H124" s="505"/>
      <c r="I124" s="505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customFormat="false" ht="15.75" hidden="false" customHeight="true" outlineLevel="0" collapsed="false">
      <c r="A125" s="550"/>
      <c r="B125" s="550"/>
      <c r="C125" s="551"/>
      <c r="D125" s="64"/>
      <c r="E125" s="64"/>
      <c r="F125" s="64"/>
      <c r="G125" s="64"/>
      <c r="H125" s="505"/>
      <c r="I125" s="505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customFormat="false" ht="15.75" hidden="false" customHeight="true" outlineLevel="0" collapsed="false">
      <c r="A126" s="550"/>
      <c r="B126" s="550"/>
      <c r="C126" s="551"/>
      <c r="D126" s="64"/>
      <c r="E126" s="64"/>
      <c r="F126" s="64"/>
      <c r="G126" s="64"/>
      <c r="H126" s="505"/>
      <c r="I126" s="505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customFormat="false" ht="15.75" hidden="false" customHeight="true" outlineLevel="0" collapsed="false">
      <c r="A127" s="550"/>
      <c r="B127" s="550"/>
      <c r="C127" s="551"/>
      <c r="D127" s="64"/>
      <c r="E127" s="64"/>
      <c r="F127" s="64"/>
      <c r="G127" s="64"/>
      <c r="H127" s="505"/>
      <c r="I127" s="505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customFormat="false" ht="15.75" hidden="false" customHeight="true" outlineLevel="0" collapsed="false">
      <c r="A128" s="550"/>
      <c r="B128" s="550"/>
      <c r="C128" s="551"/>
      <c r="D128" s="64"/>
      <c r="E128" s="64"/>
      <c r="F128" s="64"/>
      <c r="G128" s="64"/>
      <c r="H128" s="505"/>
      <c r="I128" s="505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customFormat="false" ht="15.75" hidden="false" customHeight="true" outlineLevel="0" collapsed="false">
      <c r="A129" s="550"/>
      <c r="B129" s="550"/>
      <c r="C129" s="551"/>
      <c r="D129" s="64"/>
      <c r="E129" s="64"/>
      <c r="F129" s="64"/>
      <c r="G129" s="64"/>
      <c r="H129" s="505"/>
      <c r="I129" s="505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customFormat="false" ht="15.75" hidden="false" customHeight="true" outlineLevel="0" collapsed="false">
      <c r="A130" s="550"/>
      <c r="B130" s="550"/>
      <c r="C130" s="551"/>
      <c r="D130" s="64"/>
      <c r="E130" s="64"/>
      <c r="F130" s="64"/>
      <c r="G130" s="64"/>
      <c r="H130" s="505"/>
      <c r="I130" s="505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customFormat="false" ht="15.75" hidden="false" customHeight="true" outlineLevel="0" collapsed="false">
      <c r="A131" s="550"/>
      <c r="B131" s="550"/>
      <c r="C131" s="551"/>
      <c r="D131" s="64"/>
      <c r="E131" s="64"/>
      <c r="F131" s="64"/>
      <c r="G131" s="64"/>
      <c r="H131" s="505"/>
      <c r="I131" s="505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customFormat="false" ht="15.75" hidden="false" customHeight="true" outlineLevel="0" collapsed="false">
      <c r="A132" s="550"/>
      <c r="B132" s="550"/>
      <c r="C132" s="551"/>
      <c r="D132" s="64"/>
      <c r="E132" s="64"/>
      <c r="F132" s="64"/>
      <c r="G132" s="64"/>
      <c r="H132" s="505"/>
      <c r="I132" s="505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customFormat="false" ht="15.75" hidden="false" customHeight="true" outlineLevel="0" collapsed="false">
      <c r="A133" s="550"/>
      <c r="B133" s="550"/>
      <c r="C133" s="551"/>
      <c r="D133" s="64"/>
      <c r="E133" s="64"/>
      <c r="F133" s="64"/>
      <c r="G133" s="64"/>
      <c r="H133" s="505"/>
      <c r="I133" s="505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customFormat="false" ht="15.75" hidden="false" customHeight="true" outlineLevel="0" collapsed="false">
      <c r="A134" s="550"/>
      <c r="B134" s="550"/>
      <c r="C134" s="551"/>
      <c r="D134" s="64"/>
      <c r="E134" s="64"/>
      <c r="F134" s="64"/>
      <c r="G134" s="64"/>
      <c r="H134" s="505"/>
      <c r="I134" s="505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customFormat="false" ht="15.75" hidden="false" customHeight="true" outlineLevel="0" collapsed="false">
      <c r="A135" s="550"/>
      <c r="B135" s="550"/>
      <c r="C135" s="551"/>
      <c r="D135" s="64"/>
      <c r="E135" s="64"/>
      <c r="F135" s="64"/>
      <c r="G135" s="64"/>
      <c r="H135" s="505"/>
      <c r="I135" s="505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customFormat="false" ht="15.75" hidden="false" customHeight="true" outlineLevel="0" collapsed="false">
      <c r="A136" s="550"/>
      <c r="B136" s="550"/>
      <c r="C136" s="551"/>
      <c r="D136" s="64"/>
      <c r="E136" s="64"/>
      <c r="F136" s="64"/>
      <c r="G136" s="64"/>
      <c r="H136" s="505"/>
      <c r="I136" s="505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customFormat="false" ht="15.75" hidden="false" customHeight="true" outlineLevel="0" collapsed="false">
      <c r="A137" s="550"/>
      <c r="B137" s="550"/>
      <c r="C137" s="551"/>
      <c r="D137" s="64"/>
      <c r="E137" s="64"/>
      <c r="F137" s="64"/>
      <c r="G137" s="64"/>
      <c r="H137" s="505"/>
      <c r="I137" s="505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customFormat="false" ht="15.75" hidden="false" customHeight="true" outlineLevel="0" collapsed="false">
      <c r="A138" s="550"/>
      <c r="B138" s="550"/>
      <c r="C138" s="551"/>
      <c r="D138" s="64"/>
      <c r="E138" s="64"/>
      <c r="F138" s="64"/>
      <c r="G138" s="64"/>
      <c r="H138" s="505"/>
      <c r="I138" s="505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customFormat="false" ht="15.75" hidden="false" customHeight="true" outlineLevel="0" collapsed="false">
      <c r="A139" s="550"/>
      <c r="B139" s="550"/>
      <c r="C139" s="551"/>
      <c r="D139" s="64"/>
      <c r="E139" s="64"/>
      <c r="F139" s="64"/>
      <c r="G139" s="64"/>
      <c r="H139" s="505"/>
      <c r="I139" s="505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customFormat="false" ht="15.75" hidden="false" customHeight="true" outlineLevel="0" collapsed="false">
      <c r="A140" s="550"/>
      <c r="B140" s="550"/>
      <c r="C140" s="551"/>
      <c r="D140" s="64"/>
      <c r="E140" s="64"/>
      <c r="F140" s="64"/>
      <c r="G140" s="64"/>
      <c r="H140" s="505"/>
      <c r="I140" s="505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customFormat="false" ht="15.75" hidden="false" customHeight="true" outlineLevel="0" collapsed="false">
      <c r="A141" s="550"/>
      <c r="B141" s="550"/>
      <c r="C141" s="551"/>
      <c r="D141" s="64"/>
      <c r="E141" s="64"/>
      <c r="F141" s="64"/>
      <c r="G141" s="64"/>
      <c r="H141" s="505"/>
      <c r="I141" s="505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customFormat="false" ht="15.75" hidden="false" customHeight="true" outlineLevel="0" collapsed="false">
      <c r="A142" s="550"/>
      <c r="B142" s="550"/>
      <c r="C142" s="551"/>
      <c r="D142" s="64"/>
      <c r="E142" s="64"/>
      <c r="F142" s="64"/>
      <c r="G142" s="64"/>
      <c r="H142" s="505"/>
      <c r="I142" s="505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customFormat="false" ht="15.75" hidden="false" customHeight="true" outlineLevel="0" collapsed="false">
      <c r="A143" s="550"/>
      <c r="B143" s="550"/>
      <c r="C143" s="551"/>
      <c r="D143" s="64"/>
      <c r="E143" s="64"/>
      <c r="F143" s="64"/>
      <c r="G143" s="64"/>
      <c r="H143" s="505"/>
      <c r="I143" s="505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customFormat="false" ht="15.75" hidden="false" customHeight="true" outlineLevel="0" collapsed="false">
      <c r="A144" s="550"/>
      <c r="B144" s="550"/>
      <c r="C144" s="551"/>
      <c r="D144" s="64"/>
      <c r="E144" s="64"/>
      <c r="F144" s="64"/>
      <c r="G144" s="64"/>
      <c r="H144" s="505"/>
      <c r="I144" s="505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customFormat="false" ht="15.75" hidden="false" customHeight="true" outlineLevel="0" collapsed="false">
      <c r="A145" s="550"/>
      <c r="B145" s="550"/>
      <c r="C145" s="551"/>
      <c r="D145" s="64"/>
      <c r="E145" s="64"/>
      <c r="F145" s="64"/>
      <c r="G145" s="64"/>
      <c r="H145" s="505"/>
      <c r="I145" s="505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customFormat="false" ht="15.75" hidden="false" customHeight="true" outlineLevel="0" collapsed="false">
      <c r="A146" s="550"/>
      <c r="B146" s="550"/>
      <c r="C146" s="551"/>
      <c r="D146" s="64"/>
      <c r="E146" s="64"/>
      <c r="F146" s="64"/>
      <c r="G146" s="64"/>
      <c r="H146" s="505"/>
      <c r="I146" s="505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customFormat="false" ht="15.75" hidden="false" customHeight="true" outlineLevel="0" collapsed="false">
      <c r="A147" s="550"/>
      <c r="B147" s="550"/>
      <c r="C147" s="551"/>
      <c r="D147" s="64"/>
      <c r="E147" s="64"/>
      <c r="F147" s="64"/>
      <c r="G147" s="64"/>
      <c r="H147" s="505"/>
      <c r="I147" s="505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customFormat="false" ht="15.75" hidden="false" customHeight="true" outlineLevel="0" collapsed="false">
      <c r="A148" s="550"/>
      <c r="B148" s="550"/>
      <c r="C148" s="551"/>
      <c r="D148" s="64"/>
      <c r="E148" s="64"/>
      <c r="F148" s="64"/>
      <c r="G148" s="64"/>
      <c r="H148" s="505"/>
      <c r="I148" s="505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customFormat="false" ht="15.75" hidden="false" customHeight="true" outlineLevel="0" collapsed="false">
      <c r="A149" s="550"/>
      <c r="B149" s="550"/>
      <c r="C149" s="551"/>
      <c r="D149" s="64"/>
      <c r="E149" s="64"/>
      <c r="F149" s="64"/>
      <c r="G149" s="64"/>
      <c r="H149" s="505"/>
      <c r="I149" s="505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customFormat="false" ht="15.75" hidden="false" customHeight="true" outlineLevel="0" collapsed="false">
      <c r="A150" s="550"/>
      <c r="B150" s="550"/>
      <c r="C150" s="551"/>
      <c r="D150" s="64"/>
      <c r="E150" s="64"/>
      <c r="F150" s="64"/>
      <c r="G150" s="64"/>
      <c r="H150" s="505"/>
      <c r="I150" s="505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customFormat="false" ht="15.75" hidden="false" customHeight="true" outlineLevel="0" collapsed="false">
      <c r="A151" s="550"/>
      <c r="B151" s="550"/>
      <c r="C151" s="551"/>
      <c r="D151" s="64"/>
      <c r="E151" s="64"/>
      <c r="F151" s="64"/>
      <c r="G151" s="64"/>
      <c r="H151" s="505"/>
      <c r="I151" s="505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customFormat="false" ht="15.75" hidden="false" customHeight="true" outlineLevel="0" collapsed="false">
      <c r="A152" s="550"/>
      <c r="B152" s="550"/>
      <c r="C152" s="551"/>
      <c r="D152" s="64"/>
      <c r="E152" s="64"/>
      <c r="F152" s="64"/>
      <c r="G152" s="64"/>
      <c r="H152" s="505"/>
      <c r="I152" s="505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customFormat="false" ht="15.75" hidden="false" customHeight="true" outlineLevel="0" collapsed="false">
      <c r="A153" s="550"/>
      <c r="B153" s="550"/>
      <c r="C153" s="551"/>
      <c r="D153" s="64"/>
      <c r="E153" s="64"/>
      <c r="F153" s="64"/>
      <c r="G153" s="64"/>
      <c r="H153" s="505"/>
      <c r="I153" s="505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customFormat="false" ht="15.75" hidden="false" customHeight="true" outlineLevel="0" collapsed="false">
      <c r="A154" s="550"/>
      <c r="B154" s="550"/>
      <c r="C154" s="551"/>
      <c r="D154" s="64"/>
      <c r="E154" s="64"/>
      <c r="F154" s="64"/>
      <c r="G154" s="64"/>
      <c r="H154" s="505"/>
      <c r="I154" s="505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customFormat="false" ht="15.75" hidden="false" customHeight="true" outlineLevel="0" collapsed="false">
      <c r="A155" s="550"/>
      <c r="B155" s="550"/>
      <c r="C155" s="551"/>
      <c r="D155" s="64"/>
      <c r="E155" s="64"/>
      <c r="F155" s="64"/>
      <c r="G155" s="64"/>
      <c r="H155" s="505"/>
      <c r="I155" s="505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customFormat="false" ht="15.75" hidden="false" customHeight="true" outlineLevel="0" collapsed="false">
      <c r="A156" s="550"/>
      <c r="B156" s="550"/>
      <c r="C156" s="551"/>
      <c r="D156" s="64"/>
      <c r="E156" s="64"/>
      <c r="F156" s="64"/>
      <c r="G156" s="64"/>
      <c r="H156" s="505"/>
      <c r="I156" s="505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customFormat="false" ht="15.75" hidden="false" customHeight="true" outlineLevel="0" collapsed="false">
      <c r="A157" s="550"/>
      <c r="B157" s="550"/>
      <c r="C157" s="551"/>
      <c r="D157" s="64"/>
      <c r="E157" s="64"/>
      <c r="F157" s="64"/>
      <c r="G157" s="64"/>
      <c r="H157" s="505"/>
      <c r="I157" s="505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customFormat="false" ht="15.75" hidden="false" customHeight="true" outlineLevel="0" collapsed="false">
      <c r="A158" s="550"/>
      <c r="B158" s="550"/>
      <c r="C158" s="551"/>
      <c r="D158" s="64"/>
      <c r="E158" s="64"/>
      <c r="F158" s="64"/>
      <c r="G158" s="64"/>
      <c r="H158" s="505"/>
      <c r="I158" s="505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customFormat="false" ht="15.75" hidden="false" customHeight="true" outlineLevel="0" collapsed="false">
      <c r="A159" s="550"/>
      <c r="B159" s="550"/>
      <c r="C159" s="551"/>
      <c r="D159" s="64"/>
      <c r="E159" s="64"/>
      <c r="F159" s="64"/>
      <c r="G159" s="64"/>
      <c r="H159" s="505"/>
      <c r="I159" s="505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customFormat="false" ht="15.75" hidden="false" customHeight="true" outlineLevel="0" collapsed="false">
      <c r="A160" s="550"/>
      <c r="B160" s="550"/>
      <c r="C160" s="551"/>
      <c r="D160" s="64"/>
      <c r="E160" s="64"/>
      <c r="F160" s="64"/>
      <c r="G160" s="64"/>
      <c r="H160" s="505"/>
      <c r="I160" s="505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customFormat="false" ht="15.75" hidden="false" customHeight="true" outlineLevel="0" collapsed="false">
      <c r="A161" s="550"/>
      <c r="B161" s="550"/>
      <c r="C161" s="551"/>
      <c r="D161" s="64"/>
      <c r="E161" s="64"/>
      <c r="F161" s="64"/>
      <c r="G161" s="64"/>
      <c r="H161" s="505"/>
      <c r="I161" s="505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customFormat="false" ht="15.75" hidden="false" customHeight="true" outlineLevel="0" collapsed="false">
      <c r="A162" s="550"/>
      <c r="B162" s="550"/>
      <c r="C162" s="551"/>
      <c r="D162" s="64"/>
      <c r="E162" s="64"/>
      <c r="F162" s="64"/>
      <c r="G162" s="64"/>
      <c r="H162" s="505"/>
      <c r="I162" s="505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customFormat="false" ht="15.75" hidden="false" customHeight="true" outlineLevel="0" collapsed="false">
      <c r="A163" s="550"/>
      <c r="B163" s="550"/>
      <c r="C163" s="551"/>
      <c r="D163" s="64"/>
      <c r="E163" s="64"/>
      <c r="F163" s="64"/>
      <c r="G163" s="64"/>
      <c r="H163" s="505"/>
      <c r="I163" s="505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customFormat="false" ht="15.75" hidden="false" customHeight="true" outlineLevel="0" collapsed="false">
      <c r="A164" s="550"/>
      <c r="B164" s="550"/>
      <c r="C164" s="551"/>
      <c r="D164" s="64"/>
      <c r="E164" s="64"/>
      <c r="F164" s="64"/>
      <c r="G164" s="64"/>
      <c r="H164" s="505"/>
      <c r="I164" s="505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customFormat="false" ht="15.75" hidden="false" customHeight="true" outlineLevel="0" collapsed="false">
      <c r="A165" s="550"/>
      <c r="B165" s="550"/>
      <c r="C165" s="551"/>
      <c r="D165" s="64"/>
      <c r="E165" s="64"/>
      <c r="F165" s="64"/>
      <c r="G165" s="64"/>
      <c r="H165" s="505"/>
      <c r="I165" s="505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customFormat="false" ht="15.75" hidden="false" customHeight="true" outlineLevel="0" collapsed="false">
      <c r="A166" s="550"/>
      <c r="B166" s="550"/>
      <c r="C166" s="551"/>
      <c r="D166" s="64"/>
      <c r="E166" s="64"/>
      <c r="F166" s="64"/>
      <c r="G166" s="64"/>
      <c r="H166" s="505"/>
      <c r="I166" s="505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customFormat="false" ht="15.75" hidden="false" customHeight="true" outlineLevel="0" collapsed="false">
      <c r="A167" s="550"/>
      <c r="B167" s="550"/>
      <c r="C167" s="551"/>
      <c r="D167" s="64"/>
      <c r="E167" s="64"/>
      <c r="F167" s="64"/>
      <c r="G167" s="64"/>
      <c r="H167" s="505"/>
      <c r="I167" s="505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customFormat="false" ht="15.75" hidden="false" customHeight="true" outlineLevel="0" collapsed="false">
      <c r="A168" s="550"/>
      <c r="B168" s="550"/>
      <c r="C168" s="551"/>
      <c r="D168" s="64"/>
      <c r="E168" s="64"/>
      <c r="F168" s="64"/>
      <c r="G168" s="64"/>
      <c r="H168" s="505"/>
      <c r="I168" s="505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customFormat="false" ht="15.75" hidden="false" customHeight="true" outlineLevel="0" collapsed="false">
      <c r="A169" s="550"/>
      <c r="B169" s="550"/>
      <c r="C169" s="551"/>
      <c r="D169" s="64"/>
      <c r="E169" s="64"/>
      <c r="F169" s="64"/>
      <c r="G169" s="64"/>
      <c r="H169" s="505"/>
      <c r="I169" s="505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customFormat="false" ht="15.75" hidden="false" customHeight="true" outlineLevel="0" collapsed="false">
      <c r="A170" s="550"/>
      <c r="B170" s="550"/>
      <c r="C170" s="551"/>
      <c r="D170" s="64"/>
      <c r="E170" s="64"/>
      <c r="F170" s="64"/>
      <c r="G170" s="64"/>
      <c r="H170" s="505"/>
      <c r="I170" s="505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customFormat="false" ht="15.75" hidden="false" customHeight="true" outlineLevel="0" collapsed="false">
      <c r="A171" s="550"/>
      <c r="B171" s="550"/>
      <c r="C171" s="551"/>
      <c r="D171" s="64"/>
      <c r="E171" s="64"/>
      <c r="F171" s="64"/>
      <c r="G171" s="64"/>
      <c r="H171" s="505"/>
      <c r="I171" s="505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customFormat="false" ht="15.75" hidden="false" customHeight="true" outlineLevel="0" collapsed="false">
      <c r="A172" s="550"/>
      <c r="B172" s="550"/>
      <c r="C172" s="551"/>
      <c r="D172" s="64"/>
      <c r="E172" s="64"/>
      <c r="F172" s="64"/>
      <c r="G172" s="64"/>
      <c r="H172" s="505"/>
      <c r="I172" s="505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customFormat="false" ht="15.75" hidden="false" customHeight="true" outlineLevel="0" collapsed="false">
      <c r="A173" s="550"/>
      <c r="B173" s="550"/>
      <c r="C173" s="551"/>
      <c r="D173" s="64"/>
      <c r="E173" s="64"/>
      <c r="F173" s="64"/>
      <c r="G173" s="64"/>
      <c r="H173" s="505"/>
      <c r="I173" s="505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customFormat="false" ht="15.75" hidden="false" customHeight="true" outlineLevel="0" collapsed="false">
      <c r="A174" s="550"/>
      <c r="B174" s="550"/>
      <c r="C174" s="551"/>
      <c r="D174" s="64"/>
      <c r="E174" s="64"/>
      <c r="F174" s="64"/>
      <c r="G174" s="64"/>
      <c r="H174" s="505"/>
      <c r="I174" s="505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customFormat="false" ht="15.75" hidden="false" customHeight="true" outlineLevel="0" collapsed="false">
      <c r="A175" s="550"/>
      <c r="B175" s="550"/>
      <c r="C175" s="551"/>
      <c r="D175" s="64"/>
      <c r="E175" s="64"/>
      <c r="F175" s="64"/>
      <c r="G175" s="64"/>
      <c r="H175" s="505"/>
      <c r="I175" s="505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customFormat="false" ht="15.75" hidden="false" customHeight="true" outlineLevel="0" collapsed="false">
      <c r="A176" s="550"/>
      <c r="B176" s="550"/>
      <c r="C176" s="551"/>
      <c r="D176" s="64"/>
      <c r="E176" s="64"/>
      <c r="F176" s="64"/>
      <c r="G176" s="64"/>
      <c r="H176" s="505"/>
      <c r="I176" s="505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customFormat="false" ht="15.75" hidden="false" customHeight="true" outlineLevel="0" collapsed="false">
      <c r="A177" s="550"/>
      <c r="B177" s="550"/>
      <c r="C177" s="551"/>
      <c r="D177" s="64"/>
      <c r="E177" s="64"/>
      <c r="F177" s="64"/>
      <c r="G177" s="64"/>
      <c r="H177" s="505"/>
      <c r="I177" s="505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customFormat="false" ht="15.75" hidden="false" customHeight="true" outlineLevel="0" collapsed="false">
      <c r="A178" s="550"/>
      <c r="B178" s="550"/>
      <c r="C178" s="551"/>
      <c r="D178" s="64"/>
      <c r="E178" s="64"/>
      <c r="F178" s="64"/>
      <c r="G178" s="64"/>
      <c r="H178" s="505"/>
      <c r="I178" s="505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customFormat="false" ht="15.75" hidden="false" customHeight="true" outlineLevel="0" collapsed="false">
      <c r="A179" s="550"/>
      <c r="B179" s="550"/>
      <c r="C179" s="551"/>
      <c r="D179" s="64"/>
      <c r="E179" s="64"/>
      <c r="F179" s="64"/>
      <c r="G179" s="64"/>
      <c r="H179" s="505"/>
      <c r="I179" s="505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customFormat="false" ht="15.75" hidden="false" customHeight="true" outlineLevel="0" collapsed="false">
      <c r="A180" s="550"/>
      <c r="B180" s="550"/>
      <c r="C180" s="551"/>
      <c r="D180" s="64"/>
      <c r="E180" s="64"/>
      <c r="F180" s="64"/>
      <c r="G180" s="64"/>
      <c r="H180" s="505"/>
      <c r="I180" s="505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customFormat="false" ht="15.75" hidden="false" customHeight="true" outlineLevel="0" collapsed="false">
      <c r="A181" s="550"/>
      <c r="B181" s="550"/>
      <c r="C181" s="551"/>
      <c r="D181" s="64"/>
      <c r="E181" s="64"/>
      <c r="F181" s="64"/>
      <c r="G181" s="64"/>
      <c r="H181" s="505"/>
      <c r="I181" s="505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customFormat="false" ht="15.75" hidden="false" customHeight="true" outlineLevel="0" collapsed="false">
      <c r="A182" s="550"/>
      <c r="B182" s="550"/>
      <c r="C182" s="551"/>
      <c r="D182" s="64"/>
      <c r="E182" s="64"/>
      <c r="F182" s="64"/>
      <c r="G182" s="64"/>
      <c r="H182" s="505"/>
      <c r="I182" s="505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customFormat="false" ht="15.75" hidden="false" customHeight="true" outlineLevel="0" collapsed="false">
      <c r="A183" s="550"/>
      <c r="B183" s="550"/>
      <c r="C183" s="551"/>
      <c r="D183" s="64"/>
      <c r="E183" s="64"/>
      <c r="F183" s="64"/>
      <c r="G183" s="64"/>
      <c r="H183" s="505"/>
      <c r="I183" s="505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customFormat="false" ht="15.75" hidden="false" customHeight="true" outlineLevel="0" collapsed="false">
      <c r="A184" s="550"/>
      <c r="B184" s="550"/>
      <c r="C184" s="551"/>
      <c r="D184" s="64"/>
      <c r="E184" s="64"/>
      <c r="F184" s="64"/>
      <c r="G184" s="64"/>
      <c r="H184" s="505"/>
      <c r="I184" s="505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customFormat="false" ht="15.75" hidden="false" customHeight="true" outlineLevel="0" collapsed="false">
      <c r="A185" s="550"/>
      <c r="B185" s="550"/>
      <c r="C185" s="551"/>
      <c r="D185" s="64"/>
      <c r="E185" s="64"/>
      <c r="F185" s="64"/>
      <c r="G185" s="64"/>
      <c r="H185" s="505"/>
      <c r="I185" s="505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customFormat="false" ht="15.75" hidden="false" customHeight="true" outlineLevel="0" collapsed="false">
      <c r="A186" s="550"/>
      <c r="B186" s="550"/>
      <c r="C186" s="551"/>
      <c r="D186" s="64"/>
      <c r="E186" s="64"/>
      <c r="F186" s="64"/>
      <c r="G186" s="64"/>
      <c r="H186" s="505"/>
      <c r="I186" s="505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customFormat="false" ht="15.75" hidden="false" customHeight="true" outlineLevel="0" collapsed="false">
      <c r="A187" s="550"/>
      <c r="B187" s="550"/>
      <c r="C187" s="551"/>
      <c r="D187" s="64"/>
      <c r="E187" s="64"/>
      <c r="F187" s="64"/>
      <c r="G187" s="64"/>
      <c r="H187" s="505"/>
      <c r="I187" s="505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customFormat="false" ht="15.75" hidden="false" customHeight="true" outlineLevel="0" collapsed="false">
      <c r="A188" s="550"/>
      <c r="B188" s="550"/>
      <c r="C188" s="551"/>
      <c r="D188" s="64"/>
      <c r="E188" s="64"/>
      <c r="F188" s="64"/>
      <c r="G188" s="64"/>
      <c r="H188" s="505"/>
      <c r="I188" s="505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customFormat="false" ht="15.75" hidden="false" customHeight="true" outlineLevel="0" collapsed="false">
      <c r="A189" s="550"/>
      <c r="B189" s="550"/>
      <c r="C189" s="551"/>
      <c r="D189" s="64"/>
      <c r="E189" s="64"/>
      <c r="F189" s="64"/>
      <c r="G189" s="64"/>
      <c r="H189" s="505"/>
      <c r="I189" s="505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customFormat="false" ht="15.75" hidden="false" customHeight="true" outlineLevel="0" collapsed="false">
      <c r="A190" s="550"/>
      <c r="B190" s="550"/>
      <c r="C190" s="551"/>
      <c r="D190" s="64"/>
      <c r="E190" s="64"/>
      <c r="F190" s="64"/>
      <c r="G190" s="64"/>
      <c r="H190" s="505"/>
      <c r="I190" s="505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customFormat="false" ht="15.75" hidden="false" customHeight="true" outlineLevel="0" collapsed="false">
      <c r="A191" s="550"/>
      <c r="B191" s="550"/>
      <c r="C191" s="551"/>
      <c r="D191" s="64"/>
      <c r="E191" s="64"/>
      <c r="F191" s="64"/>
      <c r="G191" s="64"/>
      <c r="H191" s="505"/>
      <c r="I191" s="505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customFormat="false" ht="15.75" hidden="false" customHeight="true" outlineLevel="0" collapsed="false">
      <c r="A192" s="550"/>
      <c r="B192" s="550"/>
      <c r="C192" s="551"/>
      <c r="D192" s="64"/>
      <c r="E192" s="64"/>
      <c r="F192" s="64"/>
      <c r="G192" s="64"/>
      <c r="H192" s="505"/>
      <c r="I192" s="505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customFormat="false" ht="15.75" hidden="false" customHeight="true" outlineLevel="0" collapsed="false">
      <c r="A193" s="550"/>
      <c r="B193" s="550"/>
      <c r="C193" s="551"/>
      <c r="D193" s="64"/>
      <c r="E193" s="64"/>
      <c r="F193" s="64"/>
      <c r="G193" s="64"/>
      <c r="H193" s="505"/>
      <c r="I193" s="505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customFormat="false" ht="15.75" hidden="false" customHeight="true" outlineLevel="0" collapsed="false">
      <c r="A194" s="550"/>
      <c r="B194" s="550"/>
      <c r="C194" s="551"/>
      <c r="D194" s="64"/>
      <c r="E194" s="64"/>
      <c r="F194" s="64"/>
      <c r="G194" s="64"/>
      <c r="H194" s="505"/>
      <c r="I194" s="505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customFormat="false" ht="15.75" hidden="false" customHeight="true" outlineLevel="0" collapsed="false">
      <c r="A195" s="550"/>
      <c r="B195" s="550"/>
      <c r="C195" s="551"/>
      <c r="D195" s="64"/>
      <c r="E195" s="64"/>
      <c r="F195" s="64"/>
      <c r="G195" s="64"/>
      <c r="H195" s="505"/>
      <c r="I195" s="505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customFormat="false" ht="15.75" hidden="false" customHeight="true" outlineLevel="0" collapsed="false">
      <c r="A196" s="550"/>
      <c r="B196" s="550"/>
      <c r="C196" s="551"/>
      <c r="D196" s="64"/>
      <c r="E196" s="64"/>
      <c r="F196" s="64"/>
      <c r="G196" s="64"/>
      <c r="H196" s="505"/>
      <c r="I196" s="505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customFormat="false" ht="15.75" hidden="false" customHeight="true" outlineLevel="0" collapsed="false">
      <c r="A197" s="550"/>
      <c r="B197" s="550"/>
      <c r="C197" s="551"/>
      <c r="D197" s="64"/>
      <c r="E197" s="64"/>
      <c r="F197" s="64"/>
      <c r="G197" s="64"/>
      <c r="H197" s="505"/>
      <c r="I197" s="505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customFormat="false" ht="15.75" hidden="false" customHeight="true" outlineLevel="0" collapsed="false">
      <c r="A198" s="550"/>
      <c r="B198" s="550"/>
      <c r="C198" s="551"/>
      <c r="D198" s="64"/>
      <c r="E198" s="64"/>
      <c r="F198" s="64"/>
      <c r="G198" s="64"/>
      <c r="H198" s="505"/>
      <c r="I198" s="505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customFormat="false" ht="15.75" hidden="false" customHeight="true" outlineLevel="0" collapsed="false">
      <c r="A199" s="550"/>
      <c r="B199" s="550"/>
      <c r="C199" s="551"/>
      <c r="D199" s="64"/>
      <c r="E199" s="64"/>
      <c r="F199" s="64"/>
      <c r="G199" s="64"/>
      <c r="H199" s="505"/>
      <c r="I199" s="505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customFormat="false" ht="15.75" hidden="false" customHeight="true" outlineLevel="0" collapsed="false">
      <c r="A200" s="550"/>
      <c r="B200" s="550"/>
      <c r="C200" s="551"/>
      <c r="D200" s="64"/>
      <c r="E200" s="64"/>
      <c r="F200" s="64"/>
      <c r="G200" s="64"/>
      <c r="H200" s="505"/>
      <c r="I200" s="505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customFormat="false" ht="15.75" hidden="false" customHeight="true" outlineLevel="0" collapsed="false">
      <c r="A201" s="550"/>
      <c r="B201" s="550"/>
      <c r="C201" s="551"/>
      <c r="D201" s="64"/>
      <c r="E201" s="64"/>
      <c r="F201" s="64"/>
      <c r="G201" s="64"/>
      <c r="H201" s="505"/>
      <c r="I201" s="505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customFormat="false" ht="15.75" hidden="false" customHeight="true" outlineLevel="0" collapsed="false">
      <c r="A202" s="550"/>
      <c r="B202" s="550"/>
      <c r="C202" s="551"/>
      <c r="D202" s="64"/>
      <c r="E202" s="64"/>
      <c r="F202" s="64"/>
      <c r="G202" s="64"/>
      <c r="H202" s="505"/>
      <c r="I202" s="505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customFormat="false" ht="15.75" hidden="false" customHeight="true" outlineLevel="0" collapsed="false">
      <c r="A203" s="550"/>
      <c r="B203" s="550"/>
      <c r="C203" s="551"/>
      <c r="D203" s="64"/>
      <c r="E203" s="64"/>
      <c r="F203" s="64"/>
      <c r="G203" s="64"/>
      <c r="H203" s="505"/>
      <c r="I203" s="505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customFormat="false" ht="15.75" hidden="false" customHeight="true" outlineLevel="0" collapsed="false">
      <c r="A204" s="550"/>
      <c r="B204" s="550"/>
      <c r="C204" s="551"/>
      <c r="D204" s="64"/>
      <c r="E204" s="64"/>
      <c r="F204" s="64"/>
      <c r="G204" s="64"/>
      <c r="H204" s="505"/>
      <c r="I204" s="505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customFormat="false" ht="15.75" hidden="false" customHeight="true" outlineLevel="0" collapsed="false">
      <c r="A205" s="550"/>
      <c r="B205" s="550"/>
      <c r="C205" s="551"/>
      <c r="D205" s="64"/>
      <c r="E205" s="64"/>
      <c r="F205" s="64"/>
      <c r="G205" s="64"/>
      <c r="H205" s="505"/>
      <c r="I205" s="505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customFormat="false" ht="15.75" hidden="false" customHeight="true" outlineLevel="0" collapsed="false">
      <c r="A206" s="550"/>
      <c r="B206" s="550"/>
      <c r="C206" s="551"/>
      <c r="D206" s="64"/>
      <c r="E206" s="64"/>
      <c r="F206" s="64"/>
      <c r="G206" s="64"/>
      <c r="H206" s="505"/>
      <c r="I206" s="505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customFormat="false" ht="15.75" hidden="false" customHeight="true" outlineLevel="0" collapsed="false">
      <c r="A207" s="550"/>
      <c r="B207" s="550"/>
      <c r="C207" s="551"/>
      <c r="D207" s="64"/>
      <c r="E207" s="64"/>
      <c r="F207" s="64"/>
      <c r="G207" s="64"/>
      <c r="H207" s="505"/>
      <c r="I207" s="505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customFormat="false" ht="15.75" hidden="false" customHeight="true" outlineLevel="0" collapsed="false">
      <c r="A208" s="550"/>
      <c r="B208" s="550"/>
      <c r="C208" s="551"/>
      <c r="D208" s="64"/>
      <c r="E208" s="64"/>
      <c r="F208" s="64"/>
      <c r="G208" s="64"/>
      <c r="H208" s="505"/>
      <c r="I208" s="505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customFormat="false" ht="15.75" hidden="false" customHeight="true" outlineLevel="0" collapsed="false">
      <c r="A209" s="550"/>
      <c r="B209" s="550"/>
      <c r="C209" s="551"/>
      <c r="D209" s="64"/>
      <c r="E209" s="64"/>
      <c r="F209" s="64"/>
      <c r="G209" s="64"/>
      <c r="H209" s="505"/>
      <c r="I209" s="505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customFormat="false" ht="15.75" hidden="false" customHeight="true" outlineLevel="0" collapsed="false">
      <c r="A210" s="550"/>
      <c r="B210" s="550"/>
      <c r="C210" s="551"/>
      <c r="D210" s="64"/>
      <c r="E210" s="64"/>
      <c r="F210" s="64"/>
      <c r="G210" s="64"/>
      <c r="H210" s="505"/>
      <c r="I210" s="505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customFormat="false" ht="15.75" hidden="false" customHeight="true" outlineLevel="0" collapsed="false">
      <c r="A211" s="550"/>
      <c r="B211" s="550"/>
      <c r="C211" s="551"/>
      <c r="D211" s="64"/>
      <c r="E211" s="64"/>
      <c r="F211" s="64"/>
      <c r="G211" s="64"/>
      <c r="H211" s="505"/>
      <c r="I211" s="505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customFormat="false" ht="15.75" hidden="false" customHeight="true" outlineLevel="0" collapsed="false">
      <c r="A212" s="550"/>
      <c r="B212" s="550"/>
      <c r="C212" s="551"/>
      <c r="D212" s="64"/>
      <c r="E212" s="64"/>
      <c r="F212" s="64"/>
      <c r="G212" s="64"/>
      <c r="H212" s="505"/>
      <c r="I212" s="505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customFormat="false" ht="15.75" hidden="false" customHeight="true" outlineLevel="0" collapsed="false">
      <c r="A213" s="550"/>
      <c r="B213" s="550"/>
      <c r="C213" s="551"/>
      <c r="D213" s="64"/>
      <c r="E213" s="64"/>
      <c r="F213" s="64"/>
      <c r="G213" s="64"/>
      <c r="H213" s="505"/>
      <c r="I213" s="505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customFormat="false" ht="15.75" hidden="false" customHeight="true" outlineLevel="0" collapsed="false">
      <c r="A214" s="550"/>
      <c r="B214" s="550"/>
      <c r="C214" s="551"/>
      <c r="D214" s="64"/>
      <c r="E214" s="64"/>
      <c r="F214" s="64"/>
      <c r="G214" s="64"/>
      <c r="H214" s="505"/>
      <c r="I214" s="505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customFormat="false" ht="15.75" hidden="false" customHeight="true" outlineLevel="0" collapsed="false">
      <c r="A215" s="550"/>
      <c r="B215" s="550"/>
      <c r="C215" s="551"/>
      <c r="D215" s="64"/>
      <c r="E215" s="64"/>
      <c r="F215" s="64"/>
      <c r="G215" s="64"/>
      <c r="H215" s="505"/>
      <c r="I215" s="505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customFormat="false" ht="15.75" hidden="false" customHeight="true" outlineLevel="0" collapsed="false">
      <c r="A216" s="550"/>
      <c r="B216" s="550"/>
      <c r="C216" s="551"/>
      <c r="D216" s="64"/>
      <c r="E216" s="64"/>
      <c r="F216" s="64"/>
      <c r="G216" s="64"/>
      <c r="H216" s="505"/>
      <c r="I216" s="505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customFormat="false" ht="15.75" hidden="false" customHeight="true" outlineLevel="0" collapsed="false">
      <c r="A217" s="550"/>
      <c r="B217" s="550"/>
      <c r="C217" s="551"/>
      <c r="D217" s="64"/>
      <c r="E217" s="64"/>
      <c r="F217" s="64"/>
      <c r="G217" s="64"/>
      <c r="H217" s="505"/>
      <c r="I217" s="505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customFormat="false" ht="15.75" hidden="false" customHeight="true" outlineLevel="0" collapsed="false">
      <c r="A218" s="550"/>
      <c r="B218" s="550"/>
      <c r="C218" s="551"/>
      <c r="D218" s="64"/>
      <c r="E218" s="64"/>
      <c r="F218" s="64"/>
      <c r="G218" s="64"/>
      <c r="H218" s="505"/>
      <c r="I218" s="505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customFormat="false" ht="15.75" hidden="false" customHeight="true" outlineLevel="0" collapsed="false">
      <c r="A219" s="550"/>
      <c r="B219" s="550"/>
      <c r="C219" s="551"/>
      <c r="D219" s="64"/>
      <c r="E219" s="64"/>
      <c r="F219" s="64"/>
      <c r="G219" s="64"/>
      <c r="H219" s="505"/>
      <c r="I219" s="505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customFormat="false" ht="15.75" hidden="false" customHeight="true" outlineLevel="0" collapsed="false">
      <c r="A220" s="550"/>
      <c r="B220" s="550"/>
      <c r="C220" s="551"/>
      <c r="D220" s="64"/>
      <c r="E220" s="64"/>
      <c r="F220" s="64"/>
      <c r="G220" s="64"/>
      <c r="H220" s="505"/>
      <c r="I220" s="505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customFormat="false" ht="15.75" hidden="false" customHeight="true" outlineLevel="0" collapsed="false">
      <c r="A221" s="550"/>
      <c r="B221" s="550"/>
      <c r="C221" s="551"/>
      <c r="D221" s="64"/>
      <c r="E221" s="64"/>
      <c r="F221" s="64"/>
      <c r="G221" s="64"/>
      <c r="H221" s="505"/>
      <c r="I221" s="505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customFormat="false" ht="15.75" hidden="false" customHeight="true" outlineLevel="0" collapsed="false">
      <c r="A222" s="550"/>
      <c r="B222" s="550"/>
      <c r="C222" s="551"/>
      <c r="D222" s="64"/>
      <c r="E222" s="64"/>
      <c r="F222" s="64"/>
      <c r="G222" s="64"/>
      <c r="H222" s="505"/>
      <c r="I222" s="505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customFormat="false" ht="15.75" hidden="false" customHeight="true" outlineLevel="0" collapsed="false">
      <c r="A223" s="550"/>
      <c r="B223" s="550"/>
      <c r="C223" s="551"/>
      <c r="D223" s="64"/>
      <c r="E223" s="64"/>
      <c r="F223" s="64"/>
      <c r="G223" s="64"/>
      <c r="H223" s="505"/>
      <c r="I223" s="505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customFormat="false" ht="15.75" hidden="false" customHeight="true" outlineLevel="0" collapsed="false">
      <c r="A224" s="550"/>
      <c r="B224" s="550"/>
      <c r="C224" s="551"/>
      <c r="D224" s="64"/>
      <c r="E224" s="64"/>
      <c r="F224" s="64"/>
      <c r="G224" s="64"/>
      <c r="H224" s="505"/>
      <c r="I224" s="505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customFormat="false" ht="15.75" hidden="false" customHeight="true" outlineLevel="0" collapsed="false">
      <c r="A225" s="550"/>
      <c r="B225" s="550"/>
      <c r="C225" s="551"/>
      <c r="D225" s="64"/>
      <c r="E225" s="64"/>
      <c r="F225" s="64"/>
      <c r="G225" s="64"/>
      <c r="H225" s="505"/>
      <c r="I225" s="505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customFormat="false" ht="15.75" hidden="false" customHeight="true" outlineLevel="0" collapsed="false">
      <c r="A226" s="550"/>
      <c r="B226" s="550"/>
      <c r="C226" s="551"/>
      <c r="D226" s="64"/>
      <c r="E226" s="64"/>
      <c r="F226" s="64"/>
      <c r="G226" s="64"/>
      <c r="H226" s="505"/>
      <c r="I226" s="505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customFormat="false" ht="15.75" hidden="false" customHeight="true" outlineLevel="0" collapsed="false">
      <c r="A227" s="550"/>
      <c r="B227" s="550"/>
      <c r="C227" s="551"/>
      <c r="D227" s="64"/>
      <c r="E227" s="64"/>
      <c r="F227" s="64"/>
      <c r="G227" s="64"/>
      <c r="H227" s="505"/>
      <c r="I227" s="505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customFormat="false" ht="15.75" hidden="false" customHeight="true" outlineLevel="0" collapsed="false">
      <c r="A228" s="550"/>
      <c r="B228" s="550"/>
      <c r="C228" s="551"/>
      <c r="D228" s="64"/>
      <c r="E228" s="64"/>
      <c r="F228" s="64"/>
      <c r="G228" s="64"/>
      <c r="H228" s="505"/>
      <c r="I228" s="505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customFormat="false" ht="15.75" hidden="false" customHeight="true" outlineLevel="0" collapsed="false">
      <c r="A229" s="550"/>
      <c r="B229" s="550"/>
      <c r="C229" s="551"/>
      <c r="D229" s="64"/>
      <c r="E229" s="64"/>
      <c r="F229" s="64"/>
      <c r="G229" s="64"/>
      <c r="H229" s="505"/>
      <c r="I229" s="505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customFormat="false" ht="15.75" hidden="false" customHeight="true" outlineLevel="0" collapsed="false">
      <c r="A230" s="550"/>
      <c r="B230" s="550"/>
      <c r="C230" s="551"/>
      <c r="D230" s="64"/>
      <c r="E230" s="64"/>
      <c r="F230" s="64"/>
      <c r="G230" s="64"/>
      <c r="H230" s="505"/>
      <c r="I230" s="505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customFormat="false" ht="15.75" hidden="false" customHeight="true" outlineLevel="0" collapsed="false">
      <c r="A231" s="550"/>
      <c r="B231" s="550"/>
      <c r="C231" s="551"/>
      <c r="D231" s="64"/>
      <c r="E231" s="64"/>
      <c r="F231" s="64"/>
      <c r="G231" s="64"/>
      <c r="H231" s="505"/>
      <c r="I231" s="505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customFormat="false" ht="15.75" hidden="false" customHeight="true" outlineLevel="0" collapsed="false">
      <c r="A232" s="550"/>
      <c r="B232" s="550"/>
      <c r="C232" s="551"/>
      <c r="D232" s="64"/>
      <c r="E232" s="64"/>
      <c r="F232" s="64"/>
      <c r="G232" s="64"/>
      <c r="H232" s="505"/>
      <c r="I232" s="505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customFormat="false" ht="15.75" hidden="false" customHeight="true" outlineLevel="0" collapsed="false">
      <c r="A233" s="550"/>
      <c r="B233" s="550"/>
      <c r="C233" s="551"/>
      <c r="D233" s="64"/>
      <c r="E233" s="64"/>
      <c r="F233" s="64"/>
      <c r="G233" s="64"/>
      <c r="H233" s="505"/>
      <c r="I233" s="505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customFormat="false" ht="15.75" hidden="false" customHeight="true" outlineLevel="0" collapsed="false">
      <c r="A234" s="550"/>
      <c r="B234" s="550"/>
      <c r="C234" s="551"/>
      <c r="D234" s="64"/>
      <c r="E234" s="64"/>
      <c r="F234" s="64"/>
      <c r="G234" s="64"/>
      <c r="H234" s="505"/>
      <c r="I234" s="505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customFormat="false" ht="15.75" hidden="false" customHeight="true" outlineLevel="0" collapsed="false">
      <c r="A235" s="550"/>
      <c r="B235" s="550"/>
      <c r="C235" s="551"/>
      <c r="D235" s="64"/>
      <c r="E235" s="64"/>
      <c r="F235" s="64"/>
      <c r="G235" s="64"/>
      <c r="H235" s="505"/>
      <c r="I235" s="505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customFormat="false" ht="15.75" hidden="false" customHeight="true" outlineLevel="0" collapsed="false">
      <c r="A236" s="550"/>
      <c r="B236" s="550"/>
      <c r="C236" s="551"/>
      <c r="D236" s="64"/>
      <c r="E236" s="64"/>
      <c r="F236" s="64"/>
      <c r="G236" s="64"/>
      <c r="H236" s="505"/>
      <c r="I236" s="505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customFormat="false" ht="15.75" hidden="false" customHeight="true" outlineLevel="0" collapsed="false">
      <c r="A237" s="550"/>
      <c r="B237" s="550"/>
      <c r="C237" s="551"/>
      <c r="D237" s="64"/>
      <c r="E237" s="64"/>
      <c r="F237" s="64"/>
      <c r="G237" s="64"/>
      <c r="H237" s="505"/>
      <c r="I237" s="505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customFormat="false" ht="15.75" hidden="false" customHeight="true" outlineLevel="0" collapsed="false">
      <c r="A238" s="550"/>
      <c r="B238" s="550"/>
      <c r="C238" s="551"/>
      <c r="D238" s="64"/>
      <c r="E238" s="64"/>
      <c r="F238" s="64"/>
      <c r="G238" s="64"/>
      <c r="H238" s="505"/>
      <c r="I238" s="505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customFormat="false" ht="15.75" hidden="false" customHeight="true" outlineLevel="0" collapsed="false">
      <c r="A239" s="550"/>
      <c r="B239" s="550"/>
      <c r="C239" s="551"/>
      <c r="D239" s="64"/>
      <c r="E239" s="64"/>
      <c r="F239" s="64"/>
      <c r="G239" s="64"/>
      <c r="H239" s="505"/>
      <c r="I239" s="505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customFormat="false" ht="15.75" hidden="false" customHeight="true" outlineLevel="0" collapsed="false">
      <c r="A240" s="550"/>
      <c r="B240" s="550"/>
      <c r="C240" s="551"/>
      <c r="D240" s="64"/>
      <c r="E240" s="64"/>
      <c r="F240" s="64"/>
      <c r="G240" s="64"/>
      <c r="H240" s="505"/>
      <c r="I240" s="505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customFormat="false" ht="15.75" hidden="false" customHeight="true" outlineLevel="0" collapsed="false">
      <c r="A241" s="550"/>
      <c r="B241" s="550"/>
      <c r="C241" s="551"/>
      <c r="D241" s="64"/>
      <c r="E241" s="64"/>
      <c r="F241" s="64"/>
      <c r="G241" s="64"/>
      <c r="H241" s="505"/>
      <c r="I241" s="505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customFormat="false" ht="15.75" hidden="false" customHeight="true" outlineLevel="0" collapsed="false">
      <c r="A242" s="550"/>
      <c r="B242" s="550"/>
      <c r="C242" s="551"/>
      <c r="D242" s="64"/>
      <c r="E242" s="64"/>
      <c r="F242" s="64"/>
      <c r="G242" s="64"/>
      <c r="H242" s="505"/>
      <c r="I242" s="505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customFormat="false" ht="15.75" hidden="false" customHeight="true" outlineLevel="0" collapsed="false">
      <c r="A243" s="550"/>
      <c r="B243" s="550"/>
      <c r="C243" s="551"/>
      <c r="D243" s="64"/>
      <c r="E243" s="64"/>
      <c r="F243" s="64"/>
      <c r="G243" s="64"/>
      <c r="H243" s="505"/>
      <c r="I243" s="505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customFormat="false" ht="15.75" hidden="false" customHeight="true" outlineLevel="0" collapsed="false">
      <c r="A244" s="550"/>
      <c r="B244" s="550"/>
      <c r="C244" s="551"/>
      <c r="D244" s="64"/>
      <c r="E244" s="64"/>
      <c r="F244" s="64"/>
      <c r="G244" s="64"/>
      <c r="H244" s="505"/>
      <c r="I244" s="505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customFormat="false" ht="15.75" hidden="false" customHeight="true" outlineLevel="0" collapsed="false">
      <c r="A245" s="550"/>
      <c r="B245" s="550"/>
      <c r="C245" s="551"/>
      <c r="D245" s="64"/>
      <c r="E245" s="64"/>
      <c r="F245" s="64"/>
      <c r="G245" s="64"/>
      <c r="H245" s="505"/>
      <c r="I245" s="505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customFormat="false" ht="15.75" hidden="false" customHeight="true" outlineLevel="0" collapsed="false">
      <c r="A246" s="550"/>
      <c r="B246" s="550"/>
      <c r="C246" s="551"/>
      <c r="D246" s="64"/>
      <c r="E246" s="64"/>
      <c r="F246" s="64"/>
      <c r="G246" s="64"/>
      <c r="H246" s="505"/>
      <c r="I246" s="505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customFormat="false" ht="15.75" hidden="false" customHeight="true" outlineLevel="0" collapsed="false">
      <c r="A247" s="550"/>
      <c r="B247" s="550"/>
      <c r="C247" s="551"/>
      <c r="D247" s="64"/>
      <c r="E247" s="64"/>
      <c r="F247" s="64"/>
      <c r="G247" s="64"/>
      <c r="H247" s="505"/>
      <c r="I247" s="505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customFormat="false" ht="15.75" hidden="false" customHeight="true" outlineLevel="0" collapsed="false">
      <c r="A248" s="550"/>
      <c r="B248" s="550"/>
      <c r="C248" s="551"/>
      <c r="D248" s="64"/>
      <c r="E248" s="64"/>
      <c r="F248" s="64"/>
      <c r="G248" s="64"/>
      <c r="H248" s="505"/>
      <c r="I248" s="505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customFormat="false" ht="15.75" hidden="false" customHeight="true" outlineLevel="0" collapsed="false">
      <c r="A249" s="550"/>
      <c r="B249" s="550"/>
      <c r="C249" s="551"/>
      <c r="D249" s="64"/>
      <c r="E249" s="64"/>
      <c r="F249" s="64"/>
      <c r="G249" s="64"/>
      <c r="H249" s="505"/>
      <c r="I249" s="505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customFormat="false" ht="15.75" hidden="false" customHeight="true" outlineLevel="0" collapsed="false">
      <c r="A250" s="550"/>
      <c r="B250" s="550"/>
      <c r="C250" s="551"/>
      <c r="D250" s="64"/>
      <c r="E250" s="64"/>
      <c r="F250" s="64"/>
      <c r="G250" s="64"/>
      <c r="H250" s="505"/>
      <c r="I250" s="505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customFormat="false" ht="15.75" hidden="false" customHeight="true" outlineLevel="0" collapsed="false">
      <c r="A251" s="550"/>
      <c r="B251" s="550"/>
      <c r="C251" s="551"/>
      <c r="D251" s="64"/>
      <c r="E251" s="64"/>
      <c r="F251" s="64"/>
      <c r="G251" s="64"/>
      <c r="H251" s="505"/>
      <c r="I251" s="505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customFormat="false" ht="15.75" hidden="false" customHeight="true" outlineLevel="0" collapsed="false">
      <c r="A252" s="550"/>
      <c r="B252" s="550"/>
      <c r="C252" s="551"/>
      <c r="D252" s="64"/>
      <c r="E252" s="64"/>
      <c r="F252" s="64"/>
      <c r="G252" s="64"/>
      <c r="H252" s="505"/>
      <c r="I252" s="505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customFormat="false" ht="15.75" hidden="false" customHeight="true" outlineLevel="0" collapsed="false">
      <c r="A253" s="550"/>
      <c r="B253" s="550"/>
      <c r="C253" s="551"/>
      <c r="D253" s="64"/>
      <c r="E253" s="64"/>
      <c r="F253" s="64"/>
      <c r="G253" s="64"/>
      <c r="H253" s="505"/>
      <c r="I253" s="505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customFormat="false" ht="15.75" hidden="false" customHeight="true" outlineLevel="0" collapsed="false">
      <c r="A254" s="550"/>
      <c r="B254" s="550"/>
      <c r="C254" s="551"/>
      <c r="D254" s="64"/>
      <c r="E254" s="64"/>
      <c r="F254" s="64"/>
      <c r="G254" s="64"/>
      <c r="H254" s="505"/>
      <c r="I254" s="505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customFormat="false" ht="15.75" hidden="false" customHeight="true" outlineLevel="0" collapsed="false">
      <c r="A255" s="550"/>
      <c r="B255" s="550"/>
      <c r="C255" s="551"/>
      <c r="D255" s="64"/>
      <c r="E255" s="64"/>
      <c r="F255" s="64"/>
      <c r="G255" s="64"/>
      <c r="H255" s="505"/>
      <c r="I255" s="505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customFormat="false" ht="15.75" hidden="false" customHeight="true" outlineLevel="0" collapsed="false">
      <c r="A256" s="550"/>
      <c r="B256" s="550"/>
      <c r="C256" s="551"/>
      <c r="D256" s="64"/>
      <c r="E256" s="64"/>
      <c r="F256" s="64"/>
      <c r="G256" s="64"/>
      <c r="H256" s="505"/>
      <c r="I256" s="505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customFormat="false" ht="15.75" hidden="false" customHeight="true" outlineLevel="0" collapsed="false">
      <c r="A257" s="550"/>
      <c r="B257" s="550"/>
      <c r="C257" s="551"/>
      <c r="D257" s="64"/>
      <c r="E257" s="64"/>
      <c r="F257" s="64"/>
      <c r="G257" s="64"/>
      <c r="H257" s="505"/>
      <c r="I257" s="505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customFormat="false" ht="15.75" hidden="false" customHeight="true" outlineLevel="0" collapsed="false">
      <c r="A258" s="550"/>
      <c r="B258" s="550"/>
      <c r="C258" s="551"/>
      <c r="D258" s="64"/>
      <c r="E258" s="64"/>
      <c r="F258" s="64"/>
      <c r="G258" s="64"/>
      <c r="H258" s="505"/>
      <c r="I258" s="505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customFormat="false" ht="15.75" hidden="false" customHeight="true" outlineLevel="0" collapsed="false">
      <c r="A259" s="550"/>
      <c r="B259" s="550"/>
      <c r="C259" s="551"/>
      <c r="D259" s="64"/>
      <c r="E259" s="64"/>
      <c r="F259" s="64"/>
      <c r="G259" s="64"/>
      <c r="H259" s="505"/>
      <c r="I259" s="505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customFormat="false" ht="15.75" hidden="false" customHeight="true" outlineLevel="0" collapsed="false">
      <c r="A260" s="550"/>
      <c r="B260" s="550"/>
      <c r="C260" s="551"/>
      <c r="D260" s="64"/>
      <c r="E260" s="64"/>
      <c r="F260" s="64"/>
      <c r="G260" s="64"/>
      <c r="H260" s="505"/>
      <c r="I260" s="505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customFormat="false" ht="15.75" hidden="false" customHeight="true" outlineLevel="0" collapsed="false">
      <c r="A261" s="550"/>
      <c r="B261" s="550"/>
      <c r="C261" s="551"/>
      <c r="D261" s="64"/>
      <c r="E261" s="64"/>
      <c r="F261" s="64"/>
      <c r="G261" s="64"/>
      <c r="H261" s="505"/>
      <c r="I261" s="505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customFormat="false" ht="15.75" hidden="false" customHeight="true" outlineLevel="0" collapsed="false">
      <c r="A262" s="550"/>
      <c r="B262" s="550"/>
      <c r="C262" s="551"/>
      <c r="D262" s="64"/>
      <c r="E262" s="64"/>
      <c r="F262" s="64"/>
      <c r="G262" s="64"/>
      <c r="H262" s="505"/>
      <c r="I262" s="505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customFormat="false" ht="15.75" hidden="false" customHeight="true" outlineLevel="0" collapsed="false">
      <c r="A263" s="550"/>
      <c r="B263" s="550"/>
      <c r="C263" s="551"/>
      <c r="D263" s="64"/>
      <c r="E263" s="64"/>
      <c r="F263" s="64"/>
      <c r="G263" s="64"/>
      <c r="H263" s="505"/>
      <c r="I263" s="505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customFormat="false" ht="15.75" hidden="false" customHeight="true" outlineLevel="0" collapsed="false">
      <c r="A264" s="550"/>
      <c r="B264" s="550"/>
      <c r="C264" s="551"/>
      <c r="D264" s="64"/>
      <c r="E264" s="64"/>
      <c r="F264" s="64"/>
      <c r="G264" s="64"/>
      <c r="H264" s="505"/>
      <c r="I264" s="505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customFormat="false" ht="15.75" hidden="false" customHeight="true" outlineLevel="0" collapsed="false">
      <c r="A265" s="550"/>
      <c r="B265" s="550"/>
      <c r="C265" s="551"/>
      <c r="D265" s="64"/>
      <c r="E265" s="64"/>
      <c r="F265" s="64"/>
      <c r="G265" s="64"/>
      <c r="H265" s="505"/>
      <c r="I265" s="505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customFormat="false" ht="15.75" hidden="false" customHeight="true" outlineLevel="0" collapsed="false">
      <c r="A266" s="550"/>
      <c r="B266" s="550"/>
      <c r="C266" s="551"/>
      <c r="D266" s="64"/>
      <c r="E266" s="64"/>
      <c r="F266" s="64"/>
      <c r="G266" s="64"/>
      <c r="H266" s="505"/>
      <c r="I266" s="505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customFormat="false" ht="15.75" hidden="false" customHeight="true" outlineLevel="0" collapsed="false">
      <c r="A267" s="550"/>
      <c r="B267" s="550"/>
      <c r="C267" s="551"/>
      <c r="D267" s="64"/>
      <c r="E267" s="64"/>
      <c r="F267" s="64"/>
      <c r="G267" s="64"/>
      <c r="H267" s="505"/>
      <c r="I267" s="505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customFormat="false" ht="15.75" hidden="false" customHeight="true" outlineLevel="0" collapsed="false">
      <c r="A268" s="550"/>
      <c r="B268" s="550"/>
      <c r="C268" s="551"/>
      <c r="D268" s="64"/>
      <c r="E268" s="64"/>
      <c r="F268" s="64"/>
      <c r="G268" s="64"/>
      <c r="H268" s="505"/>
      <c r="I268" s="505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customFormat="false" ht="15.75" hidden="false" customHeight="true" outlineLevel="0" collapsed="false">
      <c r="A269" s="550"/>
      <c r="B269" s="550"/>
      <c r="C269" s="551"/>
      <c r="D269" s="64"/>
      <c r="E269" s="64"/>
      <c r="F269" s="64"/>
      <c r="G269" s="64"/>
      <c r="H269" s="505"/>
      <c r="I269" s="505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customFormat="false" ht="15.75" hidden="false" customHeight="true" outlineLevel="0" collapsed="false">
      <c r="A270" s="550"/>
      <c r="B270" s="550"/>
      <c r="C270" s="551"/>
      <c r="D270" s="64"/>
      <c r="E270" s="64"/>
      <c r="F270" s="64"/>
      <c r="G270" s="64"/>
      <c r="H270" s="505"/>
      <c r="I270" s="505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customFormat="false" ht="15.75" hidden="false" customHeight="true" outlineLevel="0" collapsed="false">
      <c r="A271" s="550"/>
      <c r="B271" s="550"/>
      <c r="C271" s="551"/>
      <c r="D271" s="64"/>
      <c r="E271" s="64"/>
      <c r="F271" s="64"/>
      <c r="G271" s="64"/>
      <c r="H271" s="505"/>
      <c r="I271" s="505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customFormat="false" ht="15.75" hidden="false" customHeight="true" outlineLevel="0" collapsed="false">
      <c r="A272" s="550"/>
      <c r="B272" s="550"/>
      <c r="C272" s="551"/>
      <c r="D272" s="64"/>
      <c r="E272" s="64"/>
      <c r="F272" s="64"/>
      <c r="G272" s="64"/>
      <c r="H272" s="505"/>
      <c r="I272" s="505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customFormat="false" ht="15.75" hidden="false" customHeight="true" outlineLevel="0" collapsed="false">
      <c r="A273" s="550"/>
      <c r="B273" s="550"/>
      <c r="C273" s="551"/>
      <c r="D273" s="64"/>
      <c r="E273" s="64"/>
      <c r="F273" s="64"/>
      <c r="G273" s="64"/>
      <c r="H273" s="505"/>
      <c r="I273" s="505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customFormat="false" ht="15.75" hidden="false" customHeight="true" outlineLevel="0" collapsed="false">
      <c r="A274" s="550"/>
      <c r="B274" s="550"/>
      <c r="C274" s="551"/>
      <c r="D274" s="64"/>
      <c r="E274" s="64"/>
      <c r="F274" s="64"/>
      <c r="G274" s="64"/>
      <c r="H274" s="505"/>
      <c r="I274" s="505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customFormat="false" ht="15.75" hidden="false" customHeight="true" outlineLevel="0" collapsed="false">
      <c r="A275" s="550"/>
      <c r="B275" s="550"/>
      <c r="C275" s="551"/>
      <c r="D275" s="64"/>
      <c r="E275" s="64"/>
      <c r="F275" s="64"/>
      <c r="G275" s="64"/>
      <c r="H275" s="505"/>
      <c r="I275" s="505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customFormat="false" ht="15.75" hidden="false" customHeight="true" outlineLevel="0" collapsed="false">
      <c r="A276" s="550"/>
      <c r="B276" s="550"/>
      <c r="C276" s="551"/>
      <c r="D276" s="64"/>
      <c r="E276" s="64"/>
      <c r="F276" s="64"/>
      <c r="G276" s="64"/>
      <c r="H276" s="505"/>
      <c r="I276" s="505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customFormat="false" ht="15.75" hidden="false" customHeight="true" outlineLevel="0" collapsed="false">
      <c r="A277" s="550"/>
      <c r="B277" s="550"/>
      <c r="C277" s="551"/>
      <c r="D277" s="64"/>
      <c r="E277" s="64"/>
      <c r="F277" s="64"/>
      <c r="G277" s="64"/>
      <c r="H277" s="505"/>
      <c r="I277" s="505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customFormat="false" ht="15.75" hidden="false" customHeight="true" outlineLevel="0" collapsed="false">
      <c r="A278" s="550"/>
      <c r="B278" s="550"/>
      <c r="C278" s="551"/>
      <c r="D278" s="64"/>
      <c r="E278" s="64"/>
      <c r="F278" s="64"/>
      <c r="G278" s="64"/>
      <c r="H278" s="505"/>
      <c r="I278" s="505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customFormat="false" ht="15.75" hidden="false" customHeight="true" outlineLevel="0" collapsed="false">
      <c r="A279" s="550"/>
      <c r="B279" s="550"/>
      <c r="C279" s="551"/>
      <c r="D279" s="64"/>
      <c r="E279" s="64"/>
      <c r="F279" s="64"/>
      <c r="G279" s="64"/>
      <c r="H279" s="505"/>
      <c r="I279" s="505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customFormat="false" ht="15.75" hidden="false" customHeight="true" outlineLevel="0" collapsed="false">
      <c r="A280" s="550"/>
      <c r="B280" s="550"/>
      <c r="C280" s="551"/>
      <c r="D280" s="64"/>
      <c r="E280" s="64"/>
      <c r="F280" s="64"/>
      <c r="G280" s="64"/>
      <c r="H280" s="505"/>
      <c r="I280" s="505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customFormat="false" ht="15.75" hidden="false" customHeight="true" outlineLevel="0" collapsed="false">
      <c r="A281" s="550"/>
      <c r="B281" s="550"/>
      <c r="C281" s="551"/>
      <c r="D281" s="64"/>
      <c r="E281" s="64"/>
      <c r="F281" s="64"/>
      <c r="G281" s="64"/>
      <c r="H281" s="505"/>
      <c r="I281" s="505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customFormat="false" ht="15.75" hidden="false" customHeight="true" outlineLevel="0" collapsed="false">
      <c r="A282" s="550"/>
      <c r="B282" s="550"/>
      <c r="C282" s="551"/>
      <c r="D282" s="64"/>
      <c r="E282" s="64"/>
      <c r="F282" s="64"/>
      <c r="G282" s="64"/>
      <c r="H282" s="505"/>
      <c r="I282" s="505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customFormat="false" ht="15.75" hidden="false" customHeight="true" outlineLevel="0" collapsed="false">
      <c r="A283" s="550"/>
      <c r="B283" s="550"/>
      <c r="C283" s="551"/>
      <c r="D283" s="64"/>
      <c r="E283" s="64"/>
      <c r="F283" s="64"/>
      <c r="G283" s="64"/>
      <c r="H283" s="505"/>
      <c r="I283" s="505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customFormat="false" ht="15.75" hidden="false" customHeight="true" outlineLevel="0" collapsed="false">
      <c r="A284" s="550"/>
      <c r="B284" s="550"/>
      <c r="C284" s="551"/>
      <c r="D284" s="64"/>
      <c r="E284" s="64"/>
      <c r="F284" s="64"/>
      <c r="G284" s="64"/>
      <c r="H284" s="505"/>
      <c r="I284" s="505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customFormat="false" ht="15.75" hidden="false" customHeight="true" outlineLevel="0" collapsed="false">
      <c r="A285" s="550"/>
      <c r="B285" s="550"/>
      <c r="C285" s="551"/>
      <c r="D285" s="64"/>
      <c r="E285" s="64"/>
      <c r="F285" s="64"/>
      <c r="G285" s="64"/>
      <c r="H285" s="505"/>
      <c r="I285" s="505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customFormat="false" ht="15.75" hidden="false" customHeight="true" outlineLevel="0" collapsed="false">
      <c r="A286" s="550"/>
      <c r="B286" s="550"/>
      <c r="C286" s="551"/>
      <c r="D286" s="64"/>
      <c r="E286" s="64"/>
      <c r="F286" s="64"/>
      <c r="G286" s="64"/>
      <c r="H286" s="505"/>
      <c r="I286" s="505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customFormat="false" ht="15.75" hidden="false" customHeight="true" outlineLevel="0" collapsed="false">
      <c r="A287" s="550"/>
      <c r="B287" s="550"/>
      <c r="C287" s="551"/>
      <c r="D287" s="64"/>
      <c r="E287" s="64"/>
      <c r="F287" s="64"/>
      <c r="G287" s="64"/>
      <c r="H287" s="505"/>
      <c r="I287" s="505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customFormat="false" ht="15.75" hidden="false" customHeight="true" outlineLevel="0" collapsed="false">
      <c r="A288" s="550"/>
      <c r="B288" s="550"/>
      <c r="C288" s="551"/>
      <c r="D288" s="64"/>
      <c r="E288" s="64"/>
      <c r="F288" s="64"/>
      <c r="G288" s="64"/>
      <c r="H288" s="505"/>
      <c r="I288" s="505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customFormat="false" ht="15.75" hidden="false" customHeight="true" outlineLevel="0" collapsed="false">
      <c r="A289" s="550"/>
      <c r="B289" s="550"/>
      <c r="C289" s="551"/>
      <c r="D289" s="64"/>
      <c r="E289" s="64"/>
      <c r="F289" s="64"/>
      <c r="G289" s="64"/>
      <c r="H289" s="505"/>
      <c r="I289" s="505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customFormat="false" ht="15.75" hidden="false" customHeight="true" outlineLevel="0" collapsed="false">
      <c r="A290" s="550"/>
      <c r="B290" s="550"/>
      <c r="C290" s="551"/>
      <c r="D290" s="64"/>
      <c r="E290" s="64"/>
      <c r="F290" s="64"/>
      <c r="G290" s="64"/>
      <c r="H290" s="505"/>
      <c r="I290" s="505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customFormat="false" ht="15.75" hidden="false" customHeight="true" outlineLevel="0" collapsed="false">
      <c r="A291" s="550"/>
      <c r="B291" s="550"/>
      <c r="C291" s="551"/>
      <c r="D291" s="64"/>
      <c r="E291" s="64"/>
      <c r="F291" s="64"/>
      <c r="G291" s="64"/>
      <c r="H291" s="505"/>
      <c r="I291" s="505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customFormat="false" ht="15.75" hidden="false" customHeight="true" outlineLevel="0" collapsed="false">
      <c r="A292" s="550"/>
      <c r="B292" s="550"/>
      <c r="C292" s="551"/>
      <c r="D292" s="64"/>
      <c r="E292" s="64"/>
      <c r="F292" s="64"/>
      <c r="G292" s="64"/>
      <c r="H292" s="505"/>
      <c r="I292" s="505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customFormat="false" ht="15.75" hidden="false" customHeight="true" outlineLevel="0" collapsed="false">
      <c r="A293" s="550"/>
      <c r="B293" s="550"/>
      <c r="C293" s="551"/>
      <c r="D293" s="64"/>
      <c r="E293" s="64"/>
      <c r="F293" s="64"/>
      <c r="G293" s="64"/>
      <c r="H293" s="505"/>
      <c r="I293" s="505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customFormat="false" ht="15.75" hidden="false" customHeight="true" outlineLevel="0" collapsed="false">
      <c r="A294" s="550"/>
      <c r="B294" s="550"/>
      <c r="C294" s="551"/>
      <c r="D294" s="64"/>
      <c r="E294" s="64"/>
      <c r="F294" s="64"/>
      <c r="G294" s="64"/>
      <c r="H294" s="505"/>
      <c r="I294" s="505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customFormat="false" ht="15.75" hidden="false" customHeight="true" outlineLevel="0" collapsed="false">
      <c r="A295" s="550"/>
      <c r="B295" s="550"/>
      <c r="C295" s="551"/>
      <c r="D295" s="64"/>
      <c r="E295" s="64"/>
      <c r="F295" s="64"/>
      <c r="G295" s="64"/>
      <c r="H295" s="505"/>
      <c r="I295" s="505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customFormat="false" ht="15.75" hidden="false" customHeight="true" outlineLevel="0" collapsed="false">
      <c r="A296" s="550"/>
      <c r="B296" s="550"/>
      <c r="C296" s="551"/>
      <c r="D296" s="64"/>
      <c r="E296" s="64"/>
      <c r="F296" s="64"/>
      <c r="G296" s="64"/>
      <c r="H296" s="505"/>
      <c r="I296" s="505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customFormat="false" ht="15.75" hidden="false" customHeight="true" outlineLevel="0" collapsed="false">
      <c r="A297" s="550"/>
      <c r="B297" s="550"/>
      <c r="C297" s="551"/>
      <c r="D297" s="64"/>
      <c r="E297" s="64"/>
      <c r="F297" s="64"/>
      <c r="G297" s="64"/>
      <c r="H297" s="505"/>
      <c r="I297" s="505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customFormat="false" ht="15.75" hidden="false" customHeight="true" outlineLevel="0" collapsed="false">
      <c r="A298" s="550"/>
      <c r="B298" s="550"/>
      <c r="C298" s="551"/>
      <c r="D298" s="64"/>
      <c r="E298" s="64"/>
      <c r="F298" s="64"/>
      <c r="G298" s="64"/>
      <c r="H298" s="505"/>
      <c r="I298" s="505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customFormat="false" ht="15.75" hidden="false" customHeight="true" outlineLevel="0" collapsed="false">
      <c r="A299" s="550"/>
      <c r="B299" s="550"/>
      <c r="C299" s="551"/>
      <c r="D299" s="64"/>
      <c r="E299" s="64"/>
      <c r="F299" s="64"/>
      <c r="G299" s="64"/>
      <c r="H299" s="505"/>
      <c r="I299" s="505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customFormat="false" ht="15.75" hidden="false" customHeight="true" outlineLevel="0" collapsed="false">
      <c r="A300" s="550"/>
      <c r="B300" s="550"/>
      <c r="C300" s="551"/>
      <c r="D300" s="64"/>
      <c r="E300" s="64"/>
      <c r="F300" s="64"/>
      <c r="G300" s="64"/>
      <c r="H300" s="505"/>
      <c r="I300" s="505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customFormat="false" ht="15.75" hidden="false" customHeight="true" outlineLevel="0" collapsed="false">
      <c r="A301" s="550"/>
      <c r="B301" s="550"/>
      <c r="C301" s="551"/>
      <c r="D301" s="64"/>
      <c r="E301" s="64"/>
      <c r="F301" s="64"/>
      <c r="G301" s="64"/>
      <c r="H301" s="505"/>
      <c r="I301" s="505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customFormat="false" ht="15.75" hidden="false" customHeight="true" outlineLevel="0" collapsed="false">
      <c r="A302" s="550"/>
      <c r="B302" s="550"/>
      <c r="C302" s="551"/>
      <c r="D302" s="64"/>
      <c r="E302" s="64"/>
      <c r="F302" s="64"/>
      <c r="G302" s="64"/>
      <c r="H302" s="505"/>
      <c r="I302" s="505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customFormat="false" ht="15.75" hidden="false" customHeight="true" outlineLevel="0" collapsed="false">
      <c r="A303" s="550"/>
      <c r="B303" s="550"/>
      <c r="C303" s="551"/>
      <c r="D303" s="64"/>
      <c r="E303" s="64"/>
      <c r="F303" s="64"/>
      <c r="G303" s="64"/>
      <c r="H303" s="505"/>
      <c r="I303" s="505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customFormat="false" ht="15.75" hidden="false" customHeight="true" outlineLevel="0" collapsed="false">
      <c r="A304" s="550"/>
      <c r="B304" s="550"/>
      <c r="C304" s="551"/>
      <c r="D304" s="64"/>
      <c r="E304" s="64"/>
      <c r="F304" s="64"/>
      <c r="G304" s="64"/>
      <c r="H304" s="505"/>
      <c r="I304" s="505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customFormat="false" ht="15.75" hidden="false" customHeight="true" outlineLevel="0" collapsed="false">
      <c r="A305" s="550"/>
      <c r="B305" s="550"/>
      <c r="C305" s="551"/>
      <c r="D305" s="64"/>
      <c r="E305" s="64"/>
      <c r="F305" s="64"/>
      <c r="G305" s="64"/>
      <c r="H305" s="505"/>
      <c r="I305" s="505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customFormat="false" ht="15.75" hidden="false" customHeight="true" outlineLevel="0" collapsed="false">
      <c r="A306" s="550"/>
      <c r="B306" s="550"/>
      <c r="C306" s="551"/>
      <c r="D306" s="64"/>
      <c r="E306" s="64"/>
      <c r="F306" s="64"/>
      <c r="G306" s="64"/>
      <c r="H306" s="505"/>
      <c r="I306" s="505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customFormat="false" ht="15.75" hidden="false" customHeight="true" outlineLevel="0" collapsed="false">
      <c r="A307" s="550"/>
      <c r="B307" s="550"/>
      <c r="C307" s="551"/>
      <c r="D307" s="64"/>
      <c r="E307" s="64"/>
      <c r="F307" s="64"/>
      <c r="G307" s="64"/>
      <c r="H307" s="505"/>
      <c r="I307" s="505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customFormat="false" ht="15.75" hidden="false" customHeight="true" outlineLevel="0" collapsed="false">
      <c r="A308" s="550"/>
      <c r="B308" s="550"/>
      <c r="C308" s="551"/>
      <c r="D308" s="64"/>
      <c r="E308" s="64"/>
      <c r="F308" s="64"/>
      <c r="G308" s="64"/>
      <c r="H308" s="505"/>
      <c r="I308" s="505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customFormat="false" ht="15.75" hidden="false" customHeight="true" outlineLevel="0" collapsed="false">
      <c r="A309" s="550"/>
      <c r="B309" s="550"/>
      <c r="C309" s="551"/>
      <c r="D309" s="64"/>
      <c r="E309" s="64"/>
      <c r="F309" s="64"/>
      <c r="G309" s="64"/>
      <c r="H309" s="505"/>
      <c r="I309" s="505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customFormat="false" ht="15.75" hidden="false" customHeight="true" outlineLevel="0" collapsed="false">
      <c r="A310" s="550"/>
      <c r="B310" s="550"/>
      <c r="C310" s="551"/>
      <c r="D310" s="64"/>
      <c r="E310" s="64"/>
      <c r="F310" s="64"/>
      <c r="G310" s="64"/>
      <c r="H310" s="505"/>
      <c r="I310" s="505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customFormat="false" ht="15.75" hidden="false" customHeight="true" outlineLevel="0" collapsed="false">
      <c r="A311" s="550"/>
      <c r="B311" s="550"/>
      <c r="C311" s="551"/>
      <c r="D311" s="64"/>
      <c r="E311" s="64"/>
      <c r="F311" s="64"/>
      <c r="G311" s="64"/>
      <c r="H311" s="505"/>
      <c r="I311" s="505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customFormat="false" ht="15.75" hidden="false" customHeight="true" outlineLevel="0" collapsed="false">
      <c r="A312" s="550"/>
      <c r="B312" s="550"/>
      <c r="C312" s="551"/>
      <c r="D312" s="64"/>
      <c r="E312" s="64"/>
      <c r="F312" s="64"/>
      <c r="G312" s="64"/>
      <c r="H312" s="505"/>
      <c r="I312" s="505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customFormat="false" ht="15.75" hidden="false" customHeight="true" outlineLevel="0" collapsed="false">
      <c r="A313" s="550"/>
      <c r="B313" s="550"/>
      <c r="C313" s="551"/>
      <c r="D313" s="64"/>
      <c r="E313" s="64"/>
      <c r="F313" s="64"/>
      <c r="G313" s="64"/>
      <c r="H313" s="505"/>
      <c r="I313" s="505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customFormat="false" ht="15.75" hidden="false" customHeight="true" outlineLevel="0" collapsed="false">
      <c r="A314" s="550"/>
      <c r="B314" s="550"/>
      <c r="C314" s="551"/>
      <c r="D314" s="64"/>
      <c r="E314" s="64"/>
      <c r="F314" s="64"/>
      <c r="G314" s="64"/>
      <c r="H314" s="505"/>
      <c r="I314" s="505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customFormat="false" ht="15.75" hidden="false" customHeight="true" outlineLevel="0" collapsed="false">
      <c r="A315" s="550"/>
      <c r="B315" s="550"/>
      <c r="C315" s="551"/>
      <c r="D315" s="64"/>
      <c r="E315" s="64"/>
      <c r="F315" s="64"/>
      <c r="G315" s="64"/>
      <c r="H315" s="505"/>
      <c r="I315" s="505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customFormat="false" ht="15.75" hidden="false" customHeight="true" outlineLevel="0" collapsed="false">
      <c r="A316" s="550"/>
      <c r="B316" s="550"/>
      <c r="C316" s="551"/>
      <c r="D316" s="64"/>
      <c r="E316" s="64"/>
      <c r="F316" s="64"/>
      <c r="G316" s="64"/>
      <c r="H316" s="505"/>
      <c r="I316" s="505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customFormat="false" ht="15.75" hidden="false" customHeight="true" outlineLevel="0" collapsed="false">
      <c r="A317" s="550"/>
      <c r="B317" s="550"/>
      <c r="C317" s="551"/>
      <c r="D317" s="64"/>
      <c r="E317" s="64"/>
      <c r="F317" s="64"/>
      <c r="G317" s="64"/>
      <c r="H317" s="505"/>
      <c r="I317" s="505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customFormat="false" ht="15.75" hidden="false" customHeight="true" outlineLevel="0" collapsed="false">
      <c r="A318" s="550"/>
      <c r="B318" s="550"/>
      <c r="C318" s="551"/>
      <c r="D318" s="64"/>
      <c r="E318" s="64"/>
      <c r="F318" s="64"/>
      <c r="G318" s="64"/>
      <c r="H318" s="505"/>
      <c r="I318" s="505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customFormat="false" ht="15.75" hidden="false" customHeight="true" outlineLevel="0" collapsed="false">
      <c r="A319" s="550"/>
      <c r="B319" s="550"/>
      <c r="C319" s="551"/>
      <c r="D319" s="64"/>
      <c r="E319" s="64"/>
      <c r="F319" s="64"/>
      <c r="G319" s="64"/>
      <c r="H319" s="505"/>
      <c r="I319" s="505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customFormat="false" ht="15.75" hidden="false" customHeight="true" outlineLevel="0" collapsed="false">
      <c r="A320" s="550"/>
      <c r="B320" s="550"/>
      <c r="C320" s="551"/>
      <c r="D320" s="64"/>
      <c r="E320" s="64"/>
      <c r="F320" s="64"/>
      <c r="G320" s="64"/>
      <c r="H320" s="505"/>
      <c r="I320" s="505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customFormat="false" ht="15.75" hidden="false" customHeight="true" outlineLevel="0" collapsed="false">
      <c r="A321" s="550"/>
      <c r="B321" s="550"/>
      <c r="C321" s="551"/>
      <c r="D321" s="64"/>
      <c r="E321" s="64"/>
      <c r="F321" s="64"/>
      <c r="G321" s="64"/>
      <c r="H321" s="505"/>
      <c r="I321" s="505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customFormat="false" ht="15.75" hidden="false" customHeight="true" outlineLevel="0" collapsed="false">
      <c r="A322" s="550"/>
      <c r="B322" s="550"/>
      <c r="C322" s="551"/>
      <c r="D322" s="64"/>
      <c r="E322" s="64"/>
      <c r="F322" s="64"/>
      <c r="G322" s="64"/>
      <c r="H322" s="505"/>
      <c r="I322" s="505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customFormat="false" ht="15.75" hidden="false" customHeight="true" outlineLevel="0" collapsed="false">
      <c r="A323" s="550"/>
      <c r="B323" s="550"/>
      <c r="C323" s="551"/>
      <c r="D323" s="64"/>
      <c r="E323" s="64"/>
      <c r="F323" s="64"/>
      <c r="G323" s="64"/>
      <c r="H323" s="505"/>
      <c r="I323" s="505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customFormat="false" ht="15.75" hidden="false" customHeight="true" outlineLevel="0" collapsed="false">
      <c r="A324" s="550"/>
      <c r="B324" s="550"/>
      <c r="C324" s="551"/>
      <c r="D324" s="64"/>
      <c r="E324" s="64"/>
      <c r="F324" s="64"/>
      <c r="G324" s="64"/>
      <c r="H324" s="505"/>
      <c r="I324" s="505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customFormat="false" ht="15.75" hidden="false" customHeight="true" outlineLevel="0" collapsed="false">
      <c r="A325" s="550"/>
      <c r="B325" s="550"/>
      <c r="C325" s="551"/>
      <c r="D325" s="64"/>
      <c r="E325" s="64"/>
      <c r="F325" s="64"/>
      <c r="G325" s="64"/>
      <c r="H325" s="505"/>
      <c r="I325" s="505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customFormat="false" ht="15.75" hidden="false" customHeight="true" outlineLevel="0" collapsed="false">
      <c r="A326" s="550"/>
      <c r="B326" s="550"/>
      <c r="C326" s="551"/>
      <c r="D326" s="64"/>
      <c r="E326" s="64"/>
      <c r="F326" s="64"/>
      <c r="G326" s="64"/>
      <c r="H326" s="505"/>
      <c r="I326" s="505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customFormat="false" ht="15.75" hidden="false" customHeight="true" outlineLevel="0" collapsed="false">
      <c r="A327" s="550"/>
      <c r="B327" s="550"/>
      <c r="C327" s="551"/>
      <c r="D327" s="64"/>
      <c r="E327" s="64"/>
      <c r="F327" s="64"/>
      <c r="G327" s="64"/>
      <c r="H327" s="505"/>
      <c r="I327" s="505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customFormat="false" ht="15.75" hidden="false" customHeight="true" outlineLevel="0" collapsed="false">
      <c r="A328" s="550"/>
      <c r="B328" s="550"/>
      <c r="C328" s="551"/>
      <c r="D328" s="64"/>
      <c r="E328" s="64"/>
      <c r="F328" s="64"/>
      <c r="G328" s="64"/>
      <c r="H328" s="505"/>
      <c r="I328" s="505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customFormat="false" ht="15.75" hidden="false" customHeight="true" outlineLevel="0" collapsed="false">
      <c r="A329" s="550"/>
      <c r="B329" s="550"/>
      <c r="C329" s="551"/>
      <c r="D329" s="64"/>
      <c r="E329" s="64"/>
      <c r="F329" s="64"/>
      <c r="G329" s="64"/>
      <c r="H329" s="505"/>
      <c r="I329" s="505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customFormat="false" ht="15.75" hidden="false" customHeight="true" outlineLevel="0" collapsed="false">
      <c r="A330" s="550"/>
      <c r="B330" s="550"/>
      <c r="C330" s="551"/>
      <c r="D330" s="64"/>
      <c r="E330" s="64"/>
      <c r="F330" s="64"/>
      <c r="G330" s="64"/>
      <c r="H330" s="505"/>
      <c r="I330" s="505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customFormat="false" ht="15.75" hidden="false" customHeight="true" outlineLevel="0" collapsed="false">
      <c r="A331" s="550"/>
      <c r="B331" s="550"/>
      <c r="C331" s="551"/>
      <c r="D331" s="64"/>
      <c r="E331" s="64"/>
      <c r="F331" s="64"/>
      <c r="G331" s="64"/>
      <c r="H331" s="505"/>
      <c r="I331" s="505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customFormat="false" ht="15.75" hidden="false" customHeight="true" outlineLevel="0" collapsed="false">
      <c r="A332" s="550"/>
      <c r="B332" s="550"/>
      <c r="C332" s="551"/>
      <c r="D332" s="64"/>
      <c r="E332" s="64"/>
      <c r="F332" s="64"/>
      <c r="G332" s="64"/>
      <c r="H332" s="505"/>
      <c r="I332" s="505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customFormat="false" ht="15.75" hidden="false" customHeight="true" outlineLevel="0" collapsed="false">
      <c r="A333" s="550"/>
      <c r="B333" s="550"/>
      <c r="C333" s="551"/>
      <c r="D333" s="64"/>
      <c r="E333" s="64"/>
      <c r="F333" s="64"/>
      <c r="G333" s="64"/>
      <c r="H333" s="505"/>
      <c r="I333" s="505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customFormat="false" ht="15.75" hidden="false" customHeight="true" outlineLevel="0" collapsed="false">
      <c r="A334" s="550"/>
      <c r="B334" s="550"/>
      <c r="C334" s="551"/>
      <c r="D334" s="64"/>
      <c r="E334" s="64"/>
      <c r="F334" s="64"/>
      <c r="G334" s="64"/>
      <c r="H334" s="505"/>
      <c r="I334" s="505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customFormat="false" ht="15.75" hidden="false" customHeight="true" outlineLevel="0" collapsed="false">
      <c r="A335" s="550"/>
      <c r="B335" s="550"/>
      <c r="C335" s="551"/>
      <c r="D335" s="64"/>
      <c r="E335" s="64"/>
      <c r="F335" s="64"/>
      <c r="G335" s="64"/>
      <c r="H335" s="505"/>
      <c r="I335" s="505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customFormat="false" ht="15.75" hidden="false" customHeight="true" outlineLevel="0" collapsed="false">
      <c r="A336" s="550"/>
      <c r="B336" s="550"/>
      <c r="C336" s="551"/>
      <c r="D336" s="64"/>
      <c r="E336" s="64"/>
      <c r="F336" s="64"/>
      <c r="G336" s="64"/>
      <c r="H336" s="505"/>
      <c r="I336" s="505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customFormat="false" ht="15.75" hidden="false" customHeight="true" outlineLevel="0" collapsed="false">
      <c r="A337" s="550"/>
      <c r="B337" s="550"/>
      <c r="C337" s="551"/>
      <c r="D337" s="64"/>
      <c r="E337" s="64"/>
      <c r="F337" s="64"/>
      <c r="G337" s="64"/>
      <c r="H337" s="505"/>
      <c r="I337" s="505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customFormat="false" ht="15.75" hidden="false" customHeight="true" outlineLevel="0" collapsed="false">
      <c r="A338" s="550"/>
      <c r="B338" s="550"/>
      <c r="C338" s="551"/>
      <c r="D338" s="64"/>
      <c r="E338" s="64"/>
      <c r="F338" s="64"/>
      <c r="G338" s="64"/>
      <c r="H338" s="505"/>
      <c r="I338" s="505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customFormat="false" ht="15.75" hidden="false" customHeight="true" outlineLevel="0" collapsed="false">
      <c r="A339" s="550"/>
      <c r="B339" s="550"/>
      <c r="C339" s="551"/>
      <c r="D339" s="64"/>
      <c r="E339" s="64"/>
      <c r="F339" s="64"/>
      <c r="G339" s="64"/>
      <c r="H339" s="505"/>
      <c r="I339" s="505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customFormat="false" ht="15.75" hidden="false" customHeight="true" outlineLevel="0" collapsed="false">
      <c r="A340" s="550"/>
      <c r="B340" s="550"/>
      <c r="C340" s="551"/>
      <c r="D340" s="64"/>
      <c r="E340" s="64"/>
      <c r="F340" s="64"/>
      <c r="G340" s="64"/>
      <c r="H340" s="505"/>
      <c r="I340" s="505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customFormat="false" ht="15.75" hidden="false" customHeight="true" outlineLevel="0" collapsed="false">
      <c r="A341" s="550"/>
      <c r="B341" s="550"/>
      <c r="C341" s="551"/>
      <c r="D341" s="64"/>
      <c r="E341" s="64"/>
      <c r="F341" s="64"/>
      <c r="G341" s="64"/>
      <c r="H341" s="505"/>
      <c r="I341" s="505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customFormat="false" ht="15.75" hidden="false" customHeight="true" outlineLevel="0" collapsed="false">
      <c r="A342" s="550"/>
      <c r="B342" s="550"/>
      <c r="C342" s="551"/>
      <c r="D342" s="64"/>
      <c r="E342" s="64"/>
      <c r="F342" s="64"/>
      <c r="G342" s="64"/>
      <c r="H342" s="505"/>
      <c r="I342" s="505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customFormat="false" ht="15.75" hidden="false" customHeight="true" outlineLevel="0" collapsed="false">
      <c r="A343" s="550"/>
      <c r="B343" s="550"/>
      <c r="C343" s="551"/>
      <c r="D343" s="64"/>
      <c r="E343" s="64"/>
      <c r="F343" s="64"/>
      <c r="G343" s="64"/>
      <c r="H343" s="505"/>
      <c r="I343" s="505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customFormat="false" ht="15.75" hidden="false" customHeight="true" outlineLevel="0" collapsed="false">
      <c r="A344" s="550"/>
      <c r="B344" s="550"/>
      <c r="C344" s="551"/>
      <c r="D344" s="64"/>
      <c r="E344" s="64"/>
      <c r="F344" s="64"/>
      <c r="G344" s="64"/>
      <c r="H344" s="505"/>
      <c r="I344" s="505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customFormat="false" ht="15.75" hidden="false" customHeight="true" outlineLevel="0" collapsed="false">
      <c r="A345" s="550"/>
      <c r="B345" s="550"/>
      <c r="C345" s="551"/>
      <c r="D345" s="64"/>
      <c r="E345" s="64"/>
      <c r="F345" s="64"/>
      <c r="G345" s="64"/>
      <c r="H345" s="505"/>
      <c r="I345" s="505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customFormat="false" ht="15.75" hidden="false" customHeight="true" outlineLevel="0" collapsed="false">
      <c r="A346" s="550"/>
      <c r="B346" s="550"/>
      <c r="C346" s="551"/>
      <c r="D346" s="64"/>
      <c r="E346" s="64"/>
      <c r="F346" s="64"/>
      <c r="G346" s="64"/>
      <c r="H346" s="505"/>
      <c r="I346" s="505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customFormat="false" ht="15.75" hidden="false" customHeight="true" outlineLevel="0" collapsed="false">
      <c r="A347" s="550"/>
      <c r="B347" s="550"/>
      <c r="C347" s="551"/>
      <c r="D347" s="64"/>
      <c r="E347" s="64"/>
      <c r="F347" s="64"/>
      <c r="G347" s="64"/>
      <c r="H347" s="505"/>
      <c r="I347" s="505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customFormat="false" ht="15.75" hidden="false" customHeight="true" outlineLevel="0" collapsed="false">
      <c r="A348" s="550"/>
      <c r="B348" s="550"/>
      <c r="C348" s="551"/>
      <c r="D348" s="64"/>
      <c r="E348" s="64"/>
      <c r="F348" s="64"/>
      <c r="G348" s="64"/>
      <c r="H348" s="505"/>
      <c r="I348" s="505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customFormat="false" ht="15.75" hidden="false" customHeight="true" outlineLevel="0" collapsed="false">
      <c r="A349" s="550"/>
      <c r="B349" s="550"/>
      <c r="C349" s="551"/>
      <c r="D349" s="64"/>
      <c r="E349" s="64"/>
      <c r="F349" s="64"/>
      <c r="G349" s="64"/>
      <c r="H349" s="505"/>
      <c r="I349" s="505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customFormat="false" ht="15.75" hidden="false" customHeight="true" outlineLevel="0" collapsed="false">
      <c r="A350" s="550"/>
      <c r="B350" s="550"/>
      <c r="C350" s="551"/>
      <c r="D350" s="64"/>
      <c r="E350" s="64"/>
      <c r="F350" s="64"/>
      <c r="G350" s="64"/>
      <c r="H350" s="505"/>
      <c r="I350" s="505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customFormat="false" ht="15.75" hidden="false" customHeight="true" outlineLevel="0" collapsed="false">
      <c r="A351" s="550"/>
      <c r="B351" s="550"/>
      <c r="C351" s="551"/>
      <c r="D351" s="64"/>
      <c r="E351" s="64"/>
      <c r="F351" s="64"/>
      <c r="G351" s="64"/>
      <c r="H351" s="505"/>
      <c r="I351" s="505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customFormat="false" ht="15.75" hidden="false" customHeight="true" outlineLevel="0" collapsed="false">
      <c r="A352" s="550"/>
      <c r="B352" s="550"/>
      <c r="C352" s="551"/>
      <c r="D352" s="64"/>
      <c r="E352" s="64"/>
      <c r="F352" s="64"/>
      <c r="G352" s="64"/>
      <c r="H352" s="505"/>
      <c r="I352" s="505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customFormat="false" ht="15.75" hidden="false" customHeight="true" outlineLevel="0" collapsed="false">
      <c r="A353" s="550"/>
      <c r="B353" s="550"/>
      <c r="C353" s="551"/>
      <c r="D353" s="64"/>
      <c r="E353" s="64"/>
      <c r="F353" s="64"/>
      <c r="G353" s="64"/>
      <c r="H353" s="505"/>
      <c r="I353" s="505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customFormat="false" ht="15.75" hidden="false" customHeight="true" outlineLevel="0" collapsed="false">
      <c r="A354" s="550"/>
      <c r="B354" s="550"/>
      <c r="C354" s="551"/>
      <c r="D354" s="64"/>
      <c r="E354" s="64"/>
      <c r="F354" s="64"/>
      <c r="G354" s="64"/>
      <c r="H354" s="505"/>
      <c r="I354" s="505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customFormat="false" ht="15.75" hidden="false" customHeight="true" outlineLevel="0" collapsed="false">
      <c r="A355" s="550"/>
      <c r="B355" s="550"/>
      <c r="C355" s="551"/>
      <c r="D355" s="64"/>
      <c r="E355" s="64"/>
      <c r="F355" s="64"/>
      <c r="G355" s="64"/>
      <c r="H355" s="505"/>
      <c r="I355" s="505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customFormat="false" ht="15.75" hidden="false" customHeight="true" outlineLevel="0" collapsed="false">
      <c r="A356" s="550"/>
      <c r="B356" s="550"/>
      <c r="C356" s="551"/>
      <c r="D356" s="64"/>
      <c r="E356" s="64"/>
      <c r="F356" s="64"/>
      <c r="G356" s="64"/>
      <c r="H356" s="505"/>
      <c r="I356" s="505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customFormat="false" ht="15.75" hidden="false" customHeight="true" outlineLevel="0" collapsed="false">
      <c r="A357" s="550"/>
      <c r="B357" s="550"/>
      <c r="C357" s="551"/>
      <c r="D357" s="64"/>
      <c r="E357" s="64"/>
      <c r="F357" s="64"/>
      <c r="G357" s="64"/>
      <c r="H357" s="505"/>
      <c r="I357" s="505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customFormat="false" ht="15.75" hidden="false" customHeight="true" outlineLevel="0" collapsed="false">
      <c r="A358" s="550"/>
      <c r="B358" s="550"/>
      <c r="C358" s="551"/>
      <c r="D358" s="64"/>
      <c r="E358" s="64"/>
      <c r="F358" s="64"/>
      <c r="G358" s="64"/>
      <c r="H358" s="505"/>
      <c r="I358" s="505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customFormat="false" ht="15.75" hidden="false" customHeight="true" outlineLevel="0" collapsed="false">
      <c r="A359" s="550"/>
      <c r="B359" s="550"/>
      <c r="C359" s="551"/>
      <c r="D359" s="64"/>
      <c r="E359" s="64"/>
      <c r="F359" s="64"/>
      <c r="G359" s="64"/>
      <c r="H359" s="505"/>
      <c r="I359" s="505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customFormat="false" ht="15.75" hidden="false" customHeight="true" outlineLevel="0" collapsed="false">
      <c r="A360" s="550"/>
      <c r="B360" s="550"/>
      <c r="C360" s="551"/>
      <c r="D360" s="64"/>
      <c r="E360" s="64"/>
      <c r="F360" s="64"/>
      <c r="G360" s="64"/>
      <c r="H360" s="505"/>
      <c r="I360" s="505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customFormat="false" ht="15.75" hidden="false" customHeight="true" outlineLevel="0" collapsed="false">
      <c r="A361" s="550"/>
      <c r="B361" s="550"/>
      <c r="C361" s="551"/>
      <c r="D361" s="64"/>
      <c r="E361" s="64"/>
      <c r="F361" s="64"/>
      <c r="G361" s="64"/>
      <c r="H361" s="505"/>
      <c r="I361" s="505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customFormat="false" ht="15.75" hidden="false" customHeight="true" outlineLevel="0" collapsed="false">
      <c r="A362" s="550"/>
      <c r="B362" s="550"/>
      <c r="C362" s="551"/>
      <c r="D362" s="64"/>
      <c r="E362" s="64"/>
      <c r="F362" s="64"/>
      <c r="G362" s="64"/>
      <c r="H362" s="505"/>
      <c r="I362" s="505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customFormat="false" ht="15.75" hidden="false" customHeight="true" outlineLevel="0" collapsed="false">
      <c r="A363" s="550"/>
      <c r="B363" s="550"/>
      <c r="C363" s="551"/>
      <c r="D363" s="64"/>
      <c r="E363" s="64"/>
      <c r="F363" s="64"/>
      <c r="G363" s="64"/>
      <c r="H363" s="505"/>
      <c r="I363" s="505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customFormat="false" ht="15.75" hidden="false" customHeight="true" outlineLevel="0" collapsed="false">
      <c r="A364" s="550"/>
      <c r="B364" s="550"/>
      <c r="C364" s="551"/>
      <c r="D364" s="64"/>
      <c r="E364" s="64"/>
      <c r="F364" s="64"/>
      <c r="G364" s="64"/>
      <c r="H364" s="505"/>
      <c r="I364" s="505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customFormat="false" ht="15.75" hidden="false" customHeight="true" outlineLevel="0" collapsed="false">
      <c r="A365" s="550"/>
      <c r="B365" s="550"/>
      <c r="C365" s="551"/>
      <c r="D365" s="64"/>
      <c r="E365" s="64"/>
      <c r="F365" s="64"/>
      <c r="G365" s="64"/>
      <c r="H365" s="505"/>
      <c r="I365" s="505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customFormat="false" ht="15.75" hidden="false" customHeight="true" outlineLevel="0" collapsed="false">
      <c r="A366" s="550"/>
      <c r="B366" s="550"/>
      <c r="C366" s="551"/>
      <c r="D366" s="64"/>
      <c r="E366" s="64"/>
      <c r="F366" s="64"/>
      <c r="G366" s="64"/>
      <c r="H366" s="505"/>
      <c r="I366" s="505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customFormat="false" ht="15.75" hidden="false" customHeight="true" outlineLevel="0" collapsed="false">
      <c r="A367" s="550"/>
      <c r="B367" s="550"/>
      <c r="C367" s="551"/>
      <c r="D367" s="64"/>
      <c r="E367" s="64"/>
      <c r="F367" s="64"/>
      <c r="G367" s="64"/>
      <c r="H367" s="505"/>
      <c r="I367" s="505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customFormat="false" ht="15.75" hidden="false" customHeight="true" outlineLevel="0" collapsed="false">
      <c r="A368" s="550"/>
      <c r="B368" s="550"/>
      <c r="C368" s="551"/>
      <c r="D368" s="64"/>
      <c r="E368" s="64"/>
      <c r="F368" s="64"/>
      <c r="G368" s="64"/>
      <c r="H368" s="505"/>
      <c r="I368" s="505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customFormat="false" ht="15.75" hidden="false" customHeight="true" outlineLevel="0" collapsed="false">
      <c r="A369" s="550"/>
      <c r="B369" s="550"/>
      <c r="C369" s="551"/>
      <c r="D369" s="64"/>
      <c r="E369" s="64"/>
      <c r="F369" s="64"/>
      <c r="G369" s="64"/>
      <c r="H369" s="505"/>
      <c r="I369" s="505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customFormat="false" ht="15.75" hidden="false" customHeight="true" outlineLevel="0" collapsed="false">
      <c r="A370" s="550"/>
      <c r="B370" s="550"/>
      <c r="C370" s="551"/>
      <c r="D370" s="64"/>
      <c r="E370" s="64"/>
      <c r="F370" s="64"/>
      <c r="G370" s="64"/>
      <c r="H370" s="505"/>
      <c r="I370" s="505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customFormat="false" ht="15.75" hidden="false" customHeight="true" outlineLevel="0" collapsed="false">
      <c r="A371" s="550"/>
      <c r="B371" s="550"/>
      <c r="C371" s="551"/>
      <c r="D371" s="64"/>
      <c r="E371" s="64"/>
      <c r="F371" s="64"/>
      <c r="G371" s="64"/>
      <c r="H371" s="505"/>
      <c r="I371" s="505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customFormat="false" ht="15.75" hidden="false" customHeight="true" outlineLevel="0" collapsed="false">
      <c r="A372" s="550"/>
      <c r="B372" s="550"/>
      <c r="C372" s="551"/>
      <c r="D372" s="64"/>
      <c r="E372" s="64"/>
      <c r="F372" s="64"/>
      <c r="G372" s="64"/>
      <c r="H372" s="505"/>
      <c r="I372" s="505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customFormat="false" ht="15.75" hidden="false" customHeight="true" outlineLevel="0" collapsed="false">
      <c r="A373" s="550"/>
      <c r="B373" s="550"/>
      <c r="C373" s="551"/>
      <c r="D373" s="64"/>
      <c r="E373" s="64"/>
      <c r="F373" s="64"/>
      <c r="G373" s="64"/>
      <c r="H373" s="505"/>
      <c r="I373" s="505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customFormat="false" ht="15.75" hidden="false" customHeight="true" outlineLevel="0" collapsed="false">
      <c r="A374" s="550"/>
      <c r="B374" s="550"/>
      <c r="C374" s="551"/>
      <c r="D374" s="64"/>
      <c r="E374" s="64"/>
      <c r="F374" s="64"/>
      <c r="G374" s="64"/>
      <c r="H374" s="505"/>
      <c r="I374" s="505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customFormat="false" ht="15.75" hidden="false" customHeight="true" outlineLevel="0" collapsed="false">
      <c r="A375" s="550"/>
      <c r="B375" s="550"/>
      <c r="C375" s="551"/>
      <c r="D375" s="64"/>
      <c r="E375" s="64"/>
      <c r="F375" s="64"/>
      <c r="G375" s="64"/>
      <c r="H375" s="505"/>
      <c r="I375" s="505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customFormat="false" ht="15.75" hidden="false" customHeight="true" outlineLevel="0" collapsed="false">
      <c r="A376" s="550"/>
      <c r="B376" s="550"/>
      <c r="C376" s="551"/>
      <c r="D376" s="64"/>
      <c r="E376" s="64"/>
      <c r="F376" s="64"/>
      <c r="G376" s="64"/>
      <c r="H376" s="505"/>
      <c r="I376" s="505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customFormat="false" ht="15.75" hidden="false" customHeight="true" outlineLevel="0" collapsed="false">
      <c r="A377" s="550"/>
      <c r="B377" s="550"/>
      <c r="C377" s="551"/>
      <c r="D377" s="64"/>
      <c r="E377" s="64"/>
      <c r="F377" s="64"/>
      <c r="G377" s="64"/>
      <c r="H377" s="505"/>
      <c r="I377" s="505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customFormat="false" ht="15.75" hidden="false" customHeight="true" outlineLevel="0" collapsed="false">
      <c r="A378" s="550"/>
      <c r="B378" s="550"/>
      <c r="C378" s="551"/>
      <c r="D378" s="64"/>
      <c r="E378" s="64"/>
      <c r="F378" s="64"/>
      <c r="G378" s="64"/>
      <c r="H378" s="505"/>
      <c r="I378" s="505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customFormat="false" ht="15.75" hidden="false" customHeight="true" outlineLevel="0" collapsed="false">
      <c r="A379" s="550"/>
      <c r="B379" s="550"/>
      <c r="C379" s="551"/>
      <c r="D379" s="64"/>
      <c r="E379" s="64"/>
      <c r="F379" s="64"/>
      <c r="G379" s="64"/>
      <c r="H379" s="505"/>
      <c r="I379" s="505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customFormat="false" ht="15.75" hidden="false" customHeight="true" outlineLevel="0" collapsed="false">
      <c r="A380" s="550"/>
      <c r="B380" s="550"/>
      <c r="C380" s="551"/>
      <c r="D380" s="64"/>
      <c r="E380" s="64"/>
      <c r="F380" s="64"/>
      <c r="G380" s="64"/>
      <c r="H380" s="505"/>
      <c r="I380" s="505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customFormat="false" ht="15.75" hidden="false" customHeight="true" outlineLevel="0" collapsed="false">
      <c r="A381" s="550"/>
      <c r="B381" s="550"/>
      <c r="C381" s="551"/>
      <c r="D381" s="64"/>
      <c r="E381" s="64"/>
      <c r="F381" s="64"/>
      <c r="G381" s="64"/>
      <c r="H381" s="505"/>
      <c r="I381" s="505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customFormat="false" ht="15.75" hidden="false" customHeight="true" outlineLevel="0" collapsed="false">
      <c r="A382" s="550"/>
      <c r="B382" s="550"/>
      <c r="C382" s="551"/>
      <c r="D382" s="64"/>
      <c r="E382" s="64"/>
      <c r="F382" s="64"/>
      <c r="G382" s="64"/>
      <c r="H382" s="505"/>
      <c r="I382" s="505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customFormat="false" ht="15.75" hidden="false" customHeight="true" outlineLevel="0" collapsed="false">
      <c r="A383" s="550"/>
      <c r="B383" s="550"/>
      <c r="C383" s="551"/>
      <c r="D383" s="64"/>
      <c r="E383" s="64"/>
      <c r="F383" s="64"/>
      <c r="G383" s="64"/>
      <c r="H383" s="505"/>
      <c r="I383" s="505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customFormat="false" ht="15.75" hidden="false" customHeight="true" outlineLevel="0" collapsed="false">
      <c r="A384" s="550"/>
      <c r="B384" s="550"/>
      <c r="C384" s="551"/>
      <c r="D384" s="64"/>
      <c r="E384" s="64"/>
      <c r="F384" s="64"/>
      <c r="G384" s="64"/>
      <c r="H384" s="505"/>
      <c r="I384" s="505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customFormat="false" ht="15.75" hidden="false" customHeight="true" outlineLevel="0" collapsed="false">
      <c r="A385" s="550"/>
      <c r="B385" s="550"/>
      <c r="C385" s="551"/>
      <c r="D385" s="64"/>
      <c r="E385" s="64"/>
      <c r="F385" s="64"/>
      <c r="G385" s="64"/>
      <c r="H385" s="505"/>
      <c r="I385" s="505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customFormat="false" ht="15.75" hidden="false" customHeight="true" outlineLevel="0" collapsed="false">
      <c r="A386" s="550"/>
      <c r="B386" s="550"/>
      <c r="C386" s="551"/>
      <c r="D386" s="64"/>
      <c r="E386" s="64"/>
      <c r="F386" s="64"/>
      <c r="G386" s="64"/>
      <c r="H386" s="505"/>
      <c r="I386" s="505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customFormat="false" ht="15.75" hidden="false" customHeight="true" outlineLevel="0" collapsed="false">
      <c r="A387" s="550"/>
      <c r="B387" s="550"/>
      <c r="C387" s="551"/>
      <c r="D387" s="64"/>
      <c r="E387" s="64"/>
      <c r="F387" s="64"/>
      <c r="G387" s="64"/>
      <c r="H387" s="505"/>
      <c r="I387" s="505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customFormat="false" ht="15.75" hidden="false" customHeight="true" outlineLevel="0" collapsed="false">
      <c r="A388" s="550"/>
      <c r="B388" s="550"/>
      <c r="C388" s="551"/>
      <c r="D388" s="64"/>
      <c r="E388" s="64"/>
      <c r="F388" s="64"/>
      <c r="G388" s="64"/>
      <c r="H388" s="505"/>
      <c r="I388" s="505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customFormat="false" ht="15.75" hidden="false" customHeight="true" outlineLevel="0" collapsed="false">
      <c r="A389" s="550"/>
      <c r="B389" s="550"/>
      <c r="C389" s="551"/>
      <c r="D389" s="64"/>
      <c r="E389" s="64"/>
      <c r="F389" s="64"/>
      <c r="G389" s="64"/>
      <c r="H389" s="505"/>
      <c r="I389" s="505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customFormat="false" ht="15.75" hidden="false" customHeight="true" outlineLevel="0" collapsed="false">
      <c r="A390" s="550"/>
      <c r="B390" s="550"/>
      <c r="C390" s="551"/>
      <c r="D390" s="64"/>
      <c r="E390" s="64"/>
      <c r="F390" s="64"/>
      <c r="G390" s="64"/>
      <c r="H390" s="505"/>
      <c r="I390" s="505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customFormat="false" ht="15.75" hidden="false" customHeight="true" outlineLevel="0" collapsed="false">
      <c r="A391" s="550"/>
      <c r="B391" s="550"/>
      <c r="C391" s="551"/>
      <c r="D391" s="64"/>
      <c r="E391" s="64"/>
      <c r="F391" s="64"/>
      <c r="G391" s="64"/>
      <c r="H391" s="505"/>
      <c r="I391" s="505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customFormat="false" ht="15.75" hidden="false" customHeight="true" outlineLevel="0" collapsed="false">
      <c r="A392" s="550"/>
      <c r="B392" s="550"/>
      <c r="C392" s="551"/>
      <c r="D392" s="64"/>
      <c r="E392" s="64"/>
      <c r="F392" s="64"/>
      <c r="G392" s="64"/>
      <c r="H392" s="505"/>
      <c r="I392" s="505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customFormat="false" ht="15.75" hidden="false" customHeight="true" outlineLevel="0" collapsed="false">
      <c r="A393" s="550"/>
      <c r="B393" s="550"/>
      <c r="C393" s="551"/>
      <c r="D393" s="64"/>
      <c r="E393" s="64"/>
      <c r="F393" s="64"/>
      <c r="G393" s="64"/>
      <c r="H393" s="505"/>
      <c r="I393" s="505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customFormat="false" ht="15.75" hidden="false" customHeight="true" outlineLevel="0" collapsed="false">
      <c r="A394" s="550"/>
      <c r="B394" s="550"/>
      <c r="C394" s="551"/>
      <c r="D394" s="64"/>
      <c r="E394" s="64"/>
      <c r="F394" s="64"/>
      <c r="G394" s="64"/>
      <c r="H394" s="505"/>
      <c r="I394" s="505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customFormat="false" ht="15.75" hidden="false" customHeight="true" outlineLevel="0" collapsed="false">
      <c r="A395" s="550"/>
      <c r="B395" s="550"/>
      <c r="C395" s="551"/>
      <c r="D395" s="64"/>
      <c r="E395" s="64"/>
      <c r="F395" s="64"/>
      <c r="G395" s="64"/>
      <c r="H395" s="505"/>
      <c r="I395" s="505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customFormat="false" ht="15.75" hidden="false" customHeight="true" outlineLevel="0" collapsed="false">
      <c r="A396" s="550"/>
      <c r="B396" s="550"/>
      <c r="C396" s="551"/>
      <c r="D396" s="64"/>
      <c r="E396" s="64"/>
      <c r="F396" s="64"/>
      <c r="G396" s="64"/>
      <c r="H396" s="505"/>
      <c r="I396" s="505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customFormat="false" ht="15.75" hidden="false" customHeight="true" outlineLevel="0" collapsed="false">
      <c r="A397" s="550"/>
      <c r="B397" s="550"/>
      <c r="C397" s="551"/>
      <c r="D397" s="64"/>
      <c r="E397" s="64"/>
      <c r="F397" s="64"/>
      <c r="G397" s="64"/>
      <c r="H397" s="505"/>
      <c r="I397" s="505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customFormat="false" ht="15.75" hidden="false" customHeight="true" outlineLevel="0" collapsed="false">
      <c r="A398" s="550"/>
      <c r="B398" s="550"/>
      <c r="C398" s="551"/>
      <c r="D398" s="64"/>
      <c r="E398" s="64"/>
      <c r="F398" s="64"/>
      <c r="G398" s="64"/>
      <c r="H398" s="505"/>
      <c r="I398" s="505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customFormat="false" ht="15.75" hidden="false" customHeight="true" outlineLevel="0" collapsed="false">
      <c r="A399" s="550"/>
      <c r="B399" s="550"/>
      <c r="C399" s="551"/>
      <c r="D399" s="64"/>
      <c r="E399" s="64"/>
      <c r="F399" s="64"/>
      <c r="G399" s="64"/>
      <c r="H399" s="505"/>
      <c r="I399" s="505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customFormat="false" ht="15.75" hidden="false" customHeight="true" outlineLevel="0" collapsed="false">
      <c r="A400" s="550"/>
      <c r="B400" s="550"/>
      <c r="C400" s="551"/>
      <c r="D400" s="64"/>
      <c r="E400" s="64"/>
      <c r="F400" s="64"/>
      <c r="G400" s="64"/>
      <c r="H400" s="505"/>
      <c r="I400" s="505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customFormat="false" ht="15.75" hidden="false" customHeight="true" outlineLevel="0" collapsed="false">
      <c r="A401" s="550"/>
      <c r="B401" s="550"/>
      <c r="C401" s="551"/>
      <c r="D401" s="64"/>
      <c r="E401" s="64"/>
      <c r="F401" s="64"/>
      <c r="G401" s="64"/>
      <c r="H401" s="505"/>
      <c r="I401" s="505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customFormat="false" ht="15.75" hidden="false" customHeight="true" outlineLevel="0" collapsed="false">
      <c r="A402" s="550"/>
      <c r="B402" s="550"/>
      <c r="C402" s="551"/>
      <c r="D402" s="64"/>
      <c r="E402" s="64"/>
      <c r="F402" s="64"/>
      <c r="G402" s="64"/>
      <c r="H402" s="505"/>
      <c r="I402" s="505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customFormat="false" ht="15.75" hidden="false" customHeight="true" outlineLevel="0" collapsed="false">
      <c r="A403" s="550"/>
      <c r="B403" s="550"/>
      <c r="C403" s="551"/>
      <c r="D403" s="64"/>
      <c r="E403" s="64"/>
      <c r="F403" s="64"/>
      <c r="G403" s="64"/>
      <c r="H403" s="505"/>
      <c r="I403" s="505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customFormat="false" ht="15.75" hidden="false" customHeight="true" outlineLevel="0" collapsed="false">
      <c r="A404" s="550"/>
      <c r="B404" s="550"/>
      <c r="C404" s="551"/>
      <c r="D404" s="64"/>
      <c r="E404" s="64"/>
      <c r="F404" s="64"/>
      <c r="G404" s="64"/>
      <c r="H404" s="505"/>
      <c r="I404" s="505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customFormat="false" ht="15.75" hidden="false" customHeight="true" outlineLevel="0" collapsed="false">
      <c r="A405" s="550"/>
      <c r="B405" s="550"/>
      <c r="C405" s="551"/>
      <c r="D405" s="64"/>
      <c r="E405" s="64"/>
      <c r="F405" s="64"/>
      <c r="G405" s="64"/>
      <c r="H405" s="505"/>
      <c r="I405" s="505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customFormat="false" ht="15.75" hidden="false" customHeight="true" outlineLevel="0" collapsed="false">
      <c r="A406" s="550"/>
      <c r="B406" s="550"/>
      <c r="C406" s="551"/>
      <c r="D406" s="64"/>
      <c r="E406" s="64"/>
      <c r="F406" s="64"/>
      <c r="G406" s="64"/>
      <c r="H406" s="505"/>
      <c r="I406" s="505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customFormat="false" ht="15.75" hidden="false" customHeight="true" outlineLevel="0" collapsed="false">
      <c r="A407" s="550"/>
      <c r="B407" s="550"/>
      <c r="C407" s="551"/>
      <c r="D407" s="64"/>
      <c r="E407" s="64"/>
      <c r="F407" s="64"/>
      <c r="G407" s="64"/>
      <c r="H407" s="505"/>
      <c r="I407" s="505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customFormat="false" ht="15.75" hidden="false" customHeight="true" outlineLevel="0" collapsed="false">
      <c r="A408" s="550"/>
      <c r="B408" s="550"/>
      <c r="C408" s="551"/>
      <c r="D408" s="64"/>
      <c r="E408" s="64"/>
      <c r="F408" s="64"/>
      <c r="G408" s="64"/>
      <c r="H408" s="505"/>
      <c r="I408" s="505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customFormat="false" ht="15.75" hidden="false" customHeight="true" outlineLevel="0" collapsed="false">
      <c r="A409" s="550"/>
      <c r="B409" s="550"/>
      <c r="C409" s="551"/>
      <c r="D409" s="64"/>
      <c r="E409" s="64"/>
      <c r="F409" s="64"/>
      <c r="G409" s="64"/>
      <c r="H409" s="505"/>
      <c r="I409" s="505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customFormat="false" ht="15.75" hidden="false" customHeight="true" outlineLevel="0" collapsed="false">
      <c r="A410" s="550"/>
      <c r="B410" s="550"/>
      <c r="C410" s="551"/>
      <c r="D410" s="64"/>
      <c r="E410" s="64"/>
      <c r="F410" s="64"/>
      <c r="G410" s="64"/>
      <c r="H410" s="505"/>
      <c r="I410" s="505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customFormat="false" ht="15.75" hidden="false" customHeight="true" outlineLevel="0" collapsed="false">
      <c r="A411" s="550"/>
      <c r="B411" s="550"/>
      <c r="C411" s="551"/>
      <c r="D411" s="64"/>
      <c r="E411" s="64"/>
      <c r="F411" s="64"/>
      <c r="G411" s="64"/>
      <c r="H411" s="505"/>
      <c r="I411" s="505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customFormat="false" ht="15.75" hidden="false" customHeight="true" outlineLevel="0" collapsed="false">
      <c r="A412" s="550"/>
      <c r="B412" s="550"/>
      <c r="C412" s="551"/>
      <c r="D412" s="64"/>
      <c r="E412" s="64"/>
      <c r="F412" s="64"/>
      <c r="G412" s="64"/>
      <c r="H412" s="505"/>
      <c r="I412" s="505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customFormat="false" ht="15.75" hidden="false" customHeight="true" outlineLevel="0" collapsed="false">
      <c r="A413" s="550"/>
      <c r="B413" s="550"/>
      <c r="C413" s="551"/>
      <c r="D413" s="64"/>
      <c r="E413" s="64"/>
      <c r="F413" s="64"/>
      <c r="G413" s="64"/>
      <c r="H413" s="505"/>
      <c r="I413" s="505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customFormat="false" ht="15.75" hidden="false" customHeight="true" outlineLevel="0" collapsed="false">
      <c r="A414" s="550"/>
      <c r="B414" s="550"/>
      <c r="C414" s="551"/>
      <c r="D414" s="64"/>
      <c r="E414" s="64"/>
      <c r="F414" s="64"/>
      <c r="G414" s="64"/>
      <c r="H414" s="505"/>
      <c r="I414" s="505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customFormat="false" ht="15.75" hidden="false" customHeight="true" outlineLevel="0" collapsed="false">
      <c r="A415" s="550"/>
      <c r="B415" s="550"/>
      <c r="C415" s="551"/>
      <c r="D415" s="64"/>
      <c r="E415" s="64"/>
      <c r="F415" s="64"/>
      <c r="G415" s="64"/>
      <c r="H415" s="505"/>
      <c r="I415" s="505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customFormat="false" ht="15.75" hidden="false" customHeight="true" outlineLevel="0" collapsed="false">
      <c r="A416" s="550"/>
      <c r="B416" s="550"/>
      <c r="C416" s="551"/>
      <c r="D416" s="64"/>
      <c r="E416" s="64"/>
      <c r="F416" s="64"/>
      <c r="G416" s="64"/>
      <c r="H416" s="505"/>
      <c r="I416" s="505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customFormat="false" ht="15.75" hidden="false" customHeight="true" outlineLevel="0" collapsed="false">
      <c r="A417" s="550"/>
      <c r="B417" s="550"/>
      <c r="C417" s="551"/>
      <c r="D417" s="64"/>
      <c r="E417" s="64"/>
      <c r="F417" s="64"/>
      <c r="G417" s="64"/>
      <c r="H417" s="505"/>
      <c r="I417" s="505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customFormat="false" ht="15.75" hidden="false" customHeight="true" outlineLevel="0" collapsed="false">
      <c r="A418" s="550"/>
      <c r="B418" s="550"/>
      <c r="C418" s="551"/>
      <c r="D418" s="64"/>
      <c r="E418" s="64"/>
      <c r="F418" s="64"/>
      <c r="G418" s="64"/>
      <c r="H418" s="505"/>
      <c r="I418" s="505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customFormat="false" ht="15.75" hidden="false" customHeight="true" outlineLevel="0" collapsed="false">
      <c r="A419" s="550"/>
      <c r="B419" s="550"/>
      <c r="C419" s="551"/>
      <c r="D419" s="64"/>
      <c r="E419" s="64"/>
      <c r="F419" s="64"/>
      <c r="G419" s="64"/>
      <c r="H419" s="505"/>
      <c r="I419" s="505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customFormat="false" ht="15.75" hidden="false" customHeight="true" outlineLevel="0" collapsed="false">
      <c r="A420" s="550"/>
      <c r="B420" s="550"/>
      <c r="C420" s="551"/>
      <c r="D420" s="64"/>
      <c r="E420" s="64"/>
      <c r="F420" s="64"/>
      <c r="G420" s="64"/>
      <c r="H420" s="505"/>
      <c r="I420" s="505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customFormat="false" ht="15.75" hidden="false" customHeight="true" outlineLevel="0" collapsed="false">
      <c r="A421" s="550"/>
      <c r="B421" s="550"/>
      <c r="C421" s="551"/>
      <c r="D421" s="64"/>
      <c r="E421" s="64"/>
      <c r="F421" s="64"/>
      <c r="G421" s="64"/>
      <c r="H421" s="505"/>
      <c r="I421" s="505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customFormat="false" ht="15.75" hidden="false" customHeight="true" outlineLevel="0" collapsed="false">
      <c r="A422" s="550"/>
      <c r="B422" s="550"/>
      <c r="C422" s="551"/>
      <c r="D422" s="64"/>
      <c r="E422" s="64"/>
      <c r="F422" s="64"/>
      <c r="G422" s="64"/>
      <c r="H422" s="505"/>
      <c r="I422" s="505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customFormat="false" ht="15.75" hidden="false" customHeight="true" outlineLevel="0" collapsed="false">
      <c r="A423" s="550"/>
      <c r="B423" s="550"/>
      <c r="C423" s="551"/>
      <c r="D423" s="64"/>
      <c r="E423" s="64"/>
      <c r="F423" s="64"/>
      <c r="G423" s="64"/>
      <c r="H423" s="505"/>
      <c r="I423" s="505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customFormat="false" ht="15.75" hidden="false" customHeight="true" outlineLevel="0" collapsed="false">
      <c r="A424" s="550"/>
      <c r="B424" s="550"/>
      <c r="C424" s="551"/>
      <c r="D424" s="64"/>
      <c r="E424" s="64"/>
      <c r="F424" s="64"/>
      <c r="G424" s="64"/>
      <c r="H424" s="505"/>
      <c r="I424" s="505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customFormat="false" ht="15.75" hidden="false" customHeight="true" outlineLevel="0" collapsed="false">
      <c r="A425" s="550"/>
      <c r="B425" s="550"/>
      <c r="C425" s="551"/>
      <c r="D425" s="64"/>
      <c r="E425" s="64"/>
      <c r="F425" s="64"/>
      <c r="G425" s="64"/>
      <c r="H425" s="505"/>
      <c r="I425" s="505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customFormat="false" ht="15.75" hidden="false" customHeight="true" outlineLevel="0" collapsed="false">
      <c r="A426" s="550"/>
      <c r="B426" s="550"/>
      <c r="C426" s="551"/>
      <c r="D426" s="64"/>
      <c r="E426" s="64"/>
      <c r="F426" s="64"/>
      <c r="G426" s="64"/>
      <c r="H426" s="505"/>
      <c r="I426" s="505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customFormat="false" ht="15.75" hidden="false" customHeight="true" outlineLevel="0" collapsed="false">
      <c r="A427" s="550"/>
      <c r="B427" s="550"/>
      <c r="C427" s="551"/>
      <c r="D427" s="64"/>
      <c r="E427" s="64"/>
      <c r="F427" s="64"/>
      <c r="G427" s="64"/>
      <c r="H427" s="505"/>
      <c r="I427" s="505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customFormat="false" ht="15.75" hidden="false" customHeight="true" outlineLevel="0" collapsed="false">
      <c r="A428" s="550"/>
      <c r="B428" s="550"/>
      <c r="C428" s="551"/>
      <c r="D428" s="64"/>
      <c r="E428" s="64"/>
      <c r="F428" s="64"/>
      <c r="G428" s="64"/>
      <c r="H428" s="505"/>
      <c r="I428" s="505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customFormat="false" ht="15.75" hidden="false" customHeight="true" outlineLevel="0" collapsed="false">
      <c r="A429" s="550"/>
      <c r="B429" s="550"/>
      <c r="C429" s="551"/>
      <c r="D429" s="64"/>
      <c r="E429" s="64"/>
      <c r="F429" s="64"/>
      <c r="G429" s="64"/>
      <c r="H429" s="505"/>
      <c r="I429" s="505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customFormat="false" ht="15.75" hidden="false" customHeight="true" outlineLevel="0" collapsed="false">
      <c r="A430" s="550"/>
      <c r="B430" s="550"/>
      <c r="C430" s="551"/>
      <c r="D430" s="64"/>
      <c r="E430" s="64"/>
      <c r="F430" s="64"/>
      <c r="G430" s="64"/>
      <c r="H430" s="505"/>
      <c r="I430" s="505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customFormat="false" ht="15.75" hidden="false" customHeight="true" outlineLevel="0" collapsed="false">
      <c r="A431" s="550"/>
      <c r="B431" s="550"/>
      <c r="C431" s="551"/>
      <c r="D431" s="64"/>
      <c r="E431" s="64"/>
      <c r="F431" s="64"/>
      <c r="G431" s="64"/>
      <c r="H431" s="505"/>
      <c r="I431" s="505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customFormat="false" ht="15.75" hidden="false" customHeight="true" outlineLevel="0" collapsed="false">
      <c r="A432" s="550"/>
      <c r="B432" s="550"/>
      <c r="C432" s="551"/>
      <c r="D432" s="64"/>
      <c r="E432" s="64"/>
      <c r="F432" s="64"/>
      <c r="G432" s="64"/>
      <c r="H432" s="505"/>
      <c r="I432" s="505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customFormat="false" ht="15.75" hidden="false" customHeight="true" outlineLevel="0" collapsed="false">
      <c r="A433" s="550"/>
      <c r="B433" s="550"/>
      <c r="C433" s="551"/>
      <c r="D433" s="64"/>
      <c r="E433" s="64"/>
      <c r="F433" s="64"/>
      <c r="G433" s="64"/>
      <c r="H433" s="505"/>
      <c r="I433" s="505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customFormat="false" ht="15.75" hidden="false" customHeight="true" outlineLevel="0" collapsed="false">
      <c r="A434" s="550"/>
      <c r="B434" s="550"/>
      <c r="C434" s="551"/>
      <c r="D434" s="64"/>
      <c r="E434" s="64"/>
      <c r="F434" s="64"/>
      <c r="G434" s="64"/>
      <c r="H434" s="505"/>
      <c r="I434" s="505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customFormat="false" ht="15.75" hidden="false" customHeight="true" outlineLevel="0" collapsed="false">
      <c r="A435" s="550"/>
      <c r="B435" s="550"/>
      <c r="C435" s="551"/>
      <c r="D435" s="64"/>
      <c r="E435" s="64"/>
      <c r="F435" s="64"/>
      <c r="G435" s="64"/>
      <c r="H435" s="505"/>
      <c r="I435" s="505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customFormat="false" ht="15.75" hidden="false" customHeight="true" outlineLevel="0" collapsed="false">
      <c r="A436" s="550"/>
      <c r="B436" s="550"/>
      <c r="C436" s="551"/>
      <c r="D436" s="64"/>
      <c r="E436" s="64"/>
      <c r="F436" s="64"/>
      <c r="G436" s="64"/>
      <c r="H436" s="505"/>
      <c r="I436" s="505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customFormat="false" ht="15.75" hidden="false" customHeight="true" outlineLevel="0" collapsed="false">
      <c r="A437" s="550"/>
      <c r="B437" s="550"/>
      <c r="C437" s="551"/>
      <c r="D437" s="64"/>
      <c r="E437" s="64"/>
      <c r="F437" s="64"/>
      <c r="G437" s="64"/>
      <c r="H437" s="505"/>
      <c r="I437" s="505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customFormat="false" ht="15.75" hidden="false" customHeight="true" outlineLevel="0" collapsed="false">
      <c r="A438" s="550"/>
      <c r="B438" s="550"/>
      <c r="C438" s="551"/>
      <c r="D438" s="64"/>
      <c r="E438" s="64"/>
      <c r="F438" s="64"/>
      <c r="G438" s="64"/>
      <c r="H438" s="505"/>
      <c r="I438" s="505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customFormat="false" ht="15.75" hidden="false" customHeight="true" outlineLevel="0" collapsed="false">
      <c r="A439" s="550"/>
      <c r="B439" s="550"/>
      <c r="C439" s="551"/>
      <c r="D439" s="64"/>
      <c r="E439" s="64"/>
      <c r="F439" s="64"/>
      <c r="G439" s="64"/>
      <c r="H439" s="505"/>
      <c r="I439" s="505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customFormat="false" ht="15.75" hidden="false" customHeight="true" outlineLevel="0" collapsed="false">
      <c r="A440" s="550"/>
      <c r="B440" s="550"/>
      <c r="C440" s="551"/>
      <c r="D440" s="64"/>
      <c r="E440" s="64"/>
      <c r="F440" s="64"/>
      <c r="G440" s="64"/>
      <c r="H440" s="505"/>
      <c r="I440" s="505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customFormat="false" ht="15.75" hidden="false" customHeight="true" outlineLevel="0" collapsed="false">
      <c r="A441" s="550"/>
      <c r="B441" s="550"/>
      <c r="C441" s="551"/>
      <c r="D441" s="64"/>
      <c r="E441" s="64"/>
      <c r="F441" s="64"/>
      <c r="G441" s="64"/>
      <c r="H441" s="505"/>
      <c r="I441" s="505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customFormat="false" ht="15.75" hidden="false" customHeight="true" outlineLevel="0" collapsed="false">
      <c r="A442" s="550"/>
      <c r="B442" s="550"/>
      <c r="C442" s="551"/>
      <c r="D442" s="64"/>
      <c r="E442" s="64"/>
      <c r="F442" s="64"/>
      <c r="G442" s="64"/>
      <c r="H442" s="505"/>
      <c r="I442" s="505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customFormat="false" ht="15.75" hidden="false" customHeight="true" outlineLevel="0" collapsed="false">
      <c r="A443" s="550"/>
      <c r="B443" s="550"/>
      <c r="C443" s="551"/>
      <c r="D443" s="64"/>
      <c r="E443" s="64"/>
      <c r="F443" s="64"/>
      <c r="G443" s="64"/>
      <c r="H443" s="505"/>
      <c r="I443" s="505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customFormat="false" ht="15.75" hidden="false" customHeight="true" outlineLevel="0" collapsed="false">
      <c r="A444" s="550"/>
      <c r="B444" s="550"/>
      <c r="C444" s="551"/>
      <c r="D444" s="64"/>
      <c r="E444" s="64"/>
      <c r="F444" s="64"/>
      <c r="G444" s="64"/>
      <c r="H444" s="505"/>
      <c r="I444" s="505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customFormat="false" ht="15.75" hidden="false" customHeight="true" outlineLevel="0" collapsed="false">
      <c r="A445" s="550"/>
      <c r="B445" s="550"/>
      <c r="C445" s="551"/>
      <c r="D445" s="64"/>
      <c r="E445" s="64"/>
      <c r="F445" s="64"/>
      <c r="G445" s="64"/>
      <c r="H445" s="505"/>
      <c r="I445" s="505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customFormat="false" ht="15.75" hidden="false" customHeight="true" outlineLevel="0" collapsed="false">
      <c r="A446" s="550"/>
      <c r="B446" s="550"/>
      <c r="C446" s="551"/>
      <c r="D446" s="64"/>
      <c r="E446" s="64"/>
      <c r="F446" s="64"/>
      <c r="G446" s="64"/>
      <c r="H446" s="505"/>
      <c r="I446" s="505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customFormat="false" ht="15.75" hidden="false" customHeight="true" outlineLevel="0" collapsed="false">
      <c r="A447" s="550"/>
      <c r="B447" s="550"/>
      <c r="C447" s="551"/>
      <c r="D447" s="64"/>
      <c r="E447" s="64"/>
      <c r="F447" s="64"/>
      <c r="G447" s="64"/>
      <c r="H447" s="505"/>
      <c r="I447" s="505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customFormat="false" ht="15.75" hidden="false" customHeight="true" outlineLevel="0" collapsed="false">
      <c r="A448" s="550"/>
      <c r="B448" s="550"/>
      <c r="C448" s="551"/>
      <c r="D448" s="64"/>
      <c r="E448" s="64"/>
      <c r="F448" s="64"/>
      <c r="G448" s="64"/>
      <c r="H448" s="505"/>
      <c r="I448" s="505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customFormat="false" ht="15.75" hidden="false" customHeight="true" outlineLevel="0" collapsed="false">
      <c r="A449" s="550"/>
      <c r="B449" s="550"/>
      <c r="C449" s="551"/>
      <c r="D449" s="64"/>
      <c r="E449" s="64"/>
      <c r="F449" s="64"/>
      <c r="G449" s="64"/>
      <c r="H449" s="505"/>
      <c r="I449" s="505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customFormat="false" ht="15.75" hidden="false" customHeight="true" outlineLevel="0" collapsed="false">
      <c r="A450" s="550"/>
      <c r="B450" s="550"/>
      <c r="C450" s="551"/>
      <c r="D450" s="64"/>
      <c r="E450" s="64"/>
      <c r="F450" s="64"/>
      <c r="G450" s="64"/>
      <c r="H450" s="505"/>
      <c r="I450" s="505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customFormat="false" ht="15.75" hidden="false" customHeight="true" outlineLevel="0" collapsed="false">
      <c r="A451" s="550"/>
      <c r="B451" s="550"/>
      <c r="C451" s="551"/>
      <c r="D451" s="64"/>
      <c r="E451" s="64"/>
      <c r="F451" s="64"/>
      <c r="G451" s="64"/>
      <c r="H451" s="505"/>
      <c r="I451" s="505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customFormat="false" ht="15.75" hidden="false" customHeight="true" outlineLevel="0" collapsed="false">
      <c r="A452" s="550"/>
      <c r="B452" s="550"/>
      <c r="C452" s="551"/>
      <c r="D452" s="64"/>
      <c r="E452" s="64"/>
      <c r="F452" s="64"/>
      <c r="G452" s="64"/>
      <c r="H452" s="505"/>
      <c r="I452" s="505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customFormat="false" ht="15.75" hidden="false" customHeight="true" outlineLevel="0" collapsed="false">
      <c r="A453" s="550"/>
      <c r="B453" s="550"/>
      <c r="C453" s="551"/>
      <c r="D453" s="64"/>
      <c r="E453" s="64"/>
      <c r="F453" s="64"/>
      <c r="G453" s="64"/>
      <c r="H453" s="505"/>
      <c r="I453" s="505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customFormat="false" ht="15.75" hidden="false" customHeight="true" outlineLevel="0" collapsed="false">
      <c r="A454" s="550"/>
      <c r="B454" s="550"/>
      <c r="C454" s="551"/>
      <c r="D454" s="64"/>
      <c r="E454" s="64"/>
      <c r="F454" s="64"/>
      <c r="G454" s="64"/>
      <c r="H454" s="505"/>
      <c r="I454" s="505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customFormat="false" ht="15.75" hidden="false" customHeight="true" outlineLevel="0" collapsed="false">
      <c r="A455" s="550"/>
      <c r="B455" s="550"/>
      <c r="C455" s="551"/>
      <c r="D455" s="64"/>
      <c r="E455" s="64"/>
      <c r="F455" s="64"/>
      <c r="G455" s="64"/>
      <c r="H455" s="505"/>
      <c r="I455" s="505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customFormat="false" ht="15.75" hidden="false" customHeight="true" outlineLevel="0" collapsed="false">
      <c r="A456" s="550"/>
      <c r="B456" s="550"/>
      <c r="C456" s="551"/>
      <c r="D456" s="64"/>
      <c r="E456" s="64"/>
      <c r="F456" s="64"/>
      <c r="G456" s="64"/>
      <c r="H456" s="505"/>
      <c r="I456" s="505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customFormat="false" ht="15.75" hidden="false" customHeight="true" outlineLevel="0" collapsed="false">
      <c r="A457" s="550"/>
      <c r="B457" s="550"/>
      <c r="C457" s="551"/>
      <c r="D457" s="64"/>
      <c r="E457" s="64"/>
      <c r="F457" s="64"/>
      <c r="G457" s="64"/>
      <c r="H457" s="505"/>
      <c r="I457" s="505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customFormat="false" ht="15.75" hidden="false" customHeight="true" outlineLevel="0" collapsed="false">
      <c r="A458" s="550"/>
      <c r="B458" s="550"/>
      <c r="C458" s="551"/>
      <c r="D458" s="64"/>
      <c r="E458" s="64"/>
      <c r="F458" s="64"/>
      <c r="G458" s="64"/>
      <c r="H458" s="505"/>
      <c r="I458" s="505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customFormat="false" ht="15.75" hidden="false" customHeight="true" outlineLevel="0" collapsed="false">
      <c r="A459" s="550"/>
      <c r="B459" s="550"/>
      <c r="C459" s="551"/>
      <c r="D459" s="64"/>
      <c r="E459" s="64"/>
      <c r="F459" s="64"/>
      <c r="G459" s="64"/>
      <c r="H459" s="505"/>
      <c r="I459" s="505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customFormat="false" ht="15.75" hidden="false" customHeight="true" outlineLevel="0" collapsed="false">
      <c r="A460" s="550"/>
      <c r="B460" s="550"/>
      <c r="C460" s="551"/>
      <c r="D460" s="64"/>
      <c r="E460" s="64"/>
      <c r="F460" s="64"/>
      <c r="G460" s="64"/>
      <c r="H460" s="505"/>
      <c r="I460" s="505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customFormat="false" ht="15.75" hidden="false" customHeight="true" outlineLevel="0" collapsed="false">
      <c r="A461" s="550"/>
      <c r="B461" s="550"/>
      <c r="C461" s="551"/>
      <c r="D461" s="64"/>
      <c r="E461" s="64"/>
      <c r="F461" s="64"/>
      <c r="G461" s="64"/>
      <c r="H461" s="505"/>
      <c r="I461" s="505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customFormat="false" ht="15.75" hidden="false" customHeight="true" outlineLevel="0" collapsed="false">
      <c r="A462" s="550"/>
      <c r="B462" s="550"/>
      <c r="C462" s="551"/>
      <c r="D462" s="64"/>
      <c r="E462" s="64"/>
      <c r="F462" s="64"/>
      <c r="G462" s="64"/>
      <c r="H462" s="505"/>
      <c r="I462" s="505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customFormat="false" ht="15.75" hidden="false" customHeight="true" outlineLevel="0" collapsed="false">
      <c r="A463" s="550"/>
      <c r="B463" s="550"/>
      <c r="C463" s="551"/>
      <c r="D463" s="64"/>
      <c r="E463" s="64"/>
      <c r="F463" s="64"/>
      <c r="G463" s="64"/>
      <c r="H463" s="505"/>
      <c r="I463" s="505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customFormat="false" ht="15.75" hidden="false" customHeight="true" outlineLevel="0" collapsed="false">
      <c r="A464" s="550"/>
      <c r="B464" s="550"/>
      <c r="C464" s="551"/>
      <c r="D464" s="64"/>
      <c r="E464" s="64"/>
      <c r="F464" s="64"/>
      <c r="G464" s="64"/>
      <c r="H464" s="505"/>
      <c r="I464" s="505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customFormat="false" ht="15.75" hidden="false" customHeight="true" outlineLevel="0" collapsed="false">
      <c r="A465" s="550"/>
      <c r="B465" s="550"/>
      <c r="C465" s="551"/>
      <c r="D465" s="64"/>
      <c r="E465" s="64"/>
      <c r="F465" s="64"/>
      <c r="G465" s="64"/>
      <c r="H465" s="505"/>
      <c r="I465" s="505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customFormat="false" ht="15.75" hidden="false" customHeight="true" outlineLevel="0" collapsed="false">
      <c r="A466" s="550"/>
      <c r="B466" s="550"/>
      <c r="C466" s="551"/>
      <c r="D466" s="64"/>
      <c r="E466" s="64"/>
      <c r="F466" s="64"/>
      <c r="G466" s="64"/>
      <c r="H466" s="505"/>
      <c r="I466" s="505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customFormat="false" ht="15.75" hidden="false" customHeight="true" outlineLevel="0" collapsed="false">
      <c r="A467" s="550"/>
      <c r="B467" s="550"/>
      <c r="C467" s="551"/>
      <c r="D467" s="64"/>
      <c r="E467" s="64"/>
      <c r="F467" s="64"/>
      <c r="G467" s="64"/>
      <c r="H467" s="505"/>
      <c r="I467" s="505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customFormat="false" ht="15.75" hidden="false" customHeight="true" outlineLevel="0" collapsed="false">
      <c r="A468" s="550"/>
      <c r="B468" s="550"/>
      <c r="C468" s="551"/>
      <c r="D468" s="64"/>
      <c r="E468" s="64"/>
      <c r="F468" s="64"/>
      <c r="G468" s="64"/>
      <c r="H468" s="505"/>
      <c r="I468" s="505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customFormat="false" ht="15.75" hidden="false" customHeight="true" outlineLevel="0" collapsed="false">
      <c r="A469" s="550"/>
      <c r="B469" s="550"/>
      <c r="C469" s="551"/>
      <c r="D469" s="64"/>
      <c r="E469" s="64"/>
      <c r="F469" s="64"/>
      <c r="G469" s="64"/>
      <c r="H469" s="505"/>
      <c r="I469" s="505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customFormat="false" ht="15.75" hidden="false" customHeight="true" outlineLevel="0" collapsed="false">
      <c r="A470" s="550"/>
      <c r="B470" s="550"/>
      <c r="C470" s="551"/>
      <c r="D470" s="64"/>
      <c r="E470" s="64"/>
      <c r="F470" s="64"/>
      <c r="G470" s="64"/>
      <c r="H470" s="505"/>
      <c r="I470" s="505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customFormat="false" ht="15.75" hidden="false" customHeight="true" outlineLevel="0" collapsed="false">
      <c r="A471" s="550"/>
      <c r="B471" s="550"/>
      <c r="C471" s="551"/>
      <c r="D471" s="64"/>
      <c r="E471" s="64"/>
      <c r="F471" s="64"/>
      <c r="G471" s="64"/>
      <c r="H471" s="505"/>
      <c r="I471" s="505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customFormat="false" ht="15.75" hidden="false" customHeight="true" outlineLevel="0" collapsed="false">
      <c r="A472" s="550"/>
      <c r="B472" s="550"/>
      <c r="C472" s="551"/>
      <c r="D472" s="64"/>
      <c r="E472" s="64"/>
      <c r="F472" s="64"/>
      <c r="G472" s="64"/>
      <c r="H472" s="505"/>
      <c r="I472" s="505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customFormat="false" ht="15.75" hidden="false" customHeight="true" outlineLevel="0" collapsed="false">
      <c r="A473" s="550"/>
      <c r="B473" s="550"/>
      <c r="C473" s="551"/>
      <c r="D473" s="64"/>
      <c r="E473" s="64"/>
      <c r="F473" s="64"/>
      <c r="G473" s="64"/>
      <c r="H473" s="505"/>
      <c r="I473" s="505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customFormat="false" ht="15.75" hidden="false" customHeight="true" outlineLevel="0" collapsed="false">
      <c r="A474" s="550"/>
      <c r="B474" s="550"/>
      <c r="C474" s="551"/>
      <c r="D474" s="64"/>
      <c r="E474" s="64"/>
      <c r="F474" s="64"/>
      <c r="G474" s="64"/>
      <c r="H474" s="505"/>
      <c r="I474" s="505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customFormat="false" ht="15.75" hidden="false" customHeight="true" outlineLevel="0" collapsed="false">
      <c r="A475" s="550"/>
      <c r="B475" s="550"/>
      <c r="C475" s="551"/>
      <c r="D475" s="64"/>
      <c r="E475" s="64"/>
      <c r="F475" s="64"/>
      <c r="G475" s="64"/>
      <c r="H475" s="505"/>
      <c r="I475" s="505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customFormat="false" ht="15.75" hidden="false" customHeight="true" outlineLevel="0" collapsed="false">
      <c r="A476" s="550"/>
      <c r="B476" s="550"/>
      <c r="C476" s="551"/>
      <c r="D476" s="64"/>
      <c r="E476" s="64"/>
      <c r="F476" s="64"/>
      <c r="G476" s="64"/>
      <c r="H476" s="505"/>
      <c r="I476" s="505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customFormat="false" ht="15.75" hidden="false" customHeight="true" outlineLevel="0" collapsed="false">
      <c r="A477" s="550"/>
      <c r="B477" s="550"/>
      <c r="C477" s="551"/>
      <c r="D477" s="64"/>
      <c r="E477" s="64"/>
      <c r="F477" s="64"/>
      <c r="G477" s="64"/>
      <c r="H477" s="505"/>
      <c r="I477" s="505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customFormat="false" ht="15.75" hidden="false" customHeight="true" outlineLevel="0" collapsed="false">
      <c r="A478" s="550"/>
      <c r="B478" s="550"/>
      <c r="C478" s="551"/>
      <c r="D478" s="64"/>
      <c r="E478" s="64"/>
      <c r="F478" s="64"/>
      <c r="G478" s="64"/>
      <c r="H478" s="505"/>
      <c r="I478" s="505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customFormat="false" ht="15.75" hidden="false" customHeight="true" outlineLevel="0" collapsed="false">
      <c r="A479" s="550"/>
      <c r="B479" s="550"/>
      <c r="C479" s="551"/>
      <c r="D479" s="64"/>
      <c r="E479" s="64"/>
      <c r="F479" s="64"/>
      <c r="G479" s="64"/>
      <c r="H479" s="505"/>
      <c r="I479" s="505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customFormat="false" ht="15.75" hidden="false" customHeight="true" outlineLevel="0" collapsed="false">
      <c r="A480" s="550"/>
      <c r="B480" s="550"/>
      <c r="C480" s="551"/>
      <c r="D480" s="64"/>
      <c r="E480" s="64"/>
      <c r="F480" s="64"/>
      <c r="G480" s="64"/>
      <c r="H480" s="505"/>
      <c r="I480" s="505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customFormat="false" ht="15.75" hidden="false" customHeight="true" outlineLevel="0" collapsed="false">
      <c r="A481" s="550"/>
      <c r="B481" s="550"/>
      <c r="C481" s="551"/>
      <c r="D481" s="64"/>
      <c r="E481" s="64"/>
      <c r="F481" s="64"/>
      <c r="G481" s="64"/>
      <c r="H481" s="505"/>
      <c r="I481" s="505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customFormat="false" ht="15.75" hidden="false" customHeight="true" outlineLevel="0" collapsed="false">
      <c r="A482" s="550"/>
      <c r="B482" s="550"/>
      <c r="C482" s="551"/>
      <c r="D482" s="64"/>
      <c r="E482" s="64"/>
      <c r="F482" s="64"/>
      <c r="G482" s="64"/>
      <c r="H482" s="505"/>
      <c r="I482" s="505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customFormat="false" ht="15.75" hidden="false" customHeight="true" outlineLevel="0" collapsed="false">
      <c r="A483" s="550"/>
      <c r="B483" s="550"/>
      <c r="C483" s="551"/>
      <c r="D483" s="64"/>
      <c r="E483" s="64"/>
      <c r="F483" s="64"/>
      <c r="G483" s="64"/>
      <c r="H483" s="505"/>
      <c r="I483" s="505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customFormat="false" ht="15.75" hidden="false" customHeight="true" outlineLevel="0" collapsed="false">
      <c r="A484" s="550"/>
      <c r="B484" s="550"/>
      <c r="C484" s="551"/>
      <c r="D484" s="64"/>
      <c r="E484" s="64"/>
      <c r="F484" s="64"/>
      <c r="G484" s="64"/>
      <c r="H484" s="505"/>
      <c r="I484" s="505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customFormat="false" ht="15.75" hidden="false" customHeight="true" outlineLevel="0" collapsed="false">
      <c r="A485" s="550"/>
      <c r="B485" s="550"/>
      <c r="C485" s="551"/>
      <c r="D485" s="64"/>
      <c r="E485" s="64"/>
      <c r="F485" s="64"/>
      <c r="G485" s="64"/>
      <c r="H485" s="505"/>
      <c r="I485" s="505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customFormat="false" ht="15.75" hidden="false" customHeight="true" outlineLevel="0" collapsed="false">
      <c r="A486" s="550"/>
      <c r="B486" s="550"/>
      <c r="C486" s="551"/>
      <c r="D486" s="64"/>
      <c r="E486" s="64"/>
      <c r="F486" s="64"/>
      <c r="G486" s="64"/>
      <c r="H486" s="505"/>
      <c r="I486" s="505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customFormat="false" ht="15.75" hidden="false" customHeight="true" outlineLevel="0" collapsed="false">
      <c r="A487" s="550"/>
      <c r="B487" s="550"/>
      <c r="C487" s="551"/>
      <c r="D487" s="64"/>
      <c r="E487" s="64"/>
      <c r="F487" s="64"/>
      <c r="G487" s="64"/>
      <c r="H487" s="505"/>
      <c r="I487" s="505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customFormat="false" ht="15.75" hidden="false" customHeight="true" outlineLevel="0" collapsed="false">
      <c r="A488" s="550"/>
      <c r="B488" s="550"/>
      <c r="C488" s="551"/>
      <c r="D488" s="64"/>
      <c r="E488" s="64"/>
      <c r="F488" s="64"/>
      <c r="G488" s="64"/>
      <c r="H488" s="505"/>
      <c r="I488" s="505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customFormat="false" ht="15.75" hidden="false" customHeight="true" outlineLevel="0" collapsed="false">
      <c r="A489" s="550"/>
      <c r="B489" s="550"/>
      <c r="C489" s="551"/>
      <c r="D489" s="64"/>
      <c r="E489" s="64"/>
      <c r="F489" s="64"/>
      <c r="G489" s="64"/>
      <c r="H489" s="505"/>
      <c r="I489" s="505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customFormat="false" ht="15.75" hidden="false" customHeight="true" outlineLevel="0" collapsed="false">
      <c r="A490" s="550"/>
      <c r="B490" s="550"/>
      <c r="C490" s="551"/>
      <c r="D490" s="64"/>
      <c r="E490" s="64"/>
      <c r="F490" s="64"/>
      <c r="G490" s="64"/>
      <c r="H490" s="505"/>
      <c r="I490" s="505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customFormat="false" ht="15.75" hidden="false" customHeight="true" outlineLevel="0" collapsed="false">
      <c r="A491" s="550"/>
      <c r="B491" s="550"/>
      <c r="C491" s="551"/>
      <c r="D491" s="64"/>
      <c r="E491" s="64"/>
      <c r="F491" s="64"/>
      <c r="G491" s="64"/>
      <c r="H491" s="505"/>
      <c r="I491" s="505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customFormat="false" ht="15.75" hidden="false" customHeight="true" outlineLevel="0" collapsed="false">
      <c r="A492" s="550"/>
      <c r="B492" s="550"/>
      <c r="C492" s="551"/>
      <c r="D492" s="64"/>
      <c r="E492" s="64"/>
      <c r="F492" s="64"/>
      <c r="G492" s="64"/>
      <c r="H492" s="505"/>
      <c r="I492" s="505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customFormat="false" ht="15.75" hidden="false" customHeight="true" outlineLevel="0" collapsed="false">
      <c r="A493" s="550"/>
      <c r="B493" s="550"/>
      <c r="C493" s="551"/>
      <c r="D493" s="64"/>
      <c r="E493" s="64"/>
      <c r="F493" s="64"/>
      <c r="G493" s="64"/>
      <c r="H493" s="505"/>
      <c r="I493" s="505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customFormat="false" ht="15.75" hidden="false" customHeight="true" outlineLevel="0" collapsed="false">
      <c r="A494" s="550"/>
      <c r="B494" s="550"/>
      <c r="C494" s="551"/>
      <c r="D494" s="64"/>
      <c r="E494" s="64"/>
      <c r="F494" s="64"/>
      <c r="G494" s="64"/>
      <c r="H494" s="505"/>
      <c r="I494" s="505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customFormat="false" ht="15.75" hidden="false" customHeight="true" outlineLevel="0" collapsed="false">
      <c r="A495" s="550"/>
      <c r="B495" s="550"/>
      <c r="C495" s="551"/>
      <c r="D495" s="64"/>
      <c r="E495" s="64"/>
      <c r="F495" s="64"/>
      <c r="G495" s="64"/>
      <c r="H495" s="505"/>
      <c r="I495" s="505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customFormat="false" ht="15.75" hidden="false" customHeight="true" outlineLevel="0" collapsed="false">
      <c r="A496" s="550"/>
      <c r="B496" s="550"/>
      <c r="C496" s="551"/>
      <c r="D496" s="64"/>
      <c r="E496" s="64"/>
      <c r="F496" s="64"/>
      <c r="G496" s="64"/>
      <c r="H496" s="505"/>
      <c r="I496" s="505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customFormat="false" ht="15.75" hidden="false" customHeight="true" outlineLevel="0" collapsed="false">
      <c r="A497" s="550"/>
      <c r="B497" s="550"/>
      <c r="C497" s="551"/>
      <c r="D497" s="64"/>
      <c r="E497" s="64"/>
      <c r="F497" s="64"/>
      <c r="G497" s="64"/>
      <c r="H497" s="505"/>
      <c r="I497" s="505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customFormat="false" ht="15.75" hidden="false" customHeight="true" outlineLevel="0" collapsed="false">
      <c r="A498" s="550"/>
      <c r="B498" s="550"/>
      <c r="C498" s="551"/>
      <c r="D498" s="64"/>
      <c r="E498" s="64"/>
      <c r="F498" s="64"/>
      <c r="G498" s="64"/>
      <c r="H498" s="505"/>
      <c r="I498" s="505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customFormat="false" ht="15.75" hidden="false" customHeight="true" outlineLevel="0" collapsed="false">
      <c r="A499" s="550"/>
      <c r="B499" s="550"/>
      <c r="C499" s="551"/>
      <c r="D499" s="64"/>
      <c r="E499" s="64"/>
      <c r="F499" s="64"/>
      <c r="G499" s="64"/>
      <c r="H499" s="505"/>
      <c r="I499" s="505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customFormat="false" ht="15.75" hidden="false" customHeight="true" outlineLevel="0" collapsed="false">
      <c r="A500" s="550"/>
      <c r="B500" s="550"/>
      <c r="C500" s="551"/>
      <c r="D500" s="64"/>
      <c r="E500" s="64"/>
      <c r="F500" s="64"/>
      <c r="G500" s="64"/>
      <c r="H500" s="505"/>
      <c r="I500" s="505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customFormat="false" ht="15.75" hidden="false" customHeight="true" outlineLevel="0" collapsed="false">
      <c r="A501" s="550"/>
      <c r="B501" s="550"/>
      <c r="C501" s="551"/>
      <c r="D501" s="64"/>
      <c r="E501" s="64"/>
      <c r="F501" s="64"/>
      <c r="G501" s="64"/>
      <c r="H501" s="505"/>
      <c r="I501" s="505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customFormat="false" ht="15.75" hidden="false" customHeight="true" outlineLevel="0" collapsed="false">
      <c r="A502" s="550"/>
      <c r="B502" s="550"/>
      <c r="C502" s="551"/>
      <c r="D502" s="64"/>
      <c r="E502" s="64"/>
      <c r="F502" s="64"/>
      <c r="G502" s="64"/>
      <c r="H502" s="505"/>
      <c r="I502" s="505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customFormat="false" ht="15.75" hidden="false" customHeight="true" outlineLevel="0" collapsed="false">
      <c r="A503" s="550"/>
      <c r="B503" s="550"/>
      <c r="C503" s="551"/>
      <c r="D503" s="64"/>
      <c r="E503" s="64"/>
      <c r="F503" s="64"/>
      <c r="G503" s="64"/>
      <c r="H503" s="505"/>
      <c r="I503" s="505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customFormat="false" ht="15.75" hidden="false" customHeight="true" outlineLevel="0" collapsed="false">
      <c r="A504" s="550"/>
      <c r="B504" s="550"/>
      <c r="C504" s="551"/>
      <c r="D504" s="64"/>
      <c r="E504" s="64"/>
      <c r="F504" s="64"/>
      <c r="G504" s="64"/>
      <c r="H504" s="505"/>
      <c r="I504" s="505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customFormat="false" ht="15.75" hidden="false" customHeight="true" outlineLevel="0" collapsed="false">
      <c r="A505" s="550"/>
      <c r="B505" s="550"/>
      <c r="C505" s="551"/>
      <c r="D505" s="64"/>
      <c r="E505" s="64"/>
      <c r="F505" s="64"/>
      <c r="G505" s="64"/>
      <c r="H505" s="505"/>
      <c r="I505" s="505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customFormat="false" ht="15.75" hidden="false" customHeight="true" outlineLevel="0" collapsed="false">
      <c r="A506" s="550"/>
      <c r="B506" s="550"/>
      <c r="C506" s="551"/>
      <c r="D506" s="64"/>
      <c r="E506" s="64"/>
      <c r="F506" s="64"/>
      <c r="G506" s="64"/>
      <c r="H506" s="505"/>
      <c r="I506" s="505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customFormat="false" ht="15.75" hidden="false" customHeight="true" outlineLevel="0" collapsed="false">
      <c r="A507" s="550"/>
      <c r="B507" s="550"/>
      <c r="C507" s="551"/>
      <c r="D507" s="64"/>
      <c r="E507" s="64"/>
      <c r="F507" s="64"/>
      <c r="G507" s="64"/>
      <c r="H507" s="505"/>
      <c r="I507" s="505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customFormat="false" ht="15.75" hidden="false" customHeight="true" outlineLevel="0" collapsed="false">
      <c r="A508" s="550"/>
      <c r="B508" s="550"/>
      <c r="C508" s="551"/>
      <c r="D508" s="64"/>
      <c r="E508" s="64"/>
      <c r="F508" s="64"/>
      <c r="G508" s="64"/>
      <c r="H508" s="505"/>
      <c r="I508" s="505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customFormat="false" ht="15.75" hidden="false" customHeight="true" outlineLevel="0" collapsed="false">
      <c r="A509" s="550"/>
      <c r="B509" s="550"/>
      <c r="C509" s="551"/>
      <c r="D509" s="64"/>
      <c r="E509" s="64"/>
      <c r="F509" s="64"/>
      <c r="G509" s="64"/>
      <c r="H509" s="505"/>
      <c r="I509" s="505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customFormat="false" ht="15.75" hidden="false" customHeight="true" outlineLevel="0" collapsed="false">
      <c r="A510" s="550"/>
      <c r="B510" s="550"/>
      <c r="C510" s="551"/>
      <c r="D510" s="64"/>
      <c r="E510" s="64"/>
      <c r="F510" s="64"/>
      <c r="G510" s="64"/>
      <c r="H510" s="505"/>
      <c r="I510" s="505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customFormat="false" ht="15.75" hidden="false" customHeight="true" outlineLevel="0" collapsed="false">
      <c r="A511" s="550"/>
      <c r="B511" s="550"/>
      <c r="C511" s="551"/>
      <c r="D511" s="64"/>
      <c r="E511" s="64"/>
      <c r="F511" s="64"/>
      <c r="G511" s="64"/>
      <c r="H511" s="505"/>
      <c r="I511" s="505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customFormat="false" ht="15.75" hidden="false" customHeight="true" outlineLevel="0" collapsed="false">
      <c r="A512" s="550"/>
      <c r="B512" s="550"/>
      <c r="C512" s="551"/>
      <c r="D512" s="64"/>
      <c r="E512" s="64"/>
      <c r="F512" s="64"/>
      <c r="G512" s="64"/>
      <c r="H512" s="505"/>
      <c r="I512" s="505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customFormat="false" ht="15.75" hidden="false" customHeight="true" outlineLevel="0" collapsed="false">
      <c r="A513" s="550"/>
      <c r="B513" s="550"/>
      <c r="C513" s="551"/>
      <c r="D513" s="64"/>
      <c r="E513" s="64"/>
      <c r="F513" s="64"/>
      <c r="G513" s="64"/>
      <c r="H513" s="505"/>
      <c r="I513" s="505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customFormat="false" ht="15.75" hidden="false" customHeight="true" outlineLevel="0" collapsed="false">
      <c r="A514" s="550"/>
      <c r="B514" s="550"/>
      <c r="C514" s="551"/>
      <c r="D514" s="64"/>
      <c r="E514" s="64"/>
      <c r="F514" s="64"/>
      <c r="G514" s="64"/>
      <c r="H514" s="505"/>
      <c r="I514" s="505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customFormat="false" ht="15.75" hidden="false" customHeight="true" outlineLevel="0" collapsed="false">
      <c r="A515" s="550"/>
      <c r="B515" s="550"/>
      <c r="C515" s="551"/>
      <c r="D515" s="64"/>
      <c r="E515" s="64"/>
      <c r="F515" s="64"/>
      <c r="G515" s="64"/>
      <c r="H515" s="505"/>
      <c r="I515" s="505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customFormat="false" ht="15.75" hidden="false" customHeight="true" outlineLevel="0" collapsed="false">
      <c r="A516" s="550"/>
      <c r="B516" s="550"/>
      <c r="C516" s="551"/>
      <c r="D516" s="64"/>
      <c r="E516" s="64"/>
      <c r="F516" s="64"/>
      <c r="G516" s="64"/>
      <c r="H516" s="505"/>
      <c r="I516" s="505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customFormat="false" ht="15.75" hidden="false" customHeight="true" outlineLevel="0" collapsed="false">
      <c r="A517" s="550"/>
      <c r="B517" s="550"/>
      <c r="C517" s="551"/>
      <c r="D517" s="64"/>
      <c r="E517" s="64"/>
      <c r="F517" s="64"/>
      <c r="G517" s="64"/>
      <c r="H517" s="505"/>
      <c r="I517" s="505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customFormat="false" ht="15.75" hidden="false" customHeight="true" outlineLevel="0" collapsed="false">
      <c r="A518" s="550"/>
      <c r="B518" s="550"/>
      <c r="C518" s="551"/>
      <c r="D518" s="64"/>
      <c r="E518" s="64"/>
      <c r="F518" s="64"/>
      <c r="G518" s="64"/>
      <c r="H518" s="505"/>
      <c r="I518" s="505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customFormat="false" ht="15.75" hidden="false" customHeight="true" outlineLevel="0" collapsed="false">
      <c r="A519" s="550"/>
      <c r="B519" s="550"/>
      <c r="C519" s="551"/>
      <c r="D519" s="64"/>
      <c r="E519" s="64"/>
      <c r="F519" s="64"/>
      <c r="G519" s="64"/>
      <c r="H519" s="505"/>
      <c r="I519" s="505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customFormat="false" ht="15.75" hidden="false" customHeight="true" outlineLevel="0" collapsed="false">
      <c r="A520" s="550"/>
      <c r="B520" s="550"/>
      <c r="C520" s="551"/>
      <c r="D520" s="64"/>
      <c r="E520" s="64"/>
      <c r="F520" s="64"/>
      <c r="G520" s="64"/>
      <c r="H520" s="505"/>
      <c r="I520" s="505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customFormat="false" ht="15.75" hidden="false" customHeight="true" outlineLevel="0" collapsed="false">
      <c r="A521" s="550"/>
      <c r="B521" s="550"/>
      <c r="C521" s="551"/>
      <c r="D521" s="64"/>
      <c r="E521" s="64"/>
      <c r="F521" s="64"/>
      <c r="G521" s="64"/>
      <c r="H521" s="505"/>
      <c r="I521" s="505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customFormat="false" ht="15.75" hidden="false" customHeight="true" outlineLevel="0" collapsed="false">
      <c r="A522" s="550"/>
      <c r="B522" s="550"/>
      <c r="C522" s="551"/>
      <c r="D522" s="64"/>
      <c r="E522" s="64"/>
      <c r="F522" s="64"/>
      <c r="G522" s="64"/>
      <c r="H522" s="505"/>
      <c r="I522" s="505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customFormat="false" ht="15.75" hidden="false" customHeight="true" outlineLevel="0" collapsed="false">
      <c r="A523" s="550"/>
      <c r="B523" s="550"/>
      <c r="C523" s="551"/>
      <c r="D523" s="64"/>
      <c r="E523" s="64"/>
      <c r="F523" s="64"/>
      <c r="G523" s="64"/>
      <c r="H523" s="505"/>
      <c r="I523" s="505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customFormat="false" ht="15.75" hidden="false" customHeight="true" outlineLevel="0" collapsed="false">
      <c r="A524" s="550"/>
      <c r="B524" s="550"/>
      <c r="C524" s="551"/>
      <c r="D524" s="64"/>
      <c r="E524" s="64"/>
      <c r="F524" s="64"/>
      <c r="G524" s="64"/>
      <c r="H524" s="505"/>
      <c r="I524" s="505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customFormat="false" ht="15.75" hidden="false" customHeight="true" outlineLevel="0" collapsed="false">
      <c r="A525" s="550"/>
      <c r="B525" s="550"/>
      <c r="C525" s="551"/>
      <c r="D525" s="64"/>
      <c r="E525" s="64"/>
      <c r="F525" s="64"/>
      <c r="G525" s="64"/>
      <c r="H525" s="505"/>
      <c r="I525" s="505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customFormat="false" ht="15.75" hidden="false" customHeight="true" outlineLevel="0" collapsed="false">
      <c r="A526" s="550"/>
      <c r="B526" s="550"/>
      <c r="C526" s="551"/>
      <c r="D526" s="64"/>
      <c r="E526" s="64"/>
      <c r="F526" s="64"/>
      <c r="G526" s="64"/>
      <c r="H526" s="505"/>
      <c r="I526" s="505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customFormat="false" ht="15.75" hidden="false" customHeight="true" outlineLevel="0" collapsed="false">
      <c r="A527" s="550"/>
      <c r="B527" s="550"/>
      <c r="C527" s="551"/>
      <c r="D527" s="64"/>
      <c r="E527" s="64"/>
      <c r="F527" s="64"/>
      <c r="G527" s="64"/>
      <c r="H527" s="505"/>
      <c r="I527" s="505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customFormat="false" ht="15.75" hidden="false" customHeight="true" outlineLevel="0" collapsed="false">
      <c r="A528" s="550"/>
      <c r="B528" s="550"/>
      <c r="C528" s="551"/>
      <c r="D528" s="64"/>
      <c r="E528" s="64"/>
      <c r="F528" s="64"/>
      <c r="G528" s="64"/>
      <c r="H528" s="505"/>
      <c r="I528" s="505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customFormat="false" ht="15.75" hidden="false" customHeight="true" outlineLevel="0" collapsed="false">
      <c r="A529" s="550"/>
      <c r="B529" s="550"/>
      <c r="C529" s="551"/>
      <c r="D529" s="64"/>
      <c r="E529" s="64"/>
      <c r="F529" s="64"/>
      <c r="G529" s="64"/>
      <c r="H529" s="505"/>
      <c r="I529" s="505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customFormat="false" ht="15.75" hidden="false" customHeight="true" outlineLevel="0" collapsed="false">
      <c r="A530" s="550"/>
      <c r="B530" s="550"/>
      <c r="C530" s="551"/>
      <c r="D530" s="64"/>
      <c r="E530" s="64"/>
      <c r="F530" s="64"/>
      <c r="G530" s="64"/>
      <c r="H530" s="505"/>
      <c r="I530" s="505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customFormat="false" ht="15.75" hidden="false" customHeight="true" outlineLevel="0" collapsed="false">
      <c r="A531" s="550"/>
      <c r="B531" s="550"/>
      <c r="C531" s="551"/>
      <c r="D531" s="64"/>
      <c r="E531" s="64"/>
      <c r="F531" s="64"/>
      <c r="G531" s="64"/>
      <c r="H531" s="505"/>
      <c r="I531" s="505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customFormat="false" ht="15.75" hidden="false" customHeight="true" outlineLevel="0" collapsed="false">
      <c r="A532" s="550"/>
      <c r="B532" s="550"/>
      <c r="C532" s="551"/>
      <c r="D532" s="64"/>
      <c r="E532" s="64"/>
      <c r="F532" s="64"/>
      <c r="G532" s="64"/>
      <c r="H532" s="505"/>
      <c r="I532" s="505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customFormat="false" ht="15.75" hidden="false" customHeight="true" outlineLevel="0" collapsed="false">
      <c r="A533" s="550"/>
      <c r="B533" s="550"/>
      <c r="C533" s="551"/>
      <c r="D533" s="64"/>
      <c r="E533" s="64"/>
      <c r="F533" s="64"/>
      <c r="G533" s="64"/>
      <c r="H533" s="505"/>
      <c r="I533" s="505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customFormat="false" ht="15.75" hidden="false" customHeight="true" outlineLevel="0" collapsed="false">
      <c r="A534" s="550"/>
      <c r="B534" s="550"/>
      <c r="C534" s="551"/>
      <c r="D534" s="64"/>
      <c r="E534" s="64"/>
      <c r="F534" s="64"/>
      <c r="G534" s="64"/>
      <c r="H534" s="505"/>
      <c r="I534" s="505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customFormat="false" ht="15.75" hidden="false" customHeight="true" outlineLevel="0" collapsed="false">
      <c r="A535" s="550"/>
      <c r="B535" s="550"/>
      <c r="C535" s="551"/>
      <c r="D535" s="64"/>
      <c r="E535" s="64"/>
      <c r="F535" s="64"/>
      <c r="G535" s="64"/>
      <c r="H535" s="505"/>
      <c r="I535" s="505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customFormat="false" ht="15.75" hidden="false" customHeight="true" outlineLevel="0" collapsed="false">
      <c r="A536" s="550"/>
      <c r="B536" s="550"/>
      <c r="C536" s="551"/>
      <c r="D536" s="64"/>
      <c r="E536" s="64"/>
      <c r="F536" s="64"/>
      <c r="G536" s="64"/>
      <c r="H536" s="505"/>
      <c r="I536" s="505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customFormat="false" ht="15.75" hidden="false" customHeight="true" outlineLevel="0" collapsed="false">
      <c r="A537" s="550"/>
      <c r="B537" s="550"/>
      <c r="C537" s="551"/>
      <c r="D537" s="64"/>
      <c r="E537" s="64"/>
      <c r="F537" s="64"/>
      <c r="G537" s="64"/>
      <c r="H537" s="505"/>
      <c r="I537" s="505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customFormat="false" ht="15.75" hidden="false" customHeight="true" outlineLevel="0" collapsed="false">
      <c r="A538" s="550"/>
      <c r="B538" s="550"/>
      <c r="C538" s="551"/>
      <c r="D538" s="64"/>
      <c r="E538" s="64"/>
      <c r="F538" s="64"/>
      <c r="G538" s="64"/>
      <c r="H538" s="505"/>
      <c r="I538" s="505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customFormat="false" ht="15.75" hidden="false" customHeight="true" outlineLevel="0" collapsed="false">
      <c r="A539" s="550"/>
      <c r="B539" s="550"/>
      <c r="C539" s="551"/>
      <c r="D539" s="64"/>
      <c r="E539" s="64"/>
      <c r="F539" s="64"/>
      <c r="G539" s="64"/>
      <c r="H539" s="505"/>
      <c r="I539" s="505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customFormat="false" ht="15.75" hidden="false" customHeight="true" outlineLevel="0" collapsed="false">
      <c r="A540" s="550"/>
      <c r="B540" s="550"/>
      <c r="C540" s="551"/>
      <c r="D540" s="64"/>
      <c r="E540" s="64"/>
      <c r="F540" s="64"/>
      <c r="G540" s="64"/>
      <c r="H540" s="505"/>
      <c r="I540" s="505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customFormat="false" ht="15.75" hidden="false" customHeight="true" outlineLevel="0" collapsed="false">
      <c r="A541" s="550"/>
      <c r="B541" s="550"/>
      <c r="C541" s="551"/>
      <c r="D541" s="64"/>
      <c r="E541" s="64"/>
      <c r="F541" s="64"/>
      <c r="G541" s="64"/>
      <c r="H541" s="505"/>
      <c r="I541" s="505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customFormat="false" ht="15.75" hidden="false" customHeight="true" outlineLevel="0" collapsed="false">
      <c r="A542" s="550"/>
      <c r="B542" s="550"/>
      <c r="C542" s="551"/>
      <c r="D542" s="64"/>
      <c r="E542" s="64"/>
      <c r="F542" s="64"/>
      <c r="G542" s="64"/>
      <c r="H542" s="505"/>
      <c r="I542" s="505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customFormat="false" ht="15.75" hidden="false" customHeight="true" outlineLevel="0" collapsed="false">
      <c r="A543" s="550"/>
      <c r="B543" s="550"/>
      <c r="C543" s="551"/>
      <c r="D543" s="64"/>
      <c r="E543" s="64"/>
      <c r="F543" s="64"/>
      <c r="G543" s="64"/>
      <c r="H543" s="505"/>
      <c r="I543" s="505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customFormat="false" ht="15.75" hidden="false" customHeight="true" outlineLevel="0" collapsed="false">
      <c r="A544" s="550"/>
      <c r="B544" s="550"/>
      <c r="C544" s="551"/>
      <c r="D544" s="64"/>
      <c r="E544" s="64"/>
      <c r="F544" s="64"/>
      <c r="G544" s="64"/>
      <c r="H544" s="505"/>
      <c r="I544" s="505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customFormat="false" ht="15.75" hidden="false" customHeight="true" outlineLevel="0" collapsed="false">
      <c r="A545" s="550"/>
      <c r="B545" s="550"/>
      <c r="C545" s="551"/>
      <c r="D545" s="64"/>
      <c r="E545" s="64"/>
      <c r="F545" s="64"/>
      <c r="G545" s="64"/>
      <c r="H545" s="505"/>
      <c r="I545" s="505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customFormat="false" ht="15.75" hidden="false" customHeight="true" outlineLevel="0" collapsed="false">
      <c r="A546" s="550"/>
      <c r="B546" s="550"/>
      <c r="C546" s="551"/>
      <c r="D546" s="64"/>
      <c r="E546" s="64"/>
      <c r="F546" s="64"/>
      <c r="G546" s="64"/>
      <c r="H546" s="505"/>
      <c r="I546" s="505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customFormat="false" ht="15.75" hidden="false" customHeight="true" outlineLevel="0" collapsed="false">
      <c r="A547" s="550"/>
      <c r="B547" s="550"/>
      <c r="C547" s="551"/>
      <c r="D547" s="64"/>
      <c r="E547" s="64"/>
      <c r="F547" s="64"/>
      <c r="G547" s="64"/>
      <c r="H547" s="505"/>
      <c r="I547" s="505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customFormat="false" ht="15.75" hidden="false" customHeight="true" outlineLevel="0" collapsed="false">
      <c r="A548" s="550"/>
      <c r="B548" s="550"/>
      <c r="C548" s="551"/>
      <c r="D548" s="64"/>
      <c r="E548" s="64"/>
      <c r="F548" s="64"/>
      <c r="G548" s="64"/>
      <c r="H548" s="505"/>
      <c r="I548" s="505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customFormat="false" ht="15.75" hidden="false" customHeight="true" outlineLevel="0" collapsed="false">
      <c r="A549" s="550"/>
      <c r="B549" s="550"/>
      <c r="C549" s="551"/>
      <c r="D549" s="64"/>
      <c r="E549" s="64"/>
      <c r="F549" s="64"/>
      <c r="G549" s="64"/>
      <c r="H549" s="505"/>
      <c r="I549" s="505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customFormat="false" ht="15.75" hidden="false" customHeight="true" outlineLevel="0" collapsed="false">
      <c r="A550" s="550"/>
      <c r="B550" s="550"/>
      <c r="C550" s="551"/>
      <c r="D550" s="64"/>
      <c r="E550" s="64"/>
      <c r="F550" s="64"/>
      <c r="G550" s="64"/>
      <c r="H550" s="505"/>
      <c r="I550" s="505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customFormat="false" ht="15.75" hidden="false" customHeight="true" outlineLevel="0" collapsed="false">
      <c r="A551" s="550"/>
      <c r="B551" s="550"/>
      <c r="C551" s="551"/>
      <c r="D551" s="64"/>
      <c r="E551" s="64"/>
      <c r="F551" s="64"/>
      <c r="G551" s="64"/>
      <c r="H551" s="505"/>
      <c r="I551" s="505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customFormat="false" ht="15.75" hidden="false" customHeight="true" outlineLevel="0" collapsed="false">
      <c r="A552" s="550"/>
      <c r="B552" s="550"/>
      <c r="C552" s="551"/>
      <c r="D552" s="64"/>
      <c r="E552" s="64"/>
      <c r="F552" s="64"/>
      <c r="G552" s="64"/>
      <c r="H552" s="505"/>
      <c r="I552" s="505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customFormat="false" ht="15.75" hidden="false" customHeight="true" outlineLevel="0" collapsed="false">
      <c r="A553" s="550"/>
      <c r="B553" s="550"/>
      <c r="C553" s="551"/>
      <c r="D553" s="64"/>
      <c r="E553" s="64"/>
      <c r="F553" s="64"/>
      <c r="G553" s="64"/>
      <c r="H553" s="505"/>
      <c r="I553" s="505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customFormat="false" ht="15.75" hidden="false" customHeight="true" outlineLevel="0" collapsed="false">
      <c r="A554" s="550"/>
      <c r="B554" s="550"/>
      <c r="C554" s="551"/>
      <c r="D554" s="64"/>
      <c r="E554" s="64"/>
      <c r="F554" s="64"/>
      <c r="G554" s="64"/>
      <c r="H554" s="505"/>
      <c r="I554" s="505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customFormat="false" ht="15.75" hidden="false" customHeight="true" outlineLevel="0" collapsed="false">
      <c r="A555" s="550"/>
      <c r="B555" s="550"/>
      <c r="C555" s="551"/>
      <c r="D555" s="64"/>
      <c r="E555" s="64"/>
      <c r="F555" s="64"/>
      <c r="G555" s="64"/>
      <c r="H555" s="505"/>
      <c r="I555" s="505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customFormat="false" ht="15.75" hidden="false" customHeight="true" outlineLevel="0" collapsed="false">
      <c r="A556" s="550"/>
      <c r="B556" s="550"/>
      <c r="C556" s="551"/>
      <c r="D556" s="64"/>
      <c r="E556" s="64"/>
      <c r="F556" s="64"/>
      <c r="G556" s="64"/>
      <c r="H556" s="505"/>
      <c r="I556" s="505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customFormat="false" ht="15.75" hidden="false" customHeight="true" outlineLevel="0" collapsed="false">
      <c r="A557" s="550"/>
      <c r="B557" s="550"/>
      <c r="C557" s="551"/>
      <c r="D557" s="64"/>
      <c r="E557" s="64"/>
      <c r="F557" s="64"/>
      <c r="G557" s="64"/>
      <c r="H557" s="505"/>
      <c r="I557" s="505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customFormat="false" ht="15.75" hidden="false" customHeight="true" outlineLevel="0" collapsed="false">
      <c r="A558" s="550"/>
      <c r="B558" s="550"/>
      <c r="C558" s="551"/>
      <c r="D558" s="64"/>
      <c r="E558" s="64"/>
      <c r="F558" s="64"/>
      <c r="G558" s="64"/>
      <c r="H558" s="505"/>
      <c r="I558" s="505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customFormat="false" ht="15.75" hidden="false" customHeight="true" outlineLevel="0" collapsed="false">
      <c r="A559" s="550"/>
      <c r="B559" s="550"/>
      <c r="C559" s="551"/>
      <c r="D559" s="64"/>
      <c r="E559" s="64"/>
      <c r="F559" s="64"/>
      <c r="G559" s="64"/>
      <c r="H559" s="505"/>
      <c r="I559" s="505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customFormat="false" ht="15.75" hidden="false" customHeight="true" outlineLevel="0" collapsed="false">
      <c r="A560" s="550"/>
      <c r="B560" s="550"/>
      <c r="C560" s="551"/>
      <c r="D560" s="64"/>
      <c r="E560" s="64"/>
      <c r="F560" s="64"/>
      <c r="G560" s="64"/>
      <c r="H560" s="505"/>
      <c r="I560" s="505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customFormat="false" ht="15.75" hidden="false" customHeight="true" outlineLevel="0" collapsed="false">
      <c r="A561" s="550"/>
      <c r="B561" s="550"/>
      <c r="C561" s="551"/>
      <c r="D561" s="64"/>
      <c r="E561" s="64"/>
      <c r="F561" s="64"/>
      <c r="G561" s="64"/>
      <c r="H561" s="505"/>
      <c r="I561" s="505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customFormat="false" ht="15.75" hidden="false" customHeight="true" outlineLevel="0" collapsed="false">
      <c r="A562" s="550"/>
      <c r="B562" s="550"/>
      <c r="C562" s="551"/>
      <c r="D562" s="64"/>
      <c r="E562" s="64"/>
      <c r="F562" s="64"/>
      <c r="G562" s="64"/>
      <c r="H562" s="505"/>
      <c r="I562" s="505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customFormat="false" ht="15.75" hidden="false" customHeight="true" outlineLevel="0" collapsed="false">
      <c r="A563" s="550"/>
      <c r="B563" s="550"/>
      <c r="C563" s="551"/>
      <c r="D563" s="64"/>
      <c r="E563" s="64"/>
      <c r="F563" s="64"/>
      <c r="G563" s="64"/>
      <c r="H563" s="505"/>
      <c r="I563" s="505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customFormat="false" ht="15.75" hidden="false" customHeight="true" outlineLevel="0" collapsed="false">
      <c r="A564" s="550"/>
      <c r="B564" s="550"/>
      <c r="C564" s="551"/>
      <c r="D564" s="64"/>
      <c r="E564" s="64"/>
      <c r="F564" s="64"/>
      <c r="G564" s="64"/>
      <c r="H564" s="505"/>
      <c r="I564" s="505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customFormat="false" ht="15.75" hidden="false" customHeight="true" outlineLevel="0" collapsed="false">
      <c r="A565" s="550"/>
      <c r="B565" s="550"/>
      <c r="C565" s="551"/>
      <c r="D565" s="64"/>
      <c r="E565" s="64"/>
      <c r="F565" s="64"/>
      <c r="G565" s="64"/>
      <c r="H565" s="505"/>
      <c r="I565" s="505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customFormat="false" ht="15.75" hidden="false" customHeight="true" outlineLevel="0" collapsed="false">
      <c r="A566" s="550"/>
      <c r="B566" s="550"/>
      <c r="C566" s="551"/>
      <c r="D566" s="64"/>
      <c r="E566" s="64"/>
      <c r="F566" s="64"/>
      <c r="G566" s="64"/>
      <c r="H566" s="505"/>
      <c r="I566" s="505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customFormat="false" ht="15.75" hidden="false" customHeight="true" outlineLevel="0" collapsed="false">
      <c r="A567" s="550"/>
      <c r="B567" s="550"/>
      <c r="C567" s="551"/>
      <c r="D567" s="64"/>
      <c r="E567" s="64"/>
      <c r="F567" s="64"/>
      <c r="G567" s="64"/>
      <c r="H567" s="505"/>
      <c r="I567" s="505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customFormat="false" ht="15.75" hidden="false" customHeight="true" outlineLevel="0" collapsed="false">
      <c r="A568" s="550"/>
      <c r="B568" s="550"/>
      <c r="C568" s="551"/>
      <c r="D568" s="64"/>
      <c r="E568" s="64"/>
      <c r="F568" s="64"/>
      <c r="G568" s="64"/>
      <c r="H568" s="505"/>
      <c r="I568" s="505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customFormat="false" ht="15.75" hidden="false" customHeight="true" outlineLevel="0" collapsed="false">
      <c r="A569" s="550"/>
      <c r="B569" s="550"/>
      <c r="C569" s="551"/>
      <c r="D569" s="64"/>
      <c r="E569" s="64"/>
      <c r="F569" s="64"/>
      <c r="G569" s="64"/>
      <c r="H569" s="505"/>
      <c r="I569" s="505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customFormat="false" ht="15.75" hidden="false" customHeight="true" outlineLevel="0" collapsed="false">
      <c r="A570" s="550"/>
      <c r="B570" s="550"/>
      <c r="C570" s="551"/>
      <c r="D570" s="64"/>
      <c r="E570" s="64"/>
      <c r="F570" s="64"/>
      <c r="G570" s="64"/>
      <c r="H570" s="505"/>
      <c r="I570" s="505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customFormat="false" ht="15.75" hidden="false" customHeight="true" outlineLevel="0" collapsed="false">
      <c r="A571" s="550"/>
      <c r="B571" s="550"/>
      <c r="C571" s="551"/>
      <c r="D571" s="64"/>
      <c r="E571" s="64"/>
      <c r="F571" s="64"/>
      <c r="G571" s="64"/>
      <c r="H571" s="505"/>
      <c r="I571" s="505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customFormat="false" ht="15.75" hidden="false" customHeight="true" outlineLevel="0" collapsed="false">
      <c r="A572" s="550"/>
      <c r="B572" s="550"/>
      <c r="C572" s="551"/>
      <c r="D572" s="64"/>
      <c r="E572" s="64"/>
      <c r="F572" s="64"/>
      <c r="G572" s="64"/>
      <c r="H572" s="505"/>
      <c r="I572" s="505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customFormat="false" ht="15.75" hidden="false" customHeight="true" outlineLevel="0" collapsed="false">
      <c r="A573" s="550"/>
      <c r="B573" s="550"/>
      <c r="C573" s="551"/>
      <c r="D573" s="64"/>
      <c r="E573" s="64"/>
      <c r="F573" s="64"/>
      <c r="G573" s="64"/>
      <c r="H573" s="505"/>
      <c r="I573" s="505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customFormat="false" ht="15.75" hidden="false" customHeight="true" outlineLevel="0" collapsed="false">
      <c r="A574" s="550"/>
      <c r="B574" s="550"/>
      <c r="C574" s="551"/>
      <c r="D574" s="64"/>
      <c r="E574" s="64"/>
      <c r="F574" s="64"/>
      <c r="G574" s="64"/>
      <c r="H574" s="505"/>
      <c r="I574" s="505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customFormat="false" ht="15.75" hidden="false" customHeight="true" outlineLevel="0" collapsed="false">
      <c r="A575" s="550"/>
      <c r="B575" s="550"/>
      <c r="C575" s="551"/>
      <c r="D575" s="64"/>
      <c r="E575" s="64"/>
      <c r="F575" s="64"/>
      <c r="G575" s="64"/>
      <c r="H575" s="505"/>
      <c r="I575" s="505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customFormat="false" ht="15.75" hidden="false" customHeight="true" outlineLevel="0" collapsed="false">
      <c r="A576" s="550"/>
      <c r="B576" s="550"/>
      <c r="C576" s="551"/>
      <c r="D576" s="64"/>
      <c r="E576" s="64"/>
      <c r="F576" s="64"/>
      <c r="G576" s="64"/>
      <c r="H576" s="505"/>
      <c r="I576" s="505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customFormat="false" ht="15.75" hidden="false" customHeight="true" outlineLevel="0" collapsed="false">
      <c r="A577" s="550"/>
      <c r="B577" s="550"/>
      <c r="C577" s="551"/>
      <c r="D577" s="64"/>
      <c r="E577" s="64"/>
      <c r="F577" s="64"/>
      <c r="G577" s="64"/>
      <c r="H577" s="505"/>
      <c r="I577" s="505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customFormat="false" ht="15.75" hidden="false" customHeight="true" outlineLevel="0" collapsed="false">
      <c r="A578" s="550"/>
      <c r="B578" s="550"/>
      <c r="C578" s="551"/>
      <c r="D578" s="64"/>
      <c r="E578" s="64"/>
      <c r="F578" s="64"/>
      <c r="G578" s="64"/>
      <c r="H578" s="505"/>
      <c r="I578" s="505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customFormat="false" ht="15.75" hidden="false" customHeight="true" outlineLevel="0" collapsed="false">
      <c r="A579" s="550"/>
      <c r="B579" s="550"/>
      <c r="C579" s="551"/>
      <c r="D579" s="64"/>
      <c r="E579" s="64"/>
      <c r="F579" s="64"/>
      <c r="G579" s="64"/>
      <c r="H579" s="505"/>
      <c r="I579" s="505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customFormat="false" ht="15.75" hidden="false" customHeight="true" outlineLevel="0" collapsed="false">
      <c r="A580" s="550"/>
      <c r="B580" s="550"/>
      <c r="C580" s="551"/>
      <c r="D580" s="64"/>
      <c r="E580" s="64"/>
      <c r="F580" s="64"/>
      <c r="G580" s="64"/>
      <c r="H580" s="505"/>
      <c r="I580" s="505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customFormat="false" ht="15.75" hidden="false" customHeight="true" outlineLevel="0" collapsed="false">
      <c r="A581" s="550"/>
      <c r="B581" s="550"/>
      <c r="C581" s="551"/>
      <c r="D581" s="64"/>
      <c r="E581" s="64"/>
      <c r="F581" s="64"/>
      <c r="G581" s="64"/>
      <c r="H581" s="505"/>
      <c r="I581" s="505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customFormat="false" ht="15.75" hidden="false" customHeight="true" outlineLevel="0" collapsed="false">
      <c r="A582" s="550"/>
      <c r="B582" s="550"/>
      <c r="C582" s="551"/>
      <c r="D582" s="64"/>
      <c r="E582" s="64"/>
      <c r="F582" s="64"/>
      <c r="G582" s="64"/>
      <c r="H582" s="505"/>
      <c r="I582" s="505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customFormat="false" ht="15.75" hidden="false" customHeight="true" outlineLevel="0" collapsed="false">
      <c r="A583" s="550"/>
      <c r="B583" s="550"/>
      <c r="C583" s="551"/>
      <c r="D583" s="64"/>
      <c r="E583" s="64"/>
      <c r="F583" s="64"/>
      <c r="G583" s="64"/>
      <c r="H583" s="505"/>
      <c r="I583" s="505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customFormat="false" ht="15.75" hidden="false" customHeight="true" outlineLevel="0" collapsed="false">
      <c r="A584" s="550"/>
      <c r="B584" s="550"/>
      <c r="C584" s="551"/>
      <c r="D584" s="64"/>
      <c r="E584" s="64"/>
      <c r="F584" s="64"/>
      <c r="G584" s="64"/>
      <c r="H584" s="505"/>
      <c r="I584" s="505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customFormat="false" ht="15.75" hidden="false" customHeight="true" outlineLevel="0" collapsed="false">
      <c r="A585" s="550"/>
      <c r="B585" s="550"/>
      <c r="C585" s="551"/>
      <c r="D585" s="64"/>
      <c r="E585" s="64"/>
      <c r="F585" s="64"/>
      <c r="G585" s="64"/>
      <c r="H585" s="505"/>
      <c r="I585" s="505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customFormat="false" ht="15.75" hidden="false" customHeight="true" outlineLevel="0" collapsed="false">
      <c r="A586" s="550"/>
      <c r="B586" s="550"/>
      <c r="C586" s="551"/>
      <c r="D586" s="64"/>
      <c r="E586" s="64"/>
      <c r="F586" s="64"/>
      <c r="G586" s="64"/>
      <c r="H586" s="505"/>
      <c r="I586" s="505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customFormat="false" ht="15.75" hidden="false" customHeight="true" outlineLevel="0" collapsed="false">
      <c r="A587" s="550"/>
      <c r="B587" s="550"/>
      <c r="C587" s="551"/>
      <c r="D587" s="64"/>
      <c r="E587" s="64"/>
      <c r="F587" s="64"/>
      <c r="G587" s="64"/>
      <c r="H587" s="505"/>
      <c r="I587" s="505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customFormat="false" ht="15.75" hidden="false" customHeight="true" outlineLevel="0" collapsed="false">
      <c r="A588" s="550"/>
      <c r="B588" s="550"/>
      <c r="C588" s="551"/>
      <c r="D588" s="64"/>
      <c r="E588" s="64"/>
      <c r="F588" s="64"/>
      <c r="G588" s="64"/>
      <c r="H588" s="505"/>
      <c r="I588" s="505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customFormat="false" ht="15.75" hidden="false" customHeight="true" outlineLevel="0" collapsed="false">
      <c r="A589" s="550"/>
      <c r="B589" s="550"/>
      <c r="C589" s="551"/>
      <c r="D589" s="64"/>
      <c r="E589" s="64"/>
      <c r="F589" s="64"/>
      <c r="G589" s="64"/>
      <c r="H589" s="505"/>
      <c r="I589" s="505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customFormat="false" ht="15.75" hidden="false" customHeight="true" outlineLevel="0" collapsed="false">
      <c r="A590" s="550"/>
      <c r="B590" s="550"/>
      <c r="C590" s="551"/>
      <c r="D590" s="64"/>
      <c r="E590" s="64"/>
      <c r="F590" s="64"/>
      <c r="G590" s="64"/>
      <c r="H590" s="505"/>
      <c r="I590" s="505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customFormat="false" ht="15.75" hidden="false" customHeight="true" outlineLevel="0" collapsed="false">
      <c r="A591" s="550"/>
      <c r="B591" s="550"/>
      <c r="C591" s="551"/>
      <c r="D591" s="64"/>
      <c r="E591" s="64"/>
      <c r="F591" s="64"/>
      <c r="G591" s="64"/>
      <c r="H591" s="505"/>
      <c r="I591" s="505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customFormat="false" ht="15.75" hidden="false" customHeight="true" outlineLevel="0" collapsed="false">
      <c r="A592" s="550"/>
      <c r="B592" s="550"/>
      <c r="C592" s="551"/>
      <c r="D592" s="64"/>
      <c r="E592" s="64"/>
      <c r="F592" s="64"/>
      <c r="G592" s="64"/>
      <c r="H592" s="505"/>
      <c r="I592" s="505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customFormat="false" ht="15.75" hidden="false" customHeight="true" outlineLevel="0" collapsed="false">
      <c r="A593" s="550"/>
      <c r="B593" s="550"/>
      <c r="C593" s="551"/>
      <c r="D593" s="64"/>
      <c r="E593" s="64"/>
      <c r="F593" s="64"/>
      <c r="G593" s="64"/>
      <c r="H593" s="505"/>
      <c r="I593" s="505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customFormat="false" ht="15.75" hidden="false" customHeight="true" outlineLevel="0" collapsed="false">
      <c r="A594" s="550"/>
      <c r="B594" s="550"/>
      <c r="C594" s="551"/>
      <c r="D594" s="64"/>
      <c r="E594" s="64"/>
      <c r="F594" s="64"/>
      <c r="G594" s="64"/>
      <c r="H594" s="505"/>
      <c r="I594" s="505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customFormat="false" ht="15.75" hidden="false" customHeight="true" outlineLevel="0" collapsed="false">
      <c r="A595" s="550"/>
      <c r="B595" s="550"/>
      <c r="C595" s="551"/>
      <c r="D595" s="64"/>
      <c r="E595" s="64"/>
      <c r="F595" s="64"/>
      <c r="G595" s="64"/>
      <c r="H595" s="505"/>
      <c r="I595" s="505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customFormat="false" ht="15.75" hidden="false" customHeight="true" outlineLevel="0" collapsed="false">
      <c r="A596" s="550"/>
      <c r="B596" s="550"/>
      <c r="C596" s="551"/>
      <c r="D596" s="64"/>
      <c r="E596" s="64"/>
      <c r="F596" s="64"/>
      <c r="G596" s="64"/>
      <c r="H596" s="505"/>
      <c r="I596" s="505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customFormat="false" ht="15.75" hidden="false" customHeight="true" outlineLevel="0" collapsed="false">
      <c r="A597" s="550"/>
      <c r="B597" s="550"/>
      <c r="C597" s="551"/>
      <c r="D597" s="64"/>
      <c r="E597" s="64"/>
      <c r="F597" s="64"/>
      <c r="G597" s="64"/>
      <c r="H597" s="505"/>
      <c r="I597" s="505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customFormat="false" ht="15.75" hidden="false" customHeight="true" outlineLevel="0" collapsed="false">
      <c r="A598" s="550"/>
      <c r="B598" s="550"/>
      <c r="C598" s="551"/>
      <c r="D598" s="64"/>
      <c r="E598" s="64"/>
      <c r="F598" s="64"/>
      <c r="G598" s="64"/>
      <c r="H598" s="505"/>
      <c r="I598" s="505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customFormat="false" ht="15.75" hidden="false" customHeight="true" outlineLevel="0" collapsed="false">
      <c r="A599" s="550"/>
      <c r="B599" s="550"/>
      <c r="C599" s="551"/>
      <c r="D599" s="64"/>
      <c r="E599" s="64"/>
      <c r="F599" s="64"/>
      <c r="G599" s="64"/>
      <c r="H599" s="505"/>
      <c r="I599" s="505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customFormat="false" ht="15.75" hidden="false" customHeight="true" outlineLevel="0" collapsed="false">
      <c r="A600" s="550"/>
      <c r="B600" s="550"/>
      <c r="C600" s="551"/>
      <c r="D600" s="64"/>
      <c r="E600" s="64"/>
      <c r="F600" s="64"/>
      <c r="G600" s="64"/>
      <c r="H600" s="505"/>
      <c r="I600" s="505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customFormat="false" ht="15.75" hidden="false" customHeight="true" outlineLevel="0" collapsed="false">
      <c r="A601" s="550"/>
      <c r="B601" s="550"/>
      <c r="C601" s="551"/>
      <c r="D601" s="64"/>
      <c r="E601" s="64"/>
      <c r="F601" s="64"/>
      <c r="G601" s="64"/>
      <c r="H601" s="505"/>
      <c r="I601" s="505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customFormat="false" ht="15.75" hidden="false" customHeight="true" outlineLevel="0" collapsed="false">
      <c r="A602" s="550"/>
      <c r="B602" s="550"/>
      <c r="C602" s="551"/>
      <c r="D602" s="64"/>
      <c r="E602" s="64"/>
      <c r="F602" s="64"/>
      <c r="G602" s="64"/>
      <c r="H602" s="505"/>
      <c r="I602" s="505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customFormat="false" ht="15.75" hidden="false" customHeight="true" outlineLevel="0" collapsed="false">
      <c r="A603" s="550"/>
      <c r="B603" s="550"/>
      <c r="C603" s="551"/>
      <c r="D603" s="64"/>
      <c r="E603" s="64"/>
      <c r="F603" s="64"/>
      <c r="G603" s="64"/>
      <c r="H603" s="505"/>
      <c r="I603" s="505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customFormat="false" ht="15.75" hidden="false" customHeight="true" outlineLevel="0" collapsed="false">
      <c r="A604" s="550"/>
      <c r="B604" s="550"/>
      <c r="C604" s="551"/>
      <c r="D604" s="64"/>
      <c r="E604" s="64"/>
      <c r="F604" s="64"/>
      <c r="G604" s="64"/>
      <c r="H604" s="505"/>
      <c r="I604" s="505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customFormat="false" ht="15.75" hidden="false" customHeight="true" outlineLevel="0" collapsed="false">
      <c r="A605" s="550"/>
      <c r="B605" s="550"/>
      <c r="C605" s="551"/>
      <c r="D605" s="64"/>
      <c r="E605" s="64"/>
      <c r="F605" s="64"/>
      <c r="G605" s="64"/>
      <c r="H605" s="505"/>
      <c r="I605" s="505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customFormat="false" ht="15.75" hidden="false" customHeight="true" outlineLevel="0" collapsed="false">
      <c r="A606" s="550"/>
      <c r="B606" s="550"/>
      <c r="C606" s="551"/>
      <c r="D606" s="64"/>
      <c r="E606" s="64"/>
      <c r="F606" s="64"/>
      <c r="G606" s="64"/>
      <c r="H606" s="505"/>
      <c r="I606" s="505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customFormat="false" ht="15.75" hidden="false" customHeight="true" outlineLevel="0" collapsed="false">
      <c r="A607" s="550"/>
      <c r="B607" s="550"/>
      <c r="C607" s="551"/>
      <c r="D607" s="64"/>
      <c r="E607" s="64"/>
      <c r="F607" s="64"/>
      <c r="G607" s="64"/>
      <c r="H607" s="505"/>
      <c r="I607" s="505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customFormat="false" ht="15.75" hidden="false" customHeight="true" outlineLevel="0" collapsed="false">
      <c r="A608" s="550"/>
      <c r="B608" s="550"/>
      <c r="C608" s="551"/>
      <c r="D608" s="64"/>
      <c r="E608" s="64"/>
      <c r="F608" s="64"/>
      <c r="G608" s="64"/>
      <c r="H608" s="505"/>
      <c r="I608" s="505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customFormat="false" ht="15.75" hidden="false" customHeight="true" outlineLevel="0" collapsed="false">
      <c r="A609" s="550"/>
      <c r="B609" s="550"/>
      <c r="C609" s="551"/>
      <c r="D609" s="64"/>
      <c r="E609" s="64"/>
      <c r="F609" s="64"/>
      <c r="G609" s="64"/>
      <c r="H609" s="505"/>
      <c r="I609" s="505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customFormat="false" ht="15.75" hidden="false" customHeight="true" outlineLevel="0" collapsed="false">
      <c r="A610" s="550"/>
      <c r="B610" s="550"/>
      <c r="C610" s="551"/>
      <c r="D610" s="64"/>
      <c r="E610" s="64"/>
      <c r="F610" s="64"/>
      <c r="G610" s="64"/>
      <c r="H610" s="505"/>
      <c r="I610" s="505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customFormat="false" ht="15.75" hidden="false" customHeight="true" outlineLevel="0" collapsed="false">
      <c r="A611" s="550"/>
      <c r="B611" s="550"/>
      <c r="C611" s="551"/>
      <c r="D611" s="64"/>
      <c r="E611" s="64"/>
      <c r="F611" s="64"/>
      <c r="G611" s="64"/>
      <c r="H611" s="505"/>
      <c r="I611" s="505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customFormat="false" ht="15.75" hidden="false" customHeight="true" outlineLevel="0" collapsed="false">
      <c r="A612" s="550"/>
      <c r="B612" s="550"/>
      <c r="C612" s="551"/>
      <c r="D612" s="64"/>
      <c r="E612" s="64"/>
      <c r="F612" s="64"/>
      <c r="G612" s="64"/>
      <c r="H612" s="505"/>
      <c r="I612" s="505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customFormat="false" ht="15.75" hidden="false" customHeight="true" outlineLevel="0" collapsed="false">
      <c r="A613" s="550"/>
      <c r="B613" s="550"/>
      <c r="C613" s="551"/>
      <c r="D613" s="64"/>
      <c r="E613" s="64"/>
      <c r="F613" s="64"/>
      <c r="G613" s="64"/>
      <c r="H613" s="505"/>
      <c r="I613" s="505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customFormat="false" ht="15.75" hidden="false" customHeight="true" outlineLevel="0" collapsed="false">
      <c r="A614" s="550"/>
      <c r="B614" s="550"/>
      <c r="C614" s="551"/>
      <c r="D614" s="64"/>
      <c r="E614" s="64"/>
      <c r="F614" s="64"/>
      <c r="G614" s="64"/>
      <c r="H614" s="505"/>
      <c r="I614" s="505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customFormat="false" ht="15.75" hidden="false" customHeight="true" outlineLevel="0" collapsed="false">
      <c r="A615" s="550"/>
      <c r="B615" s="550"/>
      <c r="C615" s="551"/>
      <c r="D615" s="64"/>
      <c r="E615" s="64"/>
      <c r="F615" s="64"/>
      <c r="G615" s="64"/>
      <c r="H615" s="505"/>
      <c r="I615" s="505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customFormat="false" ht="15.75" hidden="false" customHeight="true" outlineLevel="0" collapsed="false">
      <c r="A616" s="550"/>
      <c r="B616" s="550"/>
      <c r="C616" s="551"/>
      <c r="D616" s="64"/>
      <c r="E616" s="64"/>
      <c r="F616" s="64"/>
      <c r="G616" s="64"/>
      <c r="H616" s="505"/>
      <c r="I616" s="505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customFormat="false" ht="15.75" hidden="false" customHeight="true" outlineLevel="0" collapsed="false">
      <c r="A617" s="550"/>
      <c r="B617" s="550"/>
      <c r="C617" s="551"/>
      <c r="D617" s="64"/>
      <c r="E617" s="64"/>
      <c r="F617" s="64"/>
      <c r="G617" s="64"/>
      <c r="H617" s="505"/>
      <c r="I617" s="505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customFormat="false" ht="15.75" hidden="false" customHeight="true" outlineLevel="0" collapsed="false">
      <c r="A618" s="550"/>
      <c r="B618" s="550"/>
      <c r="C618" s="551"/>
      <c r="D618" s="64"/>
      <c r="E618" s="64"/>
      <c r="F618" s="64"/>
      <c r="G618" s="64"/>
      <c r="H618" s="505"/>
      <c r="I618" s="505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customFormat="false" ht="15.75" hidden="false" customHeight="true" outlineLevel="0" collapsed="false">
      <c r="A619" s="550"/>
      <c r="B619" s="550"/>
      <c r="C619" s="551"/>
      <c r="D619" s="64"/>
      <c r="E619" s="64"/>
      <c r="F619" s="64"/>
      <c r="G619" s="64"/>
      <c r="H619" s="505"/>
      <c r="I619" s="505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customFormat="false" ht="15.75" hidden="false" customHeight="true" outlineLevel="0" collapsed="false">
      <c r="A620" s="550"/>
      <c r="B620" s="550"/>
      <c r="C620" s="551"/>
      <c r="D620" s="64"/>
      <c r="E620" s="64"/>
      <c r="F620" s="64"/>
      <c r="G620" s="64"/>
      <c r="H620" s="505"/>
      <c r="I620" s="505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customFormat="false" ht="15.75" hidden="false" customHeight="true" outlineLevel="0" collapsed="false">
      <c r="A621" s="550"/>
      <c r="B621" s="550"/>
      <c r="C621" s="551"/>
      <c r="D621" s="64"/>
      <c r="E621" s="64"/>
      <c r="F621" s="64"/>
      <c r="G621" s="64"/>
      <c r="H621" s="505"/>
      <c r="I621" s="505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customFormat="false" ht="15.75" hidden="false" customHeight="true" outlineLevel="0" collapsed="false">
      <c r="A622" s="550"/>
      <c r="B622" s="550"/>
      <c r="C622" s="551"/>
      <c r="D622" s="64"/>
      <c r="E622" s="64"/>
      <c r="F622" s="64"/>
      <c r="G622" s="64"/>
      <c r="H622" s="505"/>
      <c r="I622" s="505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customFormat="false" ht="15.75" hidden="false" customHeight="true" outlineLevel="0" collapsed="false">
      <c r="A623" s="550"/>
      <c r="B623" s="550"/>
      <c r="C623" s="551"/>
      <c r="D623" s="64"/>
      <c r="E623" s="64"/>
      <c r="F623" s="64"/>
      <c r="G623" s="64"/>
      <c r="H623" s="505"/>
      <c r="I623" s="505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customFormat="false" ht="15.75" hidden="false" customHeight="true" outlineLevel="0" collapsed="false">
      <c r="A624" s="550"/>
      <c r="B624" s="550"/>
      <c r="C624" s="551"/>
      <c r="D624" s="64"/>
      <c r="E624" s="64"/>
      <c r="F624" s="64"/>
      <c r="G624" s="64"/>
      <c r="H624" s="505"/>
      <c r="I624" s="505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customFormat="false" ht="15.75" hidden="false" customHeight="true" outlineLevel="0" collapsed="false">
      <c r="A625" s="550"/>
      <c r="B625" s="550"/>
      <c r="C625" s="551"/>
      <c r="D625" s="64"/>
      <c r="E625" s="64"/>
      <c r="F625" s="64"/>
      <c r="G625" s="64"/>
      <c r="H625" s="505"/>
      <c r="I625" s="505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customFormat="false" ht="15.75" hidden="false" customHeight="true" outlineLevel="0" collapsed="false">
      <c r="A626" s="550"/>
      <c r="B626" s="550"/>
      <c r="C626" s="551"/>
      <c r="D626" s="64"/>
      <c r="E626" s="64"/>
      <c r="F626" s="64"/>
      <c r="G626" s="64"/>
      <c r="H626" s="505"/>
      <c r="I626" s="505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customFormat="false" ht="15.75" hidden="false" customHeight="true" outlineLevel="0" collapsed="false">
      <c r="A627" s="550"/>
      <c r="B627" s="550"/>
      <c r="C627" s="551"/>
      <c r="D627" s="64"/>
      <c r="E627" s="64"/>
      <c r="F627" s="64"/>
      <c r="G627" s="64"/>
      <c r="H627" s="505"/>
      <c r="I627" s="505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customFormat="false" ht="15.75" hidden="false" customHeight="true" outlineLevel="0" collapsed="false">
      <c r="A628" s="550"/>
      <c r="B628" s="550"/>
      <c r="C628" s="551"/>
      <c r="D628" s="64"/>
      <c r="E628" s="64"/>
      <c r="F628" s="64"/>
      <c r="G628" s="64"/>
      <c r="H628" s="505"/>
      <c r="I628" s="505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customFormat="false" ht="15.75" hidden="false" customHeight="true" outlineLevel="0" collapsed="false">
      <c r="A629" s="550"/>
      <c r="B629" s="550"/>
      <c r="C629" s="551"/>
      <c r="D629" s="64"/>
      <c r="E629" s="64"/>
      <c r="F629" s="64"/>
      <c r="G629" s="64"/>
      <c r="H629" s="505"/>
      <c r="I629" s="505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customFormat="false" ht="15.75" hidden="false" customHeight="true" outlineLevel="0" collapsed="false">
      <c r="A630" s="550"/>
      <c r="B630" s="550"/>
      <c r="C630" s="551"/>
      <c r="D630" s="64"/>
      <c r="E630" s="64"/>
      <c r="F630" s="64"/>
      <c r="G630" s="64"/>
      <c r="H630" s="505"/>
      <c r="I630" s="505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customFormat="false" ht="15.75" hidden="false" customHeight="true" outlineLevel="0" collapsed="false">
      <c r="A631" s="550"/>
      <c r="B631" s="550"/>
      <c r="C631" s="551"/>
      <c r="D631" s="64"/>
      <c r="E631" s="64"/>
      <c r="F631" s="64"/>
      <c r="G631" s="64"/>
      <c r="H631" s="505"/>
      <c r="I631" s="505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customFormat="false" ht="15.75" hidden="false" customHeight="true" outlineLevel="0" collapsed="false">
      <c r="A632" s="550"/>
      <c r="B632" s="550"/>
      <c r="C632" s="551"/>
      <c r="D632" s="64"/>
      <c r="E632" s="64"/>
      <c r="F632" s="64"/>
      <c r="G632" s="64"/>
      <c r="H632" s="505"/>
      <c r="I632" s="505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customFormat="false" ht="15.75" hidden="false" customHeight="true" outlineLevel="0" collapsed="false">
      <c r="A633" s="550"/>
      <c r="B633" s="550"/>
      <c r="C633" s="551"/>
      <c r="D633" s="64"/>
      <c r="E633" s="64"/>
      <c r="F633" s="64"/>
      <c r="G633" s="64"/>
      <c r="H633" s="505"/>
      <c r="I633" s="505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customFormat="false" ht="15.75" hidden="false" customHeight="true" outlineLevel="0" collapsed="false">
      <c r="A634" s="550"/>
      <c r="B634" s="550"/>
      <c r="C634" s="551"/>
      <c r="D634" s="64"/>
      <c r="E634" s="64"/>
      <c r="F634" s="64"/>
      <c r="G634" s="64"/>
      <c r="H634" s="505"/>
      <c r="I634" s="505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customFormat="false" ht="15.75" hidden="false" customHeight="true" outlineLevel="0" collapsed="false">
      <c r="A635" s="550"/>
      <c r="B635" s="550"/>
      <c r="C635" s="551"/>
      <c r="D635" s="64"/>
      <c r="E635" s="64"/>
      <c r="F635" s="64"/>
      <c r="G635" s="64"/>
      <c r="H635" s="505"/>
      <c r="I635" s="505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customFormat="false" ht="15.75" hidden="false" customHeight="true" outlineLevel="0" collapsed="false">
      <c r="A636" s="550"/>
      <c r="B636" s="550"/>
      <c r="C636" s="551"/>
      <c r="D636" s="64"/>
      <c r="E636" s="64"/>
      <c r="F636" s="64"/>
      <c r="G636" s="64"/>
      <c r="H636" s="505"/>
      <c r="I636" s="505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customFormat="false" ht="15.75" hidden="false" customHeight="true" outlineLevel="0" collapsed="false">
      <c r="A637" s="550"/>
      <c r="B637" s="550"/>
      <c r="C637" s="551"/>
      <c r="D637" s="64"/>
      <c r="E637" s="64"/>
      <c r="F637" s="64"/>
      <c r="G637" s="64"/>
      <c r="H637" s="505"/>
      <c r="I637" s="505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customFormat="false" ht="15.75" hidden="false" customHeight="true" outlineLevel="0" collapsed="false">
      <c r="A638" s="550"/>
      <c r="B638" s="550"/>
      <c r="C638" s="551"/>
      <c r="D638" s="64"/>
      <c r="E638" s="64"/>
      <c r="F638" s="64"/>
      <c r="G638" s="64"/>
      <c r="H638" s="505"/>
      <c r="I638" s="505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customFormat="false" ht="15.75" hidden="false" customHeight="true" outlineLevel="0" collapsed="false">
      <c r="A639" s="550"/>
      <c r="B639" s="550"/>
      <c r="C639" s="551"/>
      <c r="D639" s="64"/>
      <c r="E639" s="64"/>
      <c r="F639" s="64"/>
      <c r="G639" s="64"/>
      <c r="H639" s="505"/>
      <c r="I639" s="505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customFormat="false" ht="15.75" hidden="false" customHeight="true" outlineLevel="0" collapsed="false">
      <c r="A640" s="550"/>
      <c r="B640" s="550"/>
      <c r="C640" s="551"/>
      <c r="D640" s="64"/>
      <c r="E640" s="64"/>
      <c r="F640" s="64"/>
      <c r="G640" s="64"/>
      <c r="H640" s="505"/>
      <c r="I640" s="505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customFormat="false" ht="15.75" hidden="false" customHeight="true" outlineLevel="0" collapsed="false">
      <c r="A641" s="550"/>
      <c r="B641" s="550"/>
      <c r="C641" s="551"/>
      <c r="D641" s="64"/>
      <c r="E641" s="64"/>
      <c r="F641" s="64"/>
      <c r="G641" s="64"/>
      <c r="H641" s="505"/>
      <c r="I641" s="505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customFormat="false" ht="15.75" hidden="false" customHeight="true" outlineLevel="0" collapsed="false">
      <c r="A642" s="550"/>
      <c r="B642" s="550"/>
      <c r="C642" s="551"/>
      <c r="D642" s="64"/>
      <c r="E642" s="64"/>
      <c r="F642" s="64"/>
      <c r="G642" s="64"/>
      <c r="H642" s="505"/>
      <c r="I642" s="505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customFormat="false" ht="15.75" hidden="false" customHeight="true" outlineLevel="0" collapsed="false">
      <c r="A643" s="550"/>
      <c r="B643" s="550"/>
      <c r="C643" s="551"/>
      <c r="D643" s="64"/>
      <c r="E643" s="64"/>
      <c r="F643" s="64"/>
      <c r="G643" s="64"/>
      <c r="H643" s="505"/>
      <c r="I643" s="505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customFormat="false" ht="15.75" hidden="false" customHeight="true" outlineLevel="0" collapsed="false">
      <c r="A644" s="550"/>
      <c r="B644" s="550"/>
      <c r="C644" s="551"/>
      <c r="D644" s="64"/>
      <c r="E644" s="64"/>
      <c r="F644" s="64"/>
      <c r="G644" s="64"/>
      <c r="H644" s="505"/>
      <c r="I644" s="505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customFormat="false" ht="15.75" hidden="false" customHeight="true" outlineLevel="0" collapsed="false">
      <c r="A645" s="550"/>
      <c r="B645" s="550"/>
      <c r="C645" s="551"/>
      <c r="D645" s="64"/>
      <c r="E645" s="64"/>
      <c r="F645" s="64"/>
      <c r="G645" s="64"/>
      <c r="H645" s="505"/>
      <c r="I645" s="505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customFormat="false" ht="15.75" hidden="false" customHeight="true" outlineLevel="0" collapsed="false">
      <c r="A646" s="550"/>
      <c r="B646" s="550"/>
      <c r="C646" s="551"/>
      <c r="D646" s="64"/>
      <c r="E646" s="64"/>
      <c r="F646" s="64"/>
      <c r="G646" s="64"/>
      <c r="H646" s="505"/>
      <c r="I646" s="505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customFormat="false" ht="15.75" hidden="false" customHeight="true" outlineLevel="0" collapsed="false">
      <c r="A647" s="550"/>
      <c r="B647" s="550"/>
      <c r="C647" s="551"/>
      <c r="D647" s="64"/>
      <c r="E647" s="64"/>
      <c r="F647" s="64"/>
      <c r="G647" s="64"/>
      <c r="H647" s="505"/>
      <c r="I647" s="505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customFormat="false" ht="15.75" hidden="false" customHeight="true" outlineLevel="0" collapsed="false">
      <c r="A648" s="550"/>
      <c r="B648" s="550"/>
      <c r="C648" s="551"/>
      <c r="D648" s="64"/>
      <c r="E648" s="64"/>
      <c r="F648" s="64"/>
      <c r="G648" s="64"/>
      <c r="H648" s="505"/>
      <c r="I648" s="505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customFormat="false" ht="15.75" hidden="false" customHeight="true" outlineLevel="0" collapsed="false">
      <c r="A649" s="550"/>
      <c r="B649" s="550"/>
      <c r="C649" s="551"/>
      <c r="D649" s="64"/>
      <c r="E649" s="64"/>
      <c r="F649" s="64"/>
      <c r="G649" s="64"/>
      <c r="H649" s="505"/>
      <c r="I649" s="505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customFormat="false" ht="15.75" hidden="false" customHeight="true" outlineLevel="0" collapsed="false">
      <c r="A650" s="550"/>
      <c r="B650" s="550"/>
      <c r="C650" s="551"/>
      <c r="D650" s="64"/>
      <c r="E650" s="64"/>
      <c r="F650" s="64"/>
      <c r="G650" s="64"/>
      <c r="H650" s="505"/>
      <c r="I650" s="505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customFormat="false" ht="15.75" hidden="false" customHeight="true" outlineLevel="0" collapsed="false">
      <c r="A651" s="550"/>
      <c r="B651" s="550"/>
      <c r="C651" s="551"/>
      <c r="D651" s="64"/>
      <c r="E651" s="64"/>
      <c r="F651" s="64"/>
      <c r="G651" s="64"/>
      <c r="H651" s="505"/>
      <c r="I651" s="505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customFormat="false" ht="15.75" hidden="false" customHeight="true" outlineLevel="0" collapsed="false">
      <c r="A652" s="550"/>
      <c r="B652" s="550"/>
      <c r="C652" s="551"/>
      <c r="D652" s="64"/>
      <c r="E652" s="64"/>
      <c r="F652" s="64"/>
      <c r="G652" s="64"/>
      <c r="H652" s="505"/>
      <c r="I652" s="505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customFormat="false" ht="15.75" hidden="false" customHeight="true" outlineLevel="0" collapsed="false">
      <c r="A653" s="550"/>
      <c r="B653" s="550"/>
      <c r="C653" s="551"/>
      <c r="D653" s="64"/>
      <c r="E653" s="64"/>
      <c r="F653" s="64"/>
      <c r="G653" s="64"/>
      <c r="H653" s="505"/>
      <c r="I653" s="505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customFormat="false" ht="15.75" hidden="false" customHeight="true" outlineLevel="0" collapsed="false">
      <c r="A654" s="550"/>
      <c r="B654" s="550"/>
      <c r="C654" s="551"/>
      <c r="D654" s="64"/>
      <c r="E654" s="64"/>
      <c r="F654" s="64"/>
      <c r="G654" s="64"/>
      <c r="H654" s="505"/>
      <c r="I654" s="505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customFormat="false" ht="15.75" hidden="false" customHeight="true" outlineLevel="0" collapsed="false">
      <c r="A655" s="550"/>
      <c r="B655" s="550"/>
      <c r="C655" s="551"/>
      <c r="D655" s="64"/>
      <c r="E655" s="64"/>
      <c r="F655" s="64"/>
      <c r="G655" s="64"/>
      <c r="H655" s="505"/>
      <c r="I655" s="505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customFormat="false" ht="15.75" hidden="false" customHeight="true" outlineLevel="0" collapsed="false">
      <c r="A656" s="550"/>
      <c r="B656" s="550"/>
      <c r="C656" s="551"/>
      <c r="D656" s="64"/>
      <c r="E656" s="64"/>
      <c r="F656" s="64"/>
      <c r="G656" s="64"/>
      <c r="H656" s="505"/>
      <c r="I656" s="505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customFormat="false" ht="15.75" hidden="false" customHeight="true" outlineLevel="0" collapsed="false">
      <c r="A657" s="550"/>
      <c r="B657" s="550"/>
      <c r="C657" s="551"/>
      <c r="D657" s="64"/>
      <c r="E657" s="64"/>
      <c r="F657" s="64"/>
      <c r="G657" s="64"/>
      <c r="H657" s="505"/>
      <c r="I657" s="505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customFormat="false" ht="15.75" hidden="false" customHeight="true" outlineLevel="0" collapsed="false">
      <c r="A658" s="550"/>
      <c r="B658" s="550"/>
      <c r="C658" s="551"/>
      <c r="D658" s="64"/>
      <c r="E658" s="64"/>
      <c r="F658" s="64"/>
      <c r="G658" s="64"/>
      <c r="H658" s="505"/>
      <c r="I658" s="505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customFormat="false" ht="15.75" hidden="false" customHeight="true" outlineLevel="0" collapsed="false">
      <c r="A659" s="550"/>
      <c r="B659" s="550"/>
      <c r="C659" s="551"/>
      <c r="D659" s="64"/>
      <c r="E659" s="64"/>
      <c r="F659" s="64"/>
      <c r="G659" s="64"/>
      <c r="H659" s="505"/>
      <c r="I659" s="505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customFormat="false" ht="15.75" hidden="false" customHeight="true" outlineLevel="0" collapsed="false">
      <c r="A660" s="550"/>
      <c r="B660" s="550"/>
      <c r="C660" s="551"/>
      <c r="D660" s="64"/>
      <c r="E660" s="64"/>
      <c r="F660" s="64"/>
      <c r="G660" s="64"/>
      <c r="H660" s="505"/>
      <c r="I660" s="505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customFormat="false" ht="15.75" hidden="false" customHeight="true" outlineLevel="0" collapsed="false">
      <c r="A661" s="550"/>
      <c r="B661" s="550"/>
      <c r="C661" s="551"/>
      <c r="D661" s="64"/>
      <c r="E661" s="64"/>
      <c r="F661" s="64"/>
      <c r="G661" s="64"/>
      <c r="H661" s="505"/>
      <c r="I661" s="505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customFormat="false" ht="15.75" hidden="false" customHeight="true" outlineLevel="0" collapsed="false">
      <c r="A662" s="550"/>
      <c r="B662" s="550"/>
      <c r="C662" s="551"/>
      <c r="D662" s="64"/>
      <c r="E662" s="64"/>
      <c r="F662" s="64"/>
      <c r="G662" s="64"/>
      <c r="H662" s="505"/>
      <c r="I662" s="505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customFormat="false" ht="15.75" hidden="false" customHeight="true" outlineLevel="0" collapsed="false">
      <c r="A663" s="550"/>
      <c r="B663" s="550"/>
      <c r="C663" s="551"/>
      <c r="D663" s="64"/>
      <c r="E663" s="64"/>
      <c r="F663" s="64"/>
      <c r="G663" s="64"/>
      <c r="H663" s="505"/>
      <c r="I663" s="505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customFormat="false" ht="15.75" hidden="false" customHeight="true" outlineLevel="0" collapsed="false">
      <c r="A664" s="550"/>
      <c r="B664" s="550"/>
      <c r="C664" s="551"/>
      <c r="D664" s="64"/>
      <c r="E664" s="64"/>
      <c r="F664" s="64"/>
      <c r="G664" s="64"/>
      <c r="H664" s="505"/>
      <c r="I664" s="505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customFormat="false" ht="15.75" hidden="false" customHeight="true" outlineLevel="0" collapsed="false">
      <c r="A665" s="550"/>
      <c r="B665" s="550"/>
      <c r="C665" s="551"/>
      <c r="D665" s="64"/>
      <c r="E665" s="64"/>
      <c r="F665" s="64"/>
      <c r="G665" s="64"/>
      <c r="H665" s="505"/>
      <c r="I665" s="505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customFormat="false" ht="15.75" hidden="false" customHeight="true" outlineLevel="0" collapsed="false">
      <c r="A666" s="550"/>
      <c r="B666" s="550"/>
      <c r="C666" s="551"/>
      <c r="D666" s="64"/>
      <c r="E666" s="64"/>
      <c r="F666" s="64"/>
      <c r="G666" s="64"/>
      <c r="H666" s="505"/>
      <c r="I666" s="505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customFormat="false" ht="15.75" hidden="false" customHeight="true" outlineLevel="0" collapsed="false">
      <c r="A667" s="550"/>
      <c r="B667" s="550"/>
      <c r="C667" s="551"/>
      <c r="D667" s="64"/>
      <c r="E667" s="64"/>
      <c r="F667" s="64"/>
      <c r="G667" s="64"/>
      <c r="H667" s="505"/>
      <c r="I667" s="505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customFormat="false" ht="15.75" hidden="false" customHeight="true" outlineLevel="0" collapsed="false">
      <c r="A668" s="550"/>
      <c r="B668" s="550"/>
      <c r="C668" s="551"/>
      <c r="D668" s="64"/>
      <c r="E668" s="64"/>
      <c r="F668" s="64"/>
      <c r="G668" s="64"/>
      <c r="H668" s="505"/>
      <c r="I668" s="505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customFormat="false" ht="15.75" hidden="false" customHeight="true" outlineLevel="0" collapsed="false">
      <c r="A669" s="550"/>
      <c r="B669" s="550"/>
      <c r="C669" s="551"/>
      <c r="D669" s="64"/>
      <c r="E669" s="64"/>
      <c r="F669" s="64"/>
      <c r="G669" s="64"/>
      <c r="H669" s="505"/>
      <c r="I669" s="505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customFormat="false" ht="15.75" hidden="false" customHeight="true" outlineLevel="0" collapsed="false">
      <c r="A670" s="550"/>
      <c r="B670" s="550"/>
      <c r="C670" s="551"/>
      <c r="D670" s="64"/>
      <c r="E670" s="64"/>
      <c r="F670" s="64"/>
      <c r="G670" s="64"/>
      <c r="H670" s="505"/>
      <c r="I670" s="505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customFormat="false" ht="15.75" hidden="false" customHeight="true" outlineLevel="0" collapsed="false">
      <c r="A671" s="550"/>
      <c r="B671" s="550"/>
      <c r="C671" s="551"/>
      <c r="D671" s="64"/>
      <c r="E671" s="64"/>
      <c r="F671" s="64"/>
      <c r="G671" s="64"/>
      <c r="H671" s="505"/>
      <c r="I671" s="505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customFormat="false" ht="15.75" hidden="false" customHeight="true" outlineLevel="0" collapsed="false">
      <c r="A672" s="550"/>
      <c r="B672" s="550"/>
      <c r="C672" s="551"/>
      <c r="D672" s="64"/>
      <c r="E672" s="64"/>
      <c r="F672" s="64"/>
      <c r="G672" s="64"/>
      <c r="H672" s="505"/>
      <c r="I672" s="505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customFormat="false" ht="15.75" hidden="false" customHeight="true" outlineLevel="0" collapsed="false">
      <c r="A673" s="550"/>
      <c r="B673" s="550"/>
      <c r="C673" s="551"/>
      <c r="D673" s="64"/>
      <c r="E673" s="64"/>
      <c r="F673" s="64"/>
      <c r="G673" s="64"/>
      <c r="H673" s="505"/>
      <c r="I673" s="505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customFormat="false" ht="15.75" hidden="false" customHeight="true" outlineLevel="0" collapsed="false">
      <c r="A674" s="550"/>
      <c r="B674" s="550"/>
      <c r="C674" s="551"/>
      <c r="D674" s="64"/>
      <c r="E674" s="64"/>
      <c r="F674" s="64"/>
      <c r="G674" s="64"/>
      <c r="H674" s="505"/>
      <c r="I674" s="505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customFormat="false" ht="15.75" hidden="false" customHeight="true" outlineLevel="0" collapsed="false">
      <c r="A675" s="550"/>
      <c r="B675" s="550"/>
      <c r="C675" s="551"/>
      <c r="D675" s="64"/>
      <c r="E675" s="64"/>
      <c r="F675" s="64"/>
      <c r="G675" s="64"/>
      <c r="H675" s="505"/>
      <c r="I675" s="505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customFormat="false" ht="15.75" hidden="false" customHeight="true" outlineLevel="0" collapsed="false">
      <c r="A676" s="550"/>
      <c r="B676" s="550"/>
      <c r="C676" s="551"/>
      <c r="D676" s="64"/>
      <c r="E676" s="64"/>
      <c r="F676" s="64"/>
      <c r="G676" s="64"/>
      <c r="H676" s="505"/>
      <c r="I676" s="505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customFormat="false" ht="15.75" hidden="false" customHeight="true" outlineLevel="0" collapsed="false">
      <c r="A677" s="550"/>
      <c r="B677" s="550"/>
      <c r="C677" s="551"/>
      <c r="D677" s="64"/>
      <c r="E677" s="64"/>
      <c r="F677" s="64"/>
      <c r="G677" s="64"/>
      <c r="H677" s="505"/>
      <c r="I677" s="505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customFormat="false" ht="15.75" hidden="false" customHeight="true" outlineLevel="0" collapsed="false">
      <c r="A678" s="550"/>
      <c r="B678" s="550"/>
      <c r="C678" s="551"/>
      <c r="D678" s="64"/>
      <c r="E678" s="64"/>
      <c r="F678" s="64"/>
      <c r="G678" s="64"/>
      <c r="H678" s="505"/>
      <c r="I678" s="505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customFormat="false" ht="15.75" hidden="false" customHeight="true" outlineLevel="0" collapsed="false">
      <c r="A679" s="550"/>
      <c r="B679" s="550"/>
      <c r="C679" s="551"/>
      <c r="D679" s="64"/>
      <c r="E679" s="64"/>
      <c r="F679" s="64"/>
      <c r="G679" s="64"/>
      <c r="H679" s="505"/>
      <c r="I679" s="505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customFormat="false" ht="15.75" hidden="false" customHeight="true" outlineLevel="0" collapsed="false">
      <c r="A680" s="550"/>
      <c r="B680" s="550"/>
      <c r="C680" s="551"/>
      <c r="D680" s="64"/>
      <c r="E680" s="64"/>
      <c r="F680" s="64"/>
      <c r="G680" s="64"/>
      <c r="H680" s="505"/>
      <c r="I680" s="505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customFormat="false" ht="15.75" hidden="false" customHeight="true" outlineLevel="0" collapsed="false">
      <c r="A681" s="550"/>
      <c r="B681" s="550"/>
      <c r="C681" s="551"/>
      <c r="D681" s="64"/>
      <c r="E681" s="64"/>
      <c r="F681" s="64"/>
      <c r="G681" s="64"/>
      <c r="H681" s="505"/>
      <c r="I681" s="505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customFormat="false" ht="15.75" hidden="false" customHeight="true" outlineLevel="0" collapsed="false">
      <c r="A682" s="550"/>
      <c r="B682" s="550"/>
      <c r="C682" s="551"/>
      <c r="D682" s="64"/>
      <c r="E682" s="64"/>
      <c r="F682" s="64"/>
      <c r="G682" s="64"/>
      <c r="H682" s="505"/>
      <c r="I682" s="505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customFormat="false" ht="15.75" hidden="false" customHeight="true" outlineLevel="0" collapsed="false">
      <c r="A683" s="550"/>
      <c r="B683" s="550"/>
      <c r="C683" s="551"/>
      <c r="D683" s="64"/>
      <c r="E683" s="64"/>
      <c r="F683" s="64"/>
      <c r="G683" s="64"/>
      <c r="H683" s="505"/>
      <c r="I683" s="505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customFormat="false" ht="15.75" hidden="false" customHeight="true" outlineLevel="0" collapsed="false">
      <c r="A684" s="550"/>
      <c r="B684" s="550"/>
      <c r="C684" s="551"/>
      <c r="D684" s="64"/>
      <c r="E684" s="64"/>
      <c r="F684" s="64"/>
      <c r="G684" s="64"/>
      <c r="H684" s="505"/>
      <c r="I684" s="505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customFormat="false" ht="15.75" hidden="false" customHeight="true" outlineLevel="0" collapsed="false">
      <c r="A685" s="550"/>
      <c r="B685" s="550"/>
      <c r="C685" s="551"/>
      <c r="D685" s="64"/>
      <c r="E685" s="64"/>
      <c r="F685" s="64"/>
      <c r="G685" s="64"/>
      <c r="H685" s="505"/>
      <c r="I685" s="505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customFormat="false" ht="15.75" hidden="false" customHeight="true" outlineLevel="0" collapsed="false">
      <c r="A686" s="550"/>
      <c r="B686" s="550"/>
      <c r="C686" s="551"/>
      <c r="D686" s="64"/>
      <c r="E686" s="64"/>
      <c r="F686" s="64"/>
      <c r="G686" s="64"/>
      <c r="H686" s="505"/>
      <c r="I686" s="505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customFormat="false" ht="15.75" hidden="false" customHeight="true" outlineLevel="0" collapsed="false">
      <c r="A687" s="550"/>
      <c r="B687" s="550"/>
      <c r="C687" s="551"/>
      <c r="D687" s="64"/>
      <c r="E687" s="64"/>
      <c r="F687" s="64"/>
      <c r="G687" s="64"/>
      <c r="H687" s="505"/>
      <c r="I687" s="505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customFormat="false" ht="15.75" hidden="false" customHeight="true" outlineLevel="0" collapsed="false">
      <c r="A688" s="550"/>
      <c r="B688" s="550"/>
      <c r="C688" s="551"/>
      <c r="D688" s="64"/>
      <c r="E688" s="64"/>
      <c r="F688" s="64"/>
      <c r="G688" s="64"/>
      <c r="H688" s="505"/>
      <c r="I688" s="505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customFormat="false" ht="15.75" hidden="false" customHeight="true" outlineLevel="0" collapsed="false">
      <c r="A689" s="550"/>
      <c r="B689" s="550"/>
      <c r="C689" s="551"/>
      <c r="D689" s="64"/>
      <c r="E689" s="64"/>
      <c r="F689" s="64"/>
      <c r="G689" s="64"/>
      <c r="H689" s="505"/>
      <c r="I689" s="505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customFormat="false" ht="15.75" hidden="false" customHeight="true" outlineLevel="0" collapsed="false">
      <c r="A690" s="550"/>
      <c r="B690" s="550"/>
      <c r="C690" s="551"/>
      <c r="D690" s="64"/>
      <c r="E690" s="64"/>
      <c r="F690" s="64"/>
      <c r="G690" s="64"/>
      <c r="H690" s="505"/>
      <c r="I690" s="505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customFormat="false" ht="15.75" hidden="false" customHeight="true" outlineLevel="0" collapsed="false">
      <c r="A691" s="550"/>
      <c r="B691" s="550"/>
      <c r="C691" s="551"/>
      <c r="D691" s="64"/>
      <c r="E691" s="64"/>
      <c r="F691" s="64"/>
      <c r="G691" s="64"/>
      <c r="H691" s="505"/>
      <c r="I691" s="505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customFormat="false" ht="15.75" hidden="false" customHeight="true" outlineLevel="0" collapsed="false">
      <c r="A692" s="550"/>
      <c r="B692" s="550"/>
      <c r="C692" s="551"/>
      <c r="D692" s="64"/>
      <c r="E692" s="64"/>
      <c r="F692" s="64"/>
      <c r="G692" s="64"/>
      <c r="H692" s="505"/>
      <c r="I692" s="505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customFormat="false" ht="15.75" hidden="false" customHeight="true" outlineLevel="0" collapsed="false">
      <c r="A693" s="550"/>
      <c r="B693" s="550"/>
      <c r="C693" s="551"/>
      <c r="D693" s="64"/>
      <c r="E693" s="64"/>
      <c r="F693" s="64"/>
      <c r="G693" s="64"/>
      <c r="H693" s="505"/>
      <c r="I693" s="505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customFormat="false" ht="15.75" hidden="false" customHeight="true" outlineLevel="0" collapsed="false">
      <c r="A694" s="550"/>
      <c r="B694" s="550"/>
      <c r="C694" s="551"/>
      <c r="D694" s="64"/>
      <c r="E694" s="64"/>
      <c r="F694" s="64"/>
      <c r="G694" s="64"/>
      <c r="H694" s="505"/>
      <c r="I694" s="505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customFormat="false" ht="15.75" hidden="false" customHeight="true" outlineLevel="0" collapsed="false">
      <c r="A695" s="550"/>
      <c r="B695" s="550"/>
      <c r="C695" s="551"/>
      <c r="D695" s="64"/>
      <c r="E695" s="64"/>
      <c r="F695" s="64"/>
      <c r="G695" s="64"/>
      <c r="H695" s="505"/>
      <c r="I695" s="505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customFormat="false" ht="15.75" hidden="false" customHeight="true" outlineLevel="0" collapsed="false">
      <c r="A696" s="550"/>
      <c r="B696" s="550"/>
      <c r="C696" s="551"/>
      <c r="D696" s="64"/>
      <c r="E696" s="64"/>
      <c r="F696" s="64"/>
      <c r="G696" s="64"/>
      <c r="H696" s="505"/>
      <c r="I696" s="505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customFormat="false" ht="15.75" hidden="false" customHeight="true" outlineLevel="0" collapsed="false">
      <c r="A697" s="550"/>
      <c r="B697" s="550"/>
      <c r="C697" s="551"/>
      <c r="D697" s="64"/>
      <c r="E697" s="64"/>
      <c r="F697" s="64"/>
      <c r="G697" s="64"/>
      <c r="H697" s="505"/>
      <c r="I697" s="505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customFormat="false" ht="15.75" hidden="false" customHeight="true" outlineLevel="0" collapsed="false">
      <c r="A698" s="550"/>
      <c r="B698" s="550"/>
      <c r="C698" s="551"/>
      <c r="D698" s="64"/>
      <c r="E698" s="64"/>
      <c r="F698" s="64"/>
      <c r="G698" s="64"/>
      <c r="H698" s="505"/>
      <c r="I698" s="505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customFormat="false" ht="15.75" hidden="false" customHeight="true" outlineLevel="0" collapsed="false">
      <c r="A699" s="550"/>
      <c r="B699" s="550"/>
      <c r="C699" s="551"/>
      <c r="D699" s="64"/>
      <c r="E699" s="64"/>
      <c r="F699" s="64"/>
      <c r="G699" s="64"/>
      <c r="H699" s="505"/>
      <c r="I699" s="505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customFormat="false" ht="15.75" hidden="false" customHeight="true" outlineLevel="0" collapsed="false">
      <c r="A700" s="550"/>
      <c r="B700" s="550"/>
      <c r="C700" s="551"/>
      <c r="D700" s="64"/>
      <c r="E700" s="64"/>
      <c r="F700" s="64"/>
      <c r="G700" s="64"/>
      <c r="H700" s="505"/>
      <c r="I700" s="505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customFormat="false" ht="15.75" hidden="false" customHeight="true" outlineLevel="0" collapsed="false">
      <c r="A701" s="550"/>
      <c r="B701" s="550"/>
      <c r="C701" s="551"/>
      <c r="D701" s="64"/>
      <c r="E701" s="64"/>
      <c r="F701" s="64"/>
      <c r="G701" s="64"/>
      <c r="H701" s="505"/>
      <c r="I701" s="505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customFormat="false" ht="15.75" hidden="false" customHeight="true" outlineLevel="0" collapsed="false">
      <c r="A702" s="550"/>
      <c r="B702" s="550"/>
      <c r="C702" s="551"/>
      <c r="D702" s="64"/>
      <c r="E702" s="64"/>
      <c r="F702" s="64"/>
      <c r="G702" s="64"/>
      <c r="H702" s="505"/>
      <c r="I702" s="505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customFormat="false" ht="15.75" hidden="false" customHeight="true" outlineLevel="0" collapsed="false">
      <c r="A703" s="550"/>
      <c r="B703" s="550"/>
      <c r="C703" s="551"/>
      <c r="D703" s="64"/>
      <c r="E703" s="64"/>
      <c r="F703" s="64"/>
      <c r="G703" s="64"/>
      <c r="H703" s="505"/>
      <c r="I703" s="505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customFormat="false" ht="15.75" hidden="false" customHeight="true" outlineLevel="0" collapsed="false">
      <c r="A704" s="550"/>
      <c r="B704" s="550"/>
      <c r="C704" s="551"/>
      <c r="D704" s="64"/>
      <c r="E704" s="64"/>
      <c r="F704" s="64"/>
      <c r="G704" s="64"/>
      <c r="H704" s="505"/>
      <c r="I704" s="505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customFormat="false" ht="15.75" hidden="false" customHeight="true" outlineLevel="0" collapsed="false">
      <c r="A705" s="550"/>
      <c r="B705" s="550"/>
      <c r="C705" s="551"/>
      <c r="D705" s="64"/>
      <c r="E705" s="64"/>
      <c r="F705" s="64"/>
      <c r="G705" s="64"/>
      <c r="H705" s="505"/>
      <c r="I705" s="505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customFormat="false" ht="15.75" hidden="false" customHeight="true" outlineLevel="0" collapsed="false">
      <c r="A706" s="550"/>
      <c r="B706" s="550"/>
      <c r="C706" s="551"/>
      <c r="D706" s="64"/>
      <c r="E706" s="64"/>
      <c r="F706" s="64"/>
      <c r="G706" s="64"/>
      <c r="H706" s="505"/>
      <c r="I706" s="505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customFormat="false" ht="15.75" hidden="false" customHeight="true" outlineLevel="0" collapsed="false">
      <c r="A707" s="550"/>
      <c r="B707" s="550"/>
      <c r="C707" s="551"/>
      <c r="D707" s="64"/>
      <c r="E707" s="64"/>
      <c r="F707" s="64"/>
      <c r="G707" s="64"/>
      <c r="H707" s="505"/>
      <c r="I707" s="505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customFormat="false" ht="15.75" hidden="false" customHeight="true" outlineLevel="0" collapsed="false">
      <c r="A708" s="550"/>
      <c r="B708" s="550"/>
      <c r="C708" s="551"/>
      <c r="D708" s="64"/>
      <c r="E708" s="64"/>
      <c r="F708" s="64"/>
      <c r="G708" s="64"/>
      <c r="H708" s="505"/>
      <c r="I708" s="505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customFormat="false" ht="15.75" hidden="false" customHeight="true" outlineLevel="0" collapsed="false">
      <c r="A709" s="550"/>
      <c r="B709" s="550"/>
      <c r="C709" s="551"/>
      <c r="D709" s="64"/>
      <c r="E709" s="64"/>
      <c r="F709" s="64"/>
      <c r="G709" s="64"/>
      <c r="H709" s="505"/>
      <c r="I709" s="505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customFormat="false" ht="15.75" hidden="false" customHeight="true" outlineLevel="0" collapsed="false">
      <c r="A710" s="550"/>
      <c r="B710" s="550"/>
      <c r="C710" s="551"/>
      <c r="D710" s="64"/>
      <c r="E710" s="64"/>
      <c r="F710" s="64"/>
      <c r="G710" s="64"/>
      <c r="H710" s="505"/>
      <c r="I710" s="505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customFormat="false" ht="15.75" hidden="false" customHeight="true" outlineLevel="0" collapsed="false">
      <c r="A711" s="550"/>
      <c r="B711" s="550"/>
      <c r="C711" s="551"/>
      <c r="D711" s="64"/>
      <c r="E711" s="64"/>
      <c r="F711" s="64"/>
      <c r="G711" s="64"/>
      <c r="H711" s="505"/>
      <c r="I711" s="505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customFormat="false" ht="15.75" hidden="false" customHeight="true" outlineLevel="0" collapsed="false">
      <c r="A712" s="550"/>
      <c r="B712" s="550"/>
      <c r="C712" s="551"/>
      <c r="D712" s="64"/>
      <c r="E712" s="64"/>
      <c r="F712" s="64"/>
      <c r="G712" s="64"/>
      <c r="H712" s="505"/>
      <c r="I712" s="505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customFormat="false" ht="15.75" hidden="false" customHeight="true" outlineLevel="0" collapsed="false">
      <c r="A713" s="550"/>
      <c r="B713" s="550"/>
      <c r="C713" s="551"/>
      <c r="D713" s="64"/>
      <c r="E713" s="64"/>
      <c r="F713" s="64"/>
      <c r="G713" s="64"/>
      <c r="H713" s="505"/>
      <c r="I713" s="505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customFormat="false" ht="15.75" hidden="false" customHeight="true" outlineLevel="0" collapsed="false">
      <c r="A714" s="550"/>
      <c r="B714" s="550"/>
      <c r="C714" s="551"/>
      <c r="D714" s="64"/>
      <c r="E714" s="64"/>
      <c r="F714" s="64"/>
      <c r="G714" s="64"/>
      <c r="H714" s="505"/>
      <c r="I714" s="505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customFormat="false" ht="15.75" hidden="false" customHeight="true" outlineLevel="0" collapsed="false">
      <c r="A715" s="550"/>
      <c r="B715" s="550"/>
      <c r="C715" s="551"/>
      <c r="D715" s="64"/>
      <c r="E715" s="64"/>
      <c r="F715" s="64"/>
      <c r="G715" s="64"/>
      <c r="H715" s="505"/>
      <c r="I715" s="505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customFormat="false" ht="15.75" hidden="false" customHeight="true" outlineLevel="0" collapsed="false">
      <c r="A716" s="550"/>
      <c r="B716" s="550"/>
      <c r="C716" s="551"/>
      <c r="D716" s="64"/>
      <c r="E716" s="64"/>
      <c r="F716" s="64"/>
      <c r="G716" s="64"/>
      <c r="H716" s="505"/>
      <c r="I716" s="505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customFormat="false" ht="15.75" hidden="false" customHeight="true" outlineLevel="0" collapsed="false">
      <c r="A717" s="550"/>
      <c r="B717" s="550"/>
      <c r="C717" s="551"/>
      <c r="D717" s="64"/>
      <c r="E717" s="64"/>
      <c r="F717" s="64"/>
      <c r="G717" s="64"/>
      <c r="H717" s="505"/>
      <c r="I717" s="505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customFormat="false" ht="15.75" hidden="false" customHeight="true" outlineLevel="0" collapsed="false">
      <c r="A718" s="550"/>
      <c r="B718" s="550"/>
      <c r="C718" s="551"/>
      <c r="D718" s="64"/>
      <c r="E718" s="64"/>
      <c r="F718" s="64"/>
      <c r="G718" s="64"/>
      <c r="H718" s="505"/>
      <c r="I718" s="505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customFormat="false" ht="15.75" hidden="false" customHeight="true" outlineLevel="0" collapsed="false">
      <c r="A719" s="550"/>
      <c r="B719" s="550"/>
      <c r="C719" s="551"/>
      <c r="D719" s="64"/>
      <c r="E719" s="64"/>
      <c r="F719" s="64"/>
      <c r="G719" s="64"/>
      <c r="H719" s="505"/>
      <c r="I719" s="505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customFormat="false" ht="15.75" hidden="false" customHeight="true" outlineLevel="0" collapsed="false">
      <c r="A720" s="550"/>
      <c r="B720" s="550"/>
      <c r="C720" s="551"/>
      <c r="D720" s="64"/>
      <c r="E720" s="64"/>
      <c r="F720" s="64"/>
      <c r="G720" s="64"/>
      <c r="H720" s="505"/>
      <c r="I720" s="505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customFormat="false" ht="15.75" hidden="false" customHeight="true" outlineLevel="0" collapsed="false">
      <c r="A721" s="550"/>
      <c r="B721" s="550"/>
      <c r="C721" s="551"/>
      <c r="D721" s="64"/>
      <c r="E721" s="64"/>
      <c r="F721" s="64"/>
      <c r="G721" s="64"/>
      <c r="H721" s="505"/>
      <c r="I721" s="505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customFormat="false" ht="15.75" hidden="false" customHeight="true" outlineLevel="0" collapsed="false">
      <c r="A722" s="550"/>
      <c r="B722" s="550"/>
      <c r="C722" s="551"/>
      <c r="D722" s="64"/>
      <c r="E722" s="64"/>
      <c r="F722" s="64"/>
      <c r="G722" s="64"/>
      <c r="H722" s="505"/>
      <c r="I722" s="505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customFormat="false" ht="15.75" hidden="false" customHeight="true" outlineLevel="0" collapsed="false">
      <c r="A723" s="550"/>
      <c r="B723" s="550"/>
      <c r="C723" s="551"/>
      <c r="D723" s="64"/>
      <c r="E723" s="64"/>
      <c r="F723" s="64"/>
      <c r="G723" s="64"/>
      <c r="H723" s="505"/>
      <c r="I723" s="505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customFormat="false" ht="15.75" hidden="false" customHeight="true" outlineLevel="0" collapsed="false">
      <c r="A724" s="550"/>
      <c r="B724" s="550"/>
      <c r="C724" s="551"/>
      <c r="D724" s="64"/>
      <c r="E724" s="64"/>
      <c r="F724" s="64"/>
      <c r="G724" s="64"/>
      <c r="H724" s="505"/>
      <c r="I724" s="505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customFormat="false" ht="15.75" hidden="false" customHeight="true" outlineLevel="0" collapsed="false">
      <c r="A725" s="550"/>
      <c r="B725" s="550"/>
      <c r="C725" s="551"/>
      <c r="D725" s="64"/>
      <c r="E725" s="64"/>
      <c r="F725" s="64"/>
      <c r="G725" s="64"/>
      <c r="H725" s="505"/>
      <c r="I725" s="505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customFormat="false" ht="15.75" hidden="false" customHeight="true" outlineLevel="0" collapsed="false">
      <c r="A726" s="550"/>
      <c r="B726" s="550"/>
      <c r="C726" s="551"/>
      <c r="D726" s="64"/>
      <c r="E726" s="64"/>
      <c r="F726" s="64"/>
      <c r="G726" s="64"/>
      <c r="H726" s="505"/>
      <c r="I726" s="505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customFormat="false" ht="15.75" hidden="false" customHeight="true" outlineLevel="0" collapsed="false">
      <c r="A727" s="550"/>
      <c r="B727" s="550"/>
      <c r="C727" s="551"/>
      <c r="D727" s="64"/>
      <c r="E727" s="64"/>
      <c r="F727" s="64"/>
      <c r="G727" s="64"/>
      <c r="H727" s="505"/>
      <c r="I727" s="505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customFormat="false" ht="15.75" hidden="false" customHeight="true" outlineLevel="0" collapsed="false">
      <c r="A728" s="550"/>
      <c r="B728" s="550"/>
      <c r="C728" s="551"/>
      <c r="D728" s="64"/>
      <c r="E728" s="64"/>
      <c r="F728" s="64"/>
      <c r="G728" s="64"/>
      <c r="H728" s="505"/>
      <c r="I728" s="505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customFormat="false" ht="15.75" hidden="false" customHeight="true" outlineLevel="0" collapsed="false">
      <c r="A729" s="550"/>
      <c r="B729" s="550"/>
      <c r="C729" s="551"/>
      <c r="D729" s="64"/>
      <c r="E729" s="64"/>
      <c r="F729" s="64"/>
      <c r="G729" s="64"/>
      <c r="H729" s="505"/>
      <c r="I729" s="505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customFormat="false" ht="15.75" hidden="false" customHeight="true" outlineLevel="0" collapsed="false">
      <c r="A730" s="550"/>
      <c r="B730" s="550"/>
      <c r="C730" s="551"/>
      <c r="D730" s="64"/>
      <c r="E730" s="64"/>
      <c r="F730" s="64"/>
      <c r="G730" s="64"/>
      <c r="H730" s="505"/>
      <c r="I730" s="505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customFormat="false" ht="15.75" hidden="false" customHeight="true" outlineLevel="0" collapsed="false">
      <c r="A731" s="550"/>
      <c r="B731" s="550"/>
      <c r="C731" s="551"/>
      <c r="D731" s="64"/>
      <c r="E731" s="64"/>
      <c r="F731" s="64"/>
      <c r="G731" s="64"/>
      <c r="H731" s="505"/>
      <c r="I731" s="505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customFormat="false" ht="15.75" hidden="false" customHeight="true" outlineLevel="0" collapsed="false">
      <c r="A732" s="550"/>
      <c r="B732" s="550"/>
      <c r="C732" s="551"/>
      <c r="D732" s="64"/>
      <c r="E732" s="64"/>
      <c r="F732" s="64"/>
      <c r="G732" s="64"/>
      <c r="H732" s="505"/>
      <c r="I732" s="505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customFormat="false" ht="15.75" hidden="false" customHeight="true" outlineLevel="0" collapsed="false">
      <c r="A733" s="550"/>
      <c r="B733" s="550"/>
      <c r="C733" s="551"/>
      <c r="D733" s="64"/>
      <c r="E733" s="64"/>
      <c r="F733" s="64"/>
      <c r="G733" s="64"/>
      <c r="H733" s="505"/>
      <c r="I733" s="505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customFormat="false" ht="15.75" hidden="false" customHeight="true" outlineLevel="0" collapsed="false">
      <c r="A734" s="550"/>
      <c r="B734" s="550"/>
      <c r="C734" s="551"/>
      <c r="D734" s="64"/>
      <c r="E734" s="64"/>
      <c r="F734" s="64"/>
      <c r="G734" s="64"/>
      <c r="H734" s="505"/>
      <c r="I734" s="505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customFormat="false" ht="15.75" hidden="false" customHeight="true" outlineLevel="0" collapsed="false">
      <c r="A735" s="550"/>
      <c r="B735" s="550"/>
      <c r="C735" s="551"/>
      <c r="D735" s="64"/>
      <c r="E735" s="64"/>
      <c r="F735" s="64"/>
      <c r="G735" s="64"/>
      <c r="H735" s="505"/>
      <c r="I735" s="505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customFormat="false" ht="15.75" hidden="false" customHeight="true" outlineLevel="0" collapsed="false">
      <c r="A736" s="550"/>
      <c r="B736" s="550"/>
      <c r="C736" s="551"/>
      <c r="D736" s="64"/>
      <c r="E736" s="64"/>
      <c r="F736" s="64"/>
      <c r="G736" s="64"/>
      <c r="H736" s="505"/>
      <c r="I736" s="505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customFormat="false" ht="15.75" hidden="false" customHeight="true" outlineLevel="0" collapsed="false">
      <c r="A737" s="550"/>
      <c r="B737" s="550"/>
      <c r="C737" s="551"/>
      <c r="D737" s="64"/>
      <c r="E737" s="64"/>
      <c r="F737" s="64"/>
      <c r="G737" s="64"/>
      <c r="H737" s="505"/>
      <c r="I737" s="505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customFormat="false" ht="15.75" hidden="false" customHeight="true" outlineLevel="0" collapsed="false">
      <c r="A738" s="550"/>
      <c r="B738" s="550"/>
      <c r="C738" s="551"/>
      <c r="D738" s="64"/>
      <c r="E738" s="64"/>
      <c r="F738" s="64"/>
      <c r="G738" s="64"/>
      <c r="H738" s="505"/>
      <c r="I738" s="505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customFormat="false" ht="15.75" hidden="false" customHeight="true" outlineLevel="0" collapsed="false">
      <c r="A739" s="550"/>
      <c r="B739" s="550"/>
      <c r="C739" s="551"/>
      <c r="D739" s="64"/>
      <c r="E739" s="64"/>
      <c r="F739" s="64"/>
      <c r="G739" s="64"/>
      <c r="H739" s="505"/>
      <c r="I739" s="505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customFormat="false" ht="15.75" hidden="false" customHeight="true" outlineLevel="0" collapsed="false">
      <c r="A740" s="550"/>
      <c r="B740" s="550"/>
      <c r="C740" s="551"/>
      <c r="D740" s="64"/>
      <c r="E740" s="64"/>
      <c r="F740" s="64"/>
      <c r="G740" s="64"/>
      <c r="H740" s="505"/>
      <c r="I740" s="505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customFormat="false" ht="15.75" hidden="false" customHeight="true" outlineLevel="0" collapsed="false">
      <c r="A741" s="550"/>
      <c r="B741" s="550"/>
      <c r="C741" s="551"/>
      <c r="D741" s="64"/>
      <c r="E741" s="64"/>
      <c r="F741" s="64"/>
      <c r="G741" s="64"/>
      <c r="H741" s="505"/>
      <c r="I741" s="505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customFormat="false" ht="15.75" hidden="false" customHeight="true" outlineLevel="0" collapsed="false">
      <c r="A742" s="550"/>
      <c r="B742" s="550"/>
      <c r="C742" s="551"/>
      <c r="D742" s="64"/>
      <c r="E742" s="64"/>
      <c r="F742" s="64"/>
      <c r="G742" s="64"/>
      <c r="H742" s="505"/>
      <c r="I742" s="505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customFormat="false" ht="15.75" hidden="false" customHeight="true" outlineLevel="0" collapsed="false">
      <c r="A743" s="550"/>
      <c r="B743" s="550"/>
      <c r="C743" s="551"/>
      <c r="D743" s="64"/>
      <c r="E743" s="64"/>
      <c r="F743" s="64"/>
      <c r="G743" s="64"/>
      <c r="H743" s="505"/>
      <c r="I743" s="505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customFormat="false" ht="15.75" hidden="false" customHeight="true" outlineLevel="0" collapsed="false">
      <c r="A744" s="550"/>
      <c r="B744" s="550"/>
      <c r="C744" s="551"/>
      <c r="D744" s="64"/>
      <c r="E744" s="64"/>
      <c r="F744" s="64"/>
      <c r="G744" s="64"/>
      <c r="H744" s="505"/>
      <c r="I744" s="505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customFormat="false" ht="15.75" hidden="false" customHeight="true" outlineLevel="0" collapsed="false">
      <c r="A745" s="550"/>
      <c r="B745" s="550"/>
      <c r="C745" s="551"/>
      <c r="D745" s="64"/>
      <c r="E745" s="64"/>
      <c r="F745" s="64"/>
      <c r="G745" s="64"/>
      <c r="H745" s="505"/>
      <c r="I745" s="505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customFormat="false" ht="15.75" hidden="false" customHeight="true" outlineLevel="0" collapsed="false">
      <c r="A746" s="550"/>
      <c r="B746" s="550"/>
      <c r="C746" s="551"/>
      <c r="D746" s="64"/>
      <c r="E746" s="64"/>
      <c r="F746" s="64"/>
      <c r="G746" s="64"/>
      <c r="H746" s="505"/>
      <c r="I746" s="505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customFormat="false" ht="15.75" hidden="false" customHeight="true" outlineLevel="0" collapsed="false">
      <c r="A747" s="550"/>
      <c r="B747" s="550"/>
      <c r="C747" s="551"/>
      <c r="D747" s="64"/>
      <c r="E747" s="64"/>
      <c r="F747" s="64"/>
      <c r="G747" s="64"/>
      <c r="H747" s="505"/>
      <c r="I747" s="505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customFormat="false" ht="15.75" hidden="false" customHeight="true" outlineLevel="0" collapsed="false">
      <c r="A748" s="550"/>
      <c r="B748" s="550"/>
      <c r="C748" s="551"/>
      <c r="D748" s="64"/>
      <c r="E748" s="64"/>
      <c r="F748" s="64"/>
      <c r="G748" s="64"/>
      <c r="H748" s="505"/>
      <c r="I748" s="505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customFormat="false" ht="15.75" hidden="false" customHeight="true" outlineLevel="0" collapsed="false">
      <c r="A749" s="550"/>
      <c r="B749" s="550"/>
      <c r="C749" s="551"/>
      <c r="D749" s="64"/>
      <c r="E749" s="64"/>
      <c r="F749" s="64"/>
      <c r="G749" s="64"/>
      <c r="H749" s="505"/>
      <c r="I749" s="505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customFormat="false" ht="15.75" hidden="false" customHeight="true" outlineLevel="0" collapsed="false">
      <c r="A750" s="550"/>
      <c r="B750" s="550"/>
      <c r="C750" s="551"/>
      <c r="D750" s="64"/>
      <c r="E750" s="64"/>
      <c r="F750" s="64"/>
      <c r="G750" s="64"/>
      <c r="H750" s="505"/>
      <c r="I750" s="505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customFormat="false" ht="15.75" hidden="false" customHeight="true" outlineLevel="0" collapsed="false">
      <c r="A751" s="550"/>
      <c r="B751" s="550"/>
      <c r="C751" s="551"/>
      <c r="D751" s="64"/>
      <c r="E751" s="64"/>
      <c r="F751" s="64"/>
      <c r="G751" s="64"/>
      <c r="H751" s="505"/>
      <c r="I751" s="505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customFormat="false" ht="15.75" hidden="false" customHeight="true" outlineLevel="0" collapsed="false">
      <c r="A752" s="550"/>
      <c r="B752" s="550"/>
      <c r="C752" s="551"/>
      <c r="D752" s="64"/>
      <c r="E752" s="64"/>
      <c r="F752" s="64"/>
      <c r="G752" s="64"/>
      <c r="H752" s="505"/>
      <c r="I752" s="505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customFormat="false" ht="15.75" hidden="false" customHeight="true" outlineLevel="0" collapsed="false">
      <c r="A753" s="550"/>
      <c r="B753" s="550"/>
      <c r="C753" s="551"/>
      <c r="D753" s="64"/>
      <c r="E753" s="64"/>
      <c r="F753" s="64"/>
      <c r="G753" s="64"/>
      <c r="H753" s="505"/>
      <c r="I753" s="505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customFormat="false" ht="15.75" hidden="false" customHeight="true" outlineLevel="0" collapsed="false">
      <c r="A754" s="550"/>
      <c r="B754" s="550"/>
      <c r="C754" s="551"/>
      <c r="D754" s="64"/>
      <c r="E754" s="64"/>
      <c r="F754" s="64"/>
      <c r="G754" s="64"/>
      <c r="H754" s="505"/>
      <c r="I754" s="505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customFormat="false" ht="15.75" hidden="false" customHeight="true" outlineLevel="0" collapsed="false">
      <c r="A755" s="550"/>
      <c r="B755" s="550"/>
      <c r="C755" s="551"/>
      <c r="D755" s="64"/>
      <c r="E755" s="64"/>
      <c r="F755" s="64"/>
      <c r="G755" s="64"/>
      <c r="H755" s="505"/>
      <c r="I755" s="505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customFormat="false" ht="15.75" hidden="false" customHeight="true" outlineLevel="0" collapsed="false">
      <c r="A756" s="550"/>
      <c r="B756" s="550"/>
      <c r="C756" s="551"/>
      <c r="D756" s="64"/>
      <c r="E756" s="64"/>
      <c r="F756" s="64"/>
      <c r="G756" s="64"/>
      <c r="H756" s="505"/>
      <c r="I756" s="505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customFormat="false" ht="15.75" hidden="false" customHeight="true" outlineLevel="0" collapsed="false">
      <c r="A757" s="550"/>
      <c r="B757" s="550"/>
      <c r="C757" s="551"/>
      <c r="D757" s="64"/>
      <c r="E757" s="64"/>
      <c r="F757" s="64"/>
      <c r="G757" s="64"/>
      <c r="H757" s="505"/>
      <c r="I757" s="505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customFormat="false" ht="15.75" hidden="false" customHeight="true" outlineLevel="0" collapsed="false">
      <c r="A758" s="550"/>
      <c r="B758" s="550"/>
      <c r="C758" s="551"/>
      <c r="D758" s="64"/>
      <c r="E758" s="64"/>
      <c r="F758" s="64"/>
      <c r="G758" s="64"/>
      <c r="H758" s="505"/>
      <c r="I758" s="505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customFormat="false" ht="15.75" hidden="false" customHeight="true" outlineLevel="0" collapsed="false">
      <c r="A759" s="550"/>
      <c r="B759" s="550"/>
      <c r="C759" s="551"/>
      <c r="D759" s="64"/>
      <c r="E759" s="64"/>
      <c r="F759" s="64"/>
      <c r="G759" s="64"/>
      <c r="H759" s="505"/>
      <c r="I759" s="505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customFormat="false" ht="15.75" hidden="false" customHeight="true" outlineLevel="0" collapsed="false">
      <c r="A760" s="550"/>
      <c r="B760" s="550"/>
      <c r="C760" s="551"/>
      <c r="D760" s="64"/>
      <c r="E760" s="64"/>
      <c r="F760" s="64"/>
      <c r="G760" s="64"/>
      <c r="H760" s="505"/>
      <c r="I760" s="505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customFormat="false" ht="15.75" hidden="false" customHeight="true" outlineLevel="0" collapsed="false">
      <c r="A761" s="550"/>
      <c r="B761" s="550"/>
      <c r="C761" s="551"/>
      <c r="D761" s="64"/>
      <c r="E761" s="64"/>
      <c r="F761" s="64"/>
      <c r="G761" s="64"/>
      <c r="H761" s="505"/>
      <c r="I761" s="505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customFormat="false" ht="15.75" hidden="false" customHeight="true" outlineLevel="0" collapsed="false">
      <c r="A762" s="550"/>
      <c r="B762" s="550"/>
      <c r="C762" s="551"/>
      <c r="D762" s="64"/>
      <c r="E762" s="64"/>
      <c r="F762" s="64"/>
      <c r="G762" s="64"/>
      <c r="H762" s="505"/>
      <c r="I762" s="505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customFormat="false" ht="15.75" hidden="false" customHeight="true" outlineLevel="0" collapsed="false">
      <c r="A763" s="550"/>
      <c r="B763" s="550"/>
      <c r="C763" s="551"/>
      <c r="D763" s="64"/>
      <c r="E763" s="64"/>
      <c r="F763" s="64"/>
      <c r="G763" s="64"/>
      <c r="H763" s="505"/>
      <c r="I763" s="505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customFormat="false" ht="15.75" hidden="false" customHeight="true" outlineLevel="0" collapsed="false">
      <c r="A764" s="550"/>
      <c r="B764" s="550"/>
      <c r="C764" s="551"/>
      <c r="D764" s="64"/>
      <c r="E764" s="64"/>
      <c r="F764" s="64"/>
      <c r="G764" s="64"/>
      <c r="H764" s="505"/>
      <c r="I764" s="505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customFormat="false" ht="15.75" hidden="false" customHeight="true" outlineLevel="0" collapsed="false">
      <c r="A765" s="550"/>
      <c r="B765" s="550"/>
      <c r="C765" s="551"/>
      <c r="D765" s="64"/>
      <c r="E765" s="64"/>
      <c r="F765" s="64"/>
      <c r="G765" s="64"/>
      <c r="H765" s="505"/>
      <c r="I765" s="505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customFormat="false" ht="15.75" hidden="false" customHeight="true" outlineLevel="0" collapsed="false">
      <c r="A766" s="550"/>
      <c r="B766" s="550"/>
      <c r="C766" s="551"/>
      <c r="D766" s="64"/>
      <c r="E766" s="64"/>
      <c r="F766" s="64"/>
      <c r="G766" s="64"/>
      <c r="H766" s="505"/>
      <c r="I766" s="505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customFormat="false" ht="15.75" hidden="false" customHeight="true" outlineLevel="0" collapsed="false">
      <c r="A767" s="550"/>
      <c r="B767" s="550"/>
      <c r="C767" s="551"/>
      <c r="D767" s="64"/>
      <c r="E767" s="64"/>
      <c r="F767" s="64"/>
      <c r="G767" s="64"/>
      <c r="H767" s="505"/>
      <c r="I767" s="505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customFormat="false" ht="15.75" hidden="false" customHeight="true" outlineLevel="0" collapsed="false">
      <c r="A768" s="550"/>
      <c r="B768" s="550"/>
      <c r="C768" s="551"/>
      <c r="D768" s="64"/>
      <c r="E768" s="64"/>
      <c r="F768" s="64"/>
      <c r="G768" s="64"/>
      <c r="H768" s="505"/>
      <c r="I768" s="505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customFormat="false" ht="15.75" hidden="false" customHeight="true" outlineLevel="0" collapsed="false">
      <c r="A769" s="550"/>
      <c r="B769" s="550"/>
      <c r="C769" s="551"/>
      <c r="D769" s="64"/>
      <c r="E769" s="64"/>
      <c r="F769" s="64"/>
      <c r="G769" s="64"/>
      <c r="H769" s="505"/>
      <c r="I769" s="505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customFormat="false" ht="15.75" hidden="false" customHeight="true" outlineLevel="0" collapsed="false">
      <c r="A770" s="550"/>
      <c r="B770" s="550"/>
      <c r="C770" s="551"/>
      <c r="D770" s="64"/>
      <c r="E770" s="64"/>
      <c r="F770" s="64"/>
      <c r="G770" s="64"/>
      <c r="H770" s="505"/>
      <c r="I770" s="505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customFormat="false" ht="15.75" hidden="false" customHeight="true" outlineLevel="0" collapsed="false">
      <c r="A771" s="550"/>
      <c r="B771" s="550"/>
      <c r="C771" s="551"/>
      <c r="D771" s="64"/>
      <c r="E771" s="64"/>
      <c r="F771" s="64"/>
      <c r="G771" s="64"/>
      <c r="H771" s="505"/>
      <c r="I771" s="505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customFormat="false" ht="15.75" hidden="false" customHeight="true" outlineLevel="0" collapsed="false">
      <c r="A772" s="550"/>
      <c r="B772" s="550"/>
      <c r="C772" s="551"/>
      <c r="D772" s="64"/>
      <c r="E772" s="64"/>
      <c r="F772" s="64"/>
      <c r="G772" s="64"/>
      <c r="H772" s="505"/>
      <c r="I772" s="505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customFormat="false" ht="15.75" hidden="false" customHeight="true" outlineLevel="0" collapsed="false">
      <c r="A773" s="550"/>
      <c r="B773" s="550"/>
      <c r="C773" s="551"/>
      <c r="D773" s="64"/>
      <c r="E773" s="64"/>
      <c r="F773" s="64"/>
      <c r="G773" s="64"/>
      <c r="H773" s="505"/>
      <c r="I773" s="505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customFormat="false" ht="15.75" hidden="false" customHeight="true" outlineLevel="0" collapsed="false">
      <c r="A774" s="550"/>
      <c r="B774" s="550"/>
      <c r="C774" s="551"/>
      <c r="D774" s="64"/>
      <c r="E774" s="64"/>
      <c r="F774" s="64"/>
      <c r="G774" s="64"/>
      <c r="H774" s="505"/>
      <c r="I774" s="505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customFormat="false" ht="15.75" hidden="false" customHeight="true" outlineLevel="0" collapsed="false">
      <c r="A775" s="550"/>
      <c r="B775" s="550"/>
      <c r="C775" s="551"/>
      <c r="D775" s="64"/>
      <c r="E775" s="64"/>
      <c r="F775" s="64"/>
      <c r="G775" s="64"/>
      <c r="H775" s="505"/>
      <c r="I775" s="505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customFormat="false" ht="15.75" hidden="false" customHeight="true" outlineLevel="0" collapsed="false">
      <c r="A776" s="550"/>
      <c r="B776" s="550"/>
      <c r="C776" s="551"/>
      <c r="D776" s="64"/>
      <c r="E776" s="64"/>
      <c r="F776" s="64"/>
      <c r="G776" s="64"/>
      <c r="H776" s="505"/>
      <c r="I776" s="505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customFormat="false" ht="15.75" hidden="false" customHeight="true" outlineLevel="0" collapsed="false">
      <c r="A777" s="550"/>
      <c r="B777" s="550"/>
      <c r="C777" s="551"/>
      <c r="D777" s="64"/>
      <c r="E777" s="64"/>
      <c r="F777" s="64"/>
      <c r="G777" s="64"/>
      <c r="H777" s="505"/>
      <c r="I777" s="505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customFormat="false" ht="15.75" hidden="false" customHeight="true" outlineLevel="0" collapsed="false">
      <c r="A778" s="550"/>
      <c r="B778" s="550"/>
      <c r="C778" s="551"/>
      <c r="D778" s="64"/>
      <c r="E778" s="64"/>
      <c r="F778" s="64"/>
      <c r="G778" s="64"/>
      <c r="H778" s="505"/>
      <c r="I778" s="505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customFormat="false" ht="15.75" hidden="false" customHeight="true" outlineLevel="0" collapsed="false">
      <c r="A779" s="550"/>
      <c r="B779" s="550"/>
      <c r="C779" s="551"/>
      <c r="D779" s="64"/>
      <c r="E779" s="64"/>
      <c r="F779" s="64"/>
      <c r="G779" s="64"/>
      <c r="H779" s="505"/>
      <c r="I779" s="505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customFormat="false" ht="15.75" hidden="false" customHeight="true" outlineLevel="0" collapsed="false">
      <c r="A780" s="550"/>
      <c r="B780" s="550"/>
      <c r="C780" s="551"/>
      <c r="D780" s="64"/>
      <c r="E780" s="64"/>
      <c r="F780" s="64"/>
      <c r="G780" s="64"/>
      <c r="H780" s="505"/>
      <c r="I780" s="505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customFormat="false" ht="15.75" hidden="false" customHeight="true" outlineLevel="0" collapsed="false">
      <c r="A781" s="550"/>
      <c r="B781" s="550"/>
      <c r="C781" s="551"/>
      <c r="D781" s="64"/>
      <c r="E781" s="64"/>
      <c r="F781" s="64"/>
      <c r="G781" s="64"/>
      <c r="H781" s="505"/>
      <c r="I781" s="505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customFormat="false" ht="15.75" hidden="false" customHeight="true" outlineLevel="0" collapsed="false">
      <c r="A782" s="550"/>
      <c r="B782" s="550"/>
      <c r="C782" s="551"/>
      <c r="D782" s="64"/>
      <c r="E782" s="64"/>
      <c r="F782" s="64"/>
      <c r="G782" s="64"/>
      <c r="H782" s="505"/>
      <c r="I782" s="505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customFormat="false" ht="15.75" hidden="false" customHeight="true" outlineLevel="0" collapsed="false">
      <c r="A783" s="550"/>
      <c r="B783" s="550"/>
      <c r="C783" s="551"/>
      <c r="D783" s="64"/>
      <c r="E783" s="64"/>
      <c r="F783" s="64"/>
      <c r="G783" s="64"/>
      <c r="H783" s="505"/>
      <c r="I783" s="505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customFormat="false" ht="15.75" hidden="false" customHeight="true" outlineLevel="0" collapsed="false">
      <c r="A784" s="550"/>
      <c r="B784" s="550"/>
      <c r="C784" s="551"/>
      <c r="D784" s="64"/>
      <c r="E784" s="64"/>
      <c r="F784" s="64"/>
      <c r="G784" s="64"/>
      <c r="H784" s="505"/>
      <c r="I784" s="505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customFormat="false" ht="15.75" hidden="false" customHeight="true" outlineLevel="0" collapsed="false">
      <c r="A785" s="550"/>
      <c r="B785" s="550"/>
      <c r="C785" s="551"/>
      <c r="D785" s="64"/>
      <c r="E785" s="64"/>
      <c r="F785" s="64"/>
      <c r="G785" s="64"/>
      <c r="H785" s="505"/>
      <c r="I785" s="505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customFormat="false" ht="15.75" hidden="false" customHeight="true" outlineLevel="0" collapsed="false">
      <c r="A786" s="550"/>
      <c r="B786" s="550"/>
      <c r="C786" s="551"/>
      <c r="D786" s="64"/>
      <c r="E786" s="64"/>
      <c r="F786" s="64"/>
      <c r="G786" s="64"/>
      <c r="H786" s="505"/>
      <c r="I786" s="505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customFormat="false" ht="15.75" hidden="false" customHeight="true" outlineLevel="0" collapsed="false">
      <c r="A787" s="550"/>
      <c r="B787" s="550"/>
      <c r="C787" s="551"/>
      <c r="D787" s="64"/>
      <c r="E787" s="64"/>
      <c r="F787" s="64"/>
      <c r="G787" s="64"/>
      <c r="H787" s="505"/>
      <c r="I787" s="505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customFormat="false" ht="15.75" hidden="false" customHeight="true" outlineLevel="0" collapsed="false">
      <c r="A788" s="550"/>
      <c r="B788" s="550"/>
      <c r="C788" s="551"/>
      <c r="D788" s="64"/>
      <c r="E788" s="64"/>
      <c r="F788" s="64"/>
      <c r="G788" s="64"/>
      <c r="H788" s="505"/>
      <c r="I788" s="505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customFormat="false" ht="15.75" hidden="false" customHeight="true" outlineLevel="0" collapsed="false">
      <c r="A789" s="550"/>
      <c r="B789" s="550"/>
      <c r="C789" s="551"/>
      <c r="D789" s="64"/>
      <c r="E789" s="64"/>
      <c r="F789" s="64"/>
      <c r="G789" s="64"/>
      <c r="H789" s="505"/>
      <c r="I789" s="505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customFormat="false" ht="15.75" hidden="false" customHeight="true" outlineLevel="0" collapsed="false">
      <c r="A790" s="550"/>
      <c r="B790" s="550"/>
      <c r="C790" s="551"/>
      <c r="D790" s="64"/>
      <c r="E790" s="64"/>
      <c r="F790" s="64"/>
      <c r="G790" s="64"/>
      <c r="H790" s="505"/>
      <c r="I790" s="505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customFormat="false" ht="15.75" hidden="false" customHeight="true" outlineLevel="0" collapsed="false">
      <c r="A791" s="550"/>
      <c r="B791" s="550"/>
      <c r="C791" s="551"/>
      <c r="D791" s="64"/>
      <c r="E791" s="64"/>
      <c r="F791" s="64"/>
      <c r="G791" s="64"/>
      <c r="H791" s="505"/>
      <c r="I791" s="505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customFormat="false" ht="15.75" hidden="false" customHeight="true" outlineLevel="0" collapsed="false">
      <c r="A792" s="550"/>
      <c r="B792" s="550"/>
      <c r="C792" s="551"/>
      <c r="D792" s="64"/>
      <c r="E792" s="64"/>
      <c r="F792" s="64"/>
      <c r="G792" s="64"/>
      <c r="H792" s="505"/>
      <c r="I792" s="505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customFormat="false" ht="15.75" hidden="false" customHeight="true" outlineLevel="0" collapsed="false">
      <c r="A793" s="550"/>
      <c r="B793" s="550"/>
      <c r="C793" s="551"/>
      <c r="D793" s="64"/>
      <c r="E793" s="64"/>
      <c r="F793" s="64"/>
      <c r="G793" s="64"/>
      <c r="H793" s="505"/>
      <c r="I793" s="505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customFormat="false" ht="15.75" hidden="false" customHeight="true" outlineLevel="0" collapsed="false">
      <c r="A794" s="550"/>
      <c r="B794" s="550"/>
      <c r="C794" s="551"/>
      <c r="D794" s="64"/>
      <c r="E794" s="64"/>
      <c r="F794" s="64"/>
      <c r="G794" s="64"/>
      <c r="H794" s="505"/>
      <c r="I794" s="505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customFormat="false" ht="15.75" hidden="false" customHeight="true" outlineLevel="0" collapsed="false">
      <c r="A795" s="550"/>
      <c r="B795" s="550"/>
      <c r="C795" s="551"/>
      <c r="D795" s="64"/>
      <c r="E795" s="64"/>
      <c r="F795" s="64"/>
      <c r="G795" s="64"/>
      <c r="H795" s="505"/>
      <c r="I795" s="505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customFormat="false" ht="15.75" hidden="false" customHeight="true" outlineLevel="0" collapsed="false">
      <c r="A796" s="550"/>
      <c r="B796" s="550"/>
      <c r="C796" s="551"/>
      <c r="D796" s="64"/>
      <c r="E796" s="64"/>
      <c r="F796" s="64"/>
      <c r="G796" s="64"/>
      <c r="H796" s="505"/>
      <c r="I796" s="505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customFormat="false" ht="15.75" hidden="false" customHeight="true" outlineLevel="0" collapsed="false">
      <c r="A797" s="550"/>
      <c r="B797" s="550"/>
      <c r="C797" s="551"/>
      <c r="D797" s="64"/>
      <c r="E797" s="64"/>
      <c r="F797" s="64"/>
      <c r="G797" s="64"/>
      <c r="H797" s="505"/>
      <c r="I797" s="505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customFormat="false" ht="15.75" hidden="false" customHeight="true" outlineLevel="0" collapsed="false">
      <c r="A798" s="550"/>
      <c r="B798" s="550"/>
      <c r="C798" s="551"/>
      <c r="D798" s="64"/>
      <c r="E798" s="64"/>
      <c r="F798" s="64"/>
      <c r="G798" s="64"/>
      <c r="H798" s="505"/>
      <c r="I798" s="505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customFormat="false" ht="15.75" hidden="false" customHeight="true" outlineLevel="0" collapsed="false">
      <c r="A799" s="550"/>
      <c r="B799" s="550"/>
      <c r="C799" s="551"/>
      <c r="D799" s="64"/>
      <c r="E799" s="64"/>
      <c r="F799" s="64"/>
      <c r="G799" s="64"/>
      <c r="H799" s="505"/>
      <c r="I799" s="505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customFormat="false" ht="15.75" hidden="false" customHeight="true" outlineLevel="0" collapsed="false">
      <c r="A800" s="550"/>
      <c r="B800" s="550"/>
      <c r="C800" s="551"/>
      <c r="D800" s="64"/>
      <c r="E800" s="64"/>
      <c r="F800" s="64"/>
      <c r="G800" s="64"/>
      <c r="H800" s="505"/>
      <c r="I800" s="505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customFormat="false" ht="15.75" hidden="false" customHeight="true" outlineLevel="0" collapsed="false">
      <c r="A801" s="550"/>
      <c r="B801" s="550"/>
      <c r="C801" s="551"/>
      <c r="D801" s="64"/>
      <c r="E801" s="64"/>
      <c r="F801" s="64"/>
      <c r="G801" s="64"/>
      <c r="H801" s="505"/>
      <c r="I801" s="505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customFormat="false" ht="15.75" hidden="false" customHeight="true" outlineLevel="0" collapsed="false">
      <c r="A802" s="550"/>
      <c r="B802" s="550"/>
      <c r="C802" s="551"/>
      <c r="D802" s="64"/>
      <c r="E802" s="64"/>
      <c r="F802" s="64"/>
      <c r="G802" s="64"/>
      <c r="H802" s="505"/>
      <c r="I802" s="505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customFormat="false" ht="15.75" hidden="false" customHeight="true" outlineLevel="0" collapsed="false">
      <c r="A803" s="550"/>
      <c r="B803" s="550"/>
      <c r="C803" s="551"/>
      <c r="D803" s="64"/>
      <c r="E803" s="64"/>
      <c r="F803" s="64"/>
      <c r="G803" s="64"/>
      <c r="H803" s="505"/>
      <c r="I803" s="505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customFormat="false" ht="15.75" hidden="false" customHeight="true" outlineLevel="0" collapsed="false">
      <c r="A804" s="550"/>
      <c r="B804" s="550"/>
      <c r="C804" s="551"/>
      <c r="D804" s="64"/>
      <c r="E804" s="64"/>
      <c r="F804" s="64"/>
      <c r="G804" s="64"/>
      <c r="H804" s="505"/>
      <c r="I804" s="505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customFormat="false" ht="15.75" hidden="false" customHeight="true" outlineLevel="0" collapsed="false">
      <c r="A805" s="550"/>
      <c r="B805" s="550"/>
      <c r="C805" s="551"/>
      <c r="D805" s="64"/>
      <c r="E805" s="64"/>
      <c r="F805" s="64"/>
      <c r="G805" s="64"/>
      <c r="H805" s="505"/>
      <c r="I805" s="505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customFormat="false" ht="15.75" hidden="false" customHeight="true" outlineLevel="0" collapsed="false">
      <c r="A806" s="550"/>
      <c r="B806" s="550"/>
      <c r="C806" s="551"/>
      <c r="D806" s="64"/>
      <c r="E806" s="64"/>
      <c r="F806" s="64"/>
      <c r="G806" s="64"/>
      <c r="H806" s="505"/>
      <c r="I806" s="505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customFormat="false" ht="15.75" hidden="false" customHeight="true" outlineLevel="0" collapsed="false">
      <c r="A807" s="550"/>
      <c r="B807" s="550"/>
      <c r="C807" s="551"/>
      <c r="D807" s="64"/>
      <c r="E807" s="64"/>
      <c r="F807" s="64"/>
      <c r="G807" s="64"/>
      <c r="H807" s="505"/>
      <c r="I807" s="505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customFormat="false" ht="15.75" hidden="false" customHeight="true" outlineLevel="0" collapsed="false">
      <c r="A808" s="550"/>
      <c r="B808" s="550"/>
      <c r="C808" s="551"/>
      <c r="D808" s="64"/>
      <c r="E808" s="64"/>
      <c r="F808" s="64"/>
      <c r="G808" s="64"/>
      <c r="H808" s="505"/>
      <c r="I808" s="505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customFormat="false" ht="15.75" hidden="false" customHeight="true" outlineLevel="0" collapsed="false">
      <c r="A809" s="550"/>
      <c r="B809" s="550"/>
      <c r="C809" s="551"/>
      <c r="D809" s="64"/>
      <c r="E809" s="64"/>
      <c r="F809" s="64"/>
      <c r="G809" s="64"/>
      <c r="H809" s="505"/>
      <c r="I809" s="505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customFormat="false" ht="15.75" hidden="false" customHeight="true" outlineLevel="0" collapsed="false">
      <c r="A810" s="550"/>
      <c r="B810" s="550"/>
      <c r="C810" s="551"/>
      <c r="D810" s="64"/>
      <c r="E810" s="64"/>
      <c r="F810" s="64"/>
      <c r="G810" s="64"/>
      <c r="H810" s="505"/>
      <c r="I810" s="505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customFormat="false" ht="15.75" hidden="false" customHeight="true" outlineLevel="0" collapsed="false">
      <c r="A811" s="550"/>
      <c r="B811" s="550"/>
      <c r="C811" s="551"/>
      <c r="D811" s="64"/>
      <c r="E811" s="64"/>
      <c r="F811" s="64"/>
      <c r="G811" s="64"/>
      <c r="H811" s="505"/>
      <c r="I811" s="505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customFormat="false" ht="15.75" hidden="false" customHeight="true" outlineLevel="0" collapsed="false">
      <c r="A812" s="550"/>
      <c r="B812" s="550"/>
      <c r="C812" s="551"/>
      <c r="D812" s="64"/>
      <c r="E812" s="64"/>
      <c r="F812" s="64"/>
      <c r="G812" s="64"/>
      <c r="H812" s="505"/>
      <c r="I812" s="505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customFormat="false" ht="15.75" hidden="false" customHeight="true" outlineLevel="0" collapsed="false">
      <c r="A813" s="550"/>
      <c r="B813" s="550"/>
      <c r="C813" s="551"/>
      <c r="D813" s="64"/>
      <c r="E813" s="64"/>
      <c r="F813" s="64"/>
      <c r="G813" s="64"/>
      <c r="H813" s="505"/>
      <c r="I813" s="505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customFormat="false" ht="15.75" hidden="false" customHeight="true" outlineLevel="0" collapsed="false">
      <c r="A814" s="550"/>
      <c r="B814" s="550"/>
      <c r="C814" s="551"/>
      <c r="D814" s="64"/>
      <c r="E814" s="64"/>
      <c r="F814" s="64"/>
      <c r="G814" s="64"/>
      <c r="H814" s="505"/>
      <c r="I814" s="505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customFormat="false" ht="15.75" hidden="false" customHeight="true" outlineLevel="0" collapsed="false">
      <c r="A815" s="550"/>
      <c r="B815" s="550"/>
      <c r="C815" s="551"/>
      <c r="D815" s="64"/>
      <c r="E815" s="64"/>
      <c r="F815" s="64"/>
      <c r="G815" s="64"/>
      <c r="H815" s="505"/>
      <c r="I815" s="505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customFormat="false" ht="15.75" hidden="false" customHeight="true" outlineLevel="0" collapsed="false">
      <c r="A816" s="550"/>
      <c r="B816" s="550"/>
      <c r="C816" s="551"/>
      <c r="D816" s="64"/>
      <c r="E816" s="64"/>
      <c r="F816" s="64"/>
      <c r="G816" s="64"/>
      <c r="H816" s="505"/>
      <c r="I816" s="505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customFormat="false" ht="15.75" hidden="false" customHeight="true" outlineLevel="0" collapsed="false">
      <c r="A817" s="550"/>
      <c r="B817" s="550"/>
      <c r="C817" s="551"/>
      <c r="D817" s="64"/>
      <c r="E817" s="64"/>
      <c r="F817" s="64"/>
      <c r="G817" s="64"/>
      <c r="H817" s="505"/>
      <c r="I817" s="505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customFormat="false" ht="15.75" hidden="false" customHeight="true" outlineLevel="0" collapsed="false">
      <c r="A818" s="550"/>
      <c r="B818" s="550"/>
      <c r="C818" s="551"/>
      <c r="D818" s="64"/>
      <c r="E818" s="64"/>
      <c r="F818" s="64"/>
      <c r="G818" s="64"/>
      <c r="H818" s="505"/>
      <c r="I818" s="505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customFormat="false" ht="15.75" hidden="false" customHeight="true" outlineLevel="0" collapsed="false">
      <c r="A819" s="550"/>
      <c r="B819" s="550"/>
      <c r="C819" s="551"/>
      <c r="D819" s="64"/>
      <c r="E819" s="64"/>
      <c r="F819" s="64"/>
      <c r="G819" s="64"/>
      <c r="H819" s="505"/>
      <c r="I819" s="505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customFormat="false" ht="15.75" hidden="false" customHeight="true" outlineLevel="0" collapsed="false">
      <c r="A820" s="550"/>
      <c r="B820" s="550"/>
      <c r="C820" s="551"/>
      <c r="D820" s="64"/>
      <c r="E820" s="64"/>
      <c r="F820" s="64"/>
      <c r="G820" s="64"/>
      <c r="H820" s="505"/>
      <c r="I820" s="505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customFormat="false" ht="15.75" hidden="false" customHeight="true" outlineLevel="0" collapsed="false">
      <c r="A821" s="550"/>
      <c r="B821" s="550"/>
      <c r="C821" s="551"/>
      <c r="D821" s="64"/>
      <c r="E821" s="64"/>
      <c r="F821" s="64"/>
      <c r="G821" s="64"/>
      <c r="H821" s="505"/>
      <c r="I821" s="505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customFormat="false" ht="15.75" hidden="false" customHeight="true" outlineLevel="0" collapsed="false">
      <c r="A822" s="550"/>
      <c r="B822" s="550"/>
      <c r="C822" s="551"/>
      <c r="D822" s="64"/>
      <c r="E822" s="64"/>
      <c r="F822" s="64"/>
      <c r="G822" s="64"/>
      <c r="H822" s="505"/>
      <c r="I822" s="505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customFormat="false" ht="15.75" hidden="false" customHeight="true" outlineLevel="0" collapsed="false">
      <c r="A823" s="550"/>
      <c r="B823" s="550"/>
      <c r="C823" s="551"/>
      <c r="D823" s="64"/>
      <c r="E823" s="64"/>
      <c r="F823" s="64"/>
      <c r="G823" s="64"/>
      <c r="H823" s="505"/>
      <c r="I823" s="505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customFormat="false" ht="15.75" hidden="false" customHeight="true" outlineLevel="0" collapsed="false">
      <c r="A824" s="550"/>
      <c r="B824" s="550"/>
      <c r="C824" s="551"/>
      <c r="D824" s="64"/>
      <c r="E824" s="64"/>
      <c r="F824" s="64"/>
      <c r="G824" s="64"/>
      <c r="H824" s="505"/>
      <c r="I824" s="505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customFormat="false" ht="15.75" hidden="false" customHeight="true" outlineLevel="0" collapsed="false">
      <c r="A825" s="550"/>
      <c r="B825" s="550"/>
      <c r="C825" s="551"/>
      <c r="D825" s="64"/>
      <c r="E825" s="64"/>
      <c r="F825" s="64"/>
      <c r="G825" s="64"/>
      <c r="H825" s="505"/>
      <c r="I825" s="505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customFormat="false" ht="15.75" hidden="false" customHeight="true" outlineLevel="0" collapsed="false">
      <c r="A826" s="550"/>
      <c r="B826" s="550"/>
      <c r="C826" s="551"/>
      <c r="D826" s="64"/>
      <c r="E826" s="64"/>
      <c r="F826" s="64"/>
      <c r="G826" s="64"/>
      <c r="H826" s="505"/>
      <c r="I826" s="505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customFormat="false" ht="15.75" hidden="false" customHeight="true" outlineLevel="0" collapsed="false">
      <c r="A827" s="550"/>
      <c r="B827" s="550"/>
      <c r="C827" s="551"/>
      <c r="D827" s="64"/>
      <c r="E827" s="64"/>
      <c r="F827" s="64"/>
      <c r="G827" s="64"/>
      <c r="H827" s="505"/>
      <c r="I827" s="505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customFormat="false" ht="15.75" hidden="false" customHeight="true" outlineLevel="0" collapsed="false">
      <c r="A828" s="550"/>
      <c r="B828" s="550"/>
      <c r="C828" s="551"/>
      <c r="D828" s="64"/>
      <c r="E828" s="64"/>
      <c r="F828" s="64"/>
      <c r="G828" s="64"/>
      <c r="H828" s="505"/>
      <c r="I828" s="505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customFormat="false" ht="15.75" hidden="false" customHeight="true" outlineLevel="0" collapsed="false">
      <c r="A829" s="550"/>
      <c r="B829" s="550"/>
      <c r="C829" s="551"/>
      <c r="D829" s="64"/>
      <c r="E829" s="64"/>
      <c r="F829" s="64"/>
      <c r="G829" s="64"/>
      <c r="H829" s="505"/>
      <c r="I829" s="505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customFormat="false" ht="15.75" hidden="false" customHeight="true" outlineLevel="0" collapsed="false">
      <c r="A830" s="550"/>
      <c r="B830" s="550"/>
      <c r="C830" s="551"/>
      <c r="D830" s="64"/>
      <c r="E830" s="64"/>
      <c r="F830" s="64"/>
      <c r="G830" s="64"/>
      <c r="H830" s="505"/>
      <c r="I830" s="505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customFormat="false" ht="15.75" hidden="false" customHeight="true" outlineLevel="0" collapsed="false">
      <c r="A831" s="550"/>
      <c r="B831" s="550"/>
      <c r="C831" s="551"/>
      <c r="D831" s="64"/>
      <c r="E831" s="64"/>
      <c r="F831" s="64"/>
      <c r="G831" s="64"/>
      <c r="H831" s="505"/>
      <c r="I831" s="505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customFormat="false" ht="15.75" hidden="false" customHeight="true" outlineLevel="0" collapsed="false">
      <c r="A832" s="550"/>
      <c r="B832" s="550"/>
      <c r="C832" s="551"/>
      <c r="D832" s="64"/>
      <c r="E832" s="64"/>
      <c r="F832" s="64"/>
      <c r="G832" s="64"/>
      <c r="H832" s="505"/>
      <c r="I832" s="505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customFormat="false" ht="15.75" hidden="false" customHeight="true" outlineLevel="0" collapsed="false">
      <c r="A833" s="550"/>
      <c r="B833" s="550"/>
      <c r="C833" s="551"/>
      <c r="D833" s="64"/>
      <c r="E833" s="64"/>
      <c r="F833" s="64"/>
      <c r="G833" s="64"/>
      <c r="H833" s="505"/>
      <c r="I833" s="505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customFormat="false" ht="15.75" hidden="false" customHeight="true" outlineLevel="0" collapsed="false">
      <c r="A834" s="550"/>
      <c r="B834" s="550"/>
      <c r="C834" s="551"/>
      <c r="D834" s="64"/>
      <c r="E834" s="64"/>
      <c r="F834" s="64"/>
      <c r="G834" s="64"/>
      <c r="H834" s="505"/>
      <c r="I834" s="505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customFormat="false" ht="15.75" hidden="false" customHeight="true" outlineLevel="0" collapsed="false">
      <c r="A835" s="550"/>
      <c r="B835" s="550"/>
      <c r="C835" s="551"/>
      <c r="D835" s="64"/>
      <c r="E835" s="64"/>
      <c r="F835" s="64"/>
      <c r="G835" s="64"/>
      <c r="H835" s="505"/>
      <c r="I835" s="505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customFormat="false" ht="15.75" hidden="false" customHeight="true" outlineLevel="0" collapsed="false">
      <c r="A836" s="550"/>
      <c r="B836" s="550"/>
      <c r="C836" s="551"/>
      <c r="D836" s="64"/>
      <c r="E836" s="64"/>
      <c r="F836" s="64"/>
      <c r="G836" s="64"/>
      <c r="H836" s="505"/>
      <c r="I836" s="505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customFormat="false" ht="15.75" hidden="false" customHeight="true" outlineLevel="0" collapsed="false">
      <c r="A837" s="550"/>
      <c r="B837" s="550"/>
      <c r="C837" s="551"/>
      <c r="D837" s="64"/>
      <c r="E837" s="64"/>
      <c r="F837" s="64"/>
      <c r="G837" s="64"/>
      <c r="H837" s="505"/>
      <c r="I837" s="505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customFormat="false" ht="15.75" hidden="false" customHeight="true" outlineLevel="0" collapsed="false">
      <c r="A838" s="550"/>
      <c r="B838" s="550"/>
      <c r="C838" s="551"/>
      <c r="D838" s="64"/>
      <c r="E838" s="64"/>
      <c r="F838" s="64"/>
      <c r="G838" s="64"/>
      <c r="H838" s="505"/>
      <c r="I838" s="505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customFormat="false" ht="15.75" hidden="false" customHeight="true" outlineLevel="0" collapsed="false">
      <c r="A839" s="550"/>
      <c r="B839" s="550"/>
      <c r="C839" s="551"/>
      <c r="D839" s="64"/>
      <c r="E839" s="64"/>
      <c r="F839" s="64"/>
      <c r="G839" s="64"/>
      <c r="H839" s="505"/>
      <c r="I839" s="505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customFormat="false" ht="15.75" hidden="false" customHeight="true" outlineLevel="0" collapsed="false">
      <c r="A840" s="550"/>
      <c r="B840" s="550"/>
      <c r="C840" s="551"/>
      <c r="D840" s="64"/>
      <c r="E840" s="64"/>
      <c r="F840" s="64"/>
      <c r="G840" s="64"/>
      <c r="H840" s="505"/>
      <c r="I840" s="505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customFormat="false" ht="15.75" hidden="false" customHeight="true" outlineLevel="0" collapsed="false">
      <c r="A841" s="550"/>
      <c r="B841" s="550"/>
      <c r="C841" s="551"/>
      <c r="D841" s="64"/>
      <c r="E841" s="64"/>
      <c r="F841" s="64"/>
      <c r="G841" s="64"/>
      <c r="H841" s="505"/>
      <c r="I841" s="505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customFormat="false" ht="15.75" hidden="false" customHeight="true" outlineLevel="0" collapsed="false">
      <c r="A842" s="550"/>
      <c r="B842" s="550"/>
      <c r="C842" s="551"/>
      <c r="D842" s="64"/>
      <c r="E842" s="64"/>
      <c r="F842" s="64"/>
      <c r="G842" s="64"/>
      <c r="H842" s="505"/>
      <c r="I842" s="505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customFormat="false" ht="15.75" hidden="false" customHeight="true" outlineLevel="0" collapsed="false">
      <c r="A843" s="550"/>
      <c r="B843" s="550"/>
      <c r="C843" s="551"/>
      <c r="D843" s="64"/>
      <c r="E843" s="64"/>
      <c r="F843" s="64"/>
      <c r="G843" s="64"/>
      <c r="H843" s="505"/>
      <c r="I843" s="505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customFormat="false" ht="15.75" hidden="false" customHeight="true" outlineLevel="0" collapsed="false">
      <c r="A844" s="550"/>
      <c r="B844" s="550"/>
      <c r="C844" s="551"/>
      <c r="D844" s="64"/>
      <c r="E844" s="64"/>
      <c r="F844" s="64"/>
      <c r="G844" s="64"/>
      <c r="H844" s="505"/>
      <c r="I844" s="505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customFormat="false" ht="15.75" hidden="false" customHeight="true" outlineLevel="0" collapsed="false">
      <c r="A845" s="550"/>
      <c r="B845" s="550"/>
      <c r="C845" s="551"/>
      <c r="D845" s="64"/>
      <c r="E845" s="64"/>
      <c r="F845" s="64"/>
      <c r="G845" s="64"/>
      <c r="H845" s="505"/>
      <c r="I845" s="505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customFormat="false" ht="15.75" hidden="false" customHeight="true" outlineLevel="0" collapsed="false">
      <c r="A846" s="550"/>
      <c r="B846" s="550"/>
      <c r="C846" s="551"/>
      <c r="D846" s="64"/>
      <c r="E846" s="64"/>
      <c r="F846" s="64"/>
      <c r="G846" s="64"/>
      <c r="H846" s="505"/>
      <c r="I846" s="505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customFormat="false" ht="15.75" hidden="false" customHeight="true" outlineLevel="0" collapsed="false">
      <c r="A847" s="550"/>
      <c r="B847" s="550"/>
      <c r="C847" s="551"/>
      <c r="D847" s="64"/>
      <c r="E847" s="64"/>
      <c r="F847" s="64"/>
      <c r="G847" s="64"/>
      <c r="H847" s="505"/>
      <c r="I847" s="505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customFormat="false" ht="15.75" hidden="false" customHeight="true" outlineLevel="0" collapsed="false">
      <c r="A848" s="550"/>
      <c r="B848" s="550"/>
      <c r="C848" s="551"/>
      <c r="D848" s="64"/>
      <c r="E848" s="64"/>
      <c r="F848" s="64"/>
      <c r="G848" s="64"/>
      <c r="H848" s="505"/>
      <c r="I848" s="505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customFormat="false" ht="15.75" hidden="false" customHeight="true" outlineLevel="0" collapsed="false">
      <c r="A849" s="550"/>
      <c r="B849" s="550"/>
      <c r="C849" s="551"/>
      <c r="D849" s="64"/>
      <c r="E849" s="64"/>
      <c r="F849" s="64"/>
      <c r="G849" s="64"/>
      <c r="H849" s="505"/>
      <c r="I849" s="505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customFormat="false" ht="15.75" hidden="false" customHeight="true" outlineLevel="0" collapsed="false">
      <c r="A850" s="550"/>
      <c r="B850" s="550"/>
      <c r="C850" s="551"/>
      <c r="D850" s="64"/>
      <c r="E850" s="64"/>
      <c r="F850" s="64"/>
      <c r="G850" s="64"/>
      <c r="H850" s="505"/>
      <c r="I850" s="505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customFormat="false" ht="15.75" hidden="false" customHeight="true" outlineLevel="0" collapsed="false">
      <c r="A851" s="550"/>
      <c r="B851" s="550"/>
      <c r="C851" s="551"/>
      <c r="D851" s="64"/>
      <c r="E851" s="64"/>
      <c r="F851" s="64"/>
      <c r="G851" s="64"/>
      <c r="H851" s="505"/>
      <c r="I851" s="505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customFormat="false" ht="15.75" hidden="false" customHeight="true" outlineLevel="0" collapsed="false">
      <c r="A852" s="550"/>
      <c r="B852" s="550"/>
      <c r="C852" s="551"/>
      <c r="D852" s="64"/>
      <c r="E852" s="64"/>
      <c r="F852" s="64"/>
      <c r="G852" s="64"/>
      <c r="H852" s="505"/>
      <c r="I852" s="505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customFormat="false" ht="15.75" hidden="false" customHeight="true" outlineLevel="0" collapsed="false">
      <c r="A853" s="550"/>
      <c r="B853" s="550"/>
      <c r="C853" s="551"/>
      <c r="D853" s="64"/>
      <c r="E853" s="64"/>
      <c r="F853" s="64"/>
      <c r="G853" s="64"/>
      <c r="H853" s="505"/>
      <c r="I853" s="505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customFormat="false" ht="15.75" hidden="false" customHeight="true" outlineLevel="0" collapsed="false">
      <c r="A854" s="550"/>
      <c r="B854" s="550"/>
      <c r="C854" s="551"/>
      <c r="D854" s="64"/>
      <c r="E854" s="64"/>
      <c r="F854" s="64"/>
      <c r="G854" s="64"/>
      <c r="H854" s="505"/>
      <c r="I854" s="505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customFormat="false" ht="15.75" hidden="false" customHeight="true" outlineLevel="0" collapsed="false">
      <c r="A855" s="550"/>
      <c r="B855" s="550"/>
      <c r="C855" s="551"/>
      <c r="D855" s="64"/>
      <c r="E855" s="64"/>
      <c r="F855" s="64"/>
      <c r="G855" s="64"/>
      <c r="H855" s="505"/>
      <c r="I855" s="505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customFormat="false" ht="15.75" hidden="false" customHeight="true" outlineLevel="0" collapsed="false">
      <c r="A856" s="550"/>
      <c r="B856" s="550"/>
      <c r="C856" s="551"/>
      <c r="D856" s="64"/>
      <c r="E856" s="64"/>
      <c r="F856" s="64"/>
      <c r="G856" s="64"/>
      <c r="H856" s="505"/>
      <c r="I856" s="505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customFormat="false" ht="15.75" hidden="false" customHeight="true" outlineLevel="0" collapsed="false">
      <c r="A857" s="550"/>
      <c r="B857" s="550"/>
      <c r="C857" s="551"/>
      <c r="D857" s="64"/>
      <c r="E857" s="64"/>
      <c r="F857" s="64"/>
      <c r="G857" s="64"/>
      <c r="H857" s="505"/>
      <c r="I857" s="505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customFormat="false" ht="15.75" hidden="false" customHeight="true" outlineLevel="0" collapsed="false">
      <c r="A858" s="550"/>
      <c r="B858" s="550"/>
      <c r="C858" s="551"/>
      <c r="D858" s="64"/>
      <c r="E858" s="64"/>
      <c r="F858" s="64"/>
      <c r="G858" s="64"/>
      <c r="H858" s="505"/>
      <c r="I858" s="505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customFormat="false" ht="15.75" hidden="false" customHeight="true" outlineLevel="0" collapsed="false">
      <c r="A859" s="550"/>
      <c r="B859" s="550"/>
      <c r="C859" s="551"/>
      <c r="D859" s="64"/>
      <c r="E859" s="64"/>
      <c r="F859" s="64"/>
      <c r="G859" s="64"/>
      <c r="H859" s="505"/>
      <c r="I859" s="505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customFormat="false" ht="15.75" hidden="false" customHeight="true" outlineLevel="0" collapsed="false">
      <c r="A860" s="550"/>
      <c r="B860" s="550"/>
      <c r="C860" s="551"/>
      <c r="D860" s="64"/>
      <c r="E860" s="64"/>
      <c r="F860" s="64"/>
      <c r="G860" s="64"/>
      <c r="H860" s="505"/>
      <c r="I860" s="505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customFormat="false" ht="15.75" hidden="false" customHeight="true" outlineLevel="0" collapsed="false">
      <c r="A861" s="550"/>
      <c r="B861" s="550"/>
      <c r="C861" s="551"/>
      <c r="D861" s="64"/>
      <c r="E861" s="64"/>
      <c r="F861" s="64"/>
      <c r="G861" s="64"/>
      <c r="H861" s="505"/>
      <c r="I861" s="505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customFormat="false" ht="15.75" hidden="false" customHeight="true" outlineLevel="0" collapsed="false">
      <c r="A862" s="550"/>
      <c r="B862" s="550"/>
      <c r="C862" s="551"/>
      <c r="D862" s="64"/>
      <c r="E862" s="64"/>
      <c r="F862" s="64"/>
      <c r="G862" s="64"/>
      <c r="H862" s="505"/>
      <c r="I862" s="505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customFormat="false" ht="15.75" hidden="false" customHeight="true" outlineLevel="0" collapsed="false">
      <c r="A863" s="550"/>
      <c r="B863" s="550"/>
      <c r="C863" s="551"/>
      <c r="D863" s="64"/>
      <c r="E863" s="64"/>
      <c r="F863" s="64"/>
      <c r="G863" s="64"/>
      <c r="H863" s="505"/>
      <c r="I863" s="505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customFormat="false" ht="15.75" hidden="false" customHeight="true" outlineLevel="0" collapsed="false">
      <c r="A864" s="550"/>
      <c r="B864" s="550"/>
      <c r="C864" s="551"/>
      <c r="D864" s="64"/>
      <c r="E864" s="64"/>
      <c r="F864" s="64"/>
      <c r="G864" s="64"/>
      <c r="H864" s="505"/>
      <c r="I864" s="505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customFormat="false" ht="15.75" hidden="false" customHeight="true" outlineLevel="0" collapsed="false">
      <c r="A865" s="550"/>
      <c r="B865" s="550"/>
      <c r="C865" s="551"/>
      <c r="D865" s="64"/>
      <c r="E865" s="64"/>
      <c r="F865" s="64"/>
      <c r="G865" s="64"/>
      <c r="H865" s="505"/>
      <c r="I865" s="505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customFormat="false" ht="15.75" hidden="false" customHeight="true" outlineLevel="0" collapsed="false">
      <c r="A866" s="550"/>
      <c r="B866" s="550"/>
      <c r="C866" s="551"/>
      <c r="D866" s="64"/>
      <c r="E866" s="64"/>
      <c r="F866" s="64"/>
      <c r="G866" s="64"/>
      <c r="H866" s="505"/>
      <c r="I866" s="505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customFormat="false" ht="15.75" hidden="false" customHeight="true" outlineLevel="0" collapsed="false">
      <c r="A867" s="550"/>
      <c r="B867" s="550"/>
      <c r="C867" s="551"/>
      <c r="D867" s="64"/>
      <c r="E867" s="64"/>
      <c r="F867" s="64"/>
      <c r="G867" s="64"/>
      <c r="H867" s="505"/>
      <c r="I867" s="505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customFormat="false" ht="15.75" hidden="false" customHeight="true" outlineLevel="0" collapsed="false">
      <c r="A868" s="550"/>
      <c r="B868" s="550"/>
      <c r="C868" s="551"/>
      <c r="D868" s="64"/>
      <c r="E868" s="64"/>
      <c r="F868" s="64"/>
      <c r="G868" s="64"/>
      <c r="H868" s="505"/>
      <c r="I868" s="505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customFormat="false" ht="15.75" hidden="false" customHeight="true" outlineLevel="0" collapsed="false">
      <c r="A869" s="550"/>
      <c r="B869" s="550"/>
      <c r="C869" s="551"/>
      <c r="D869" s="64"/>
      <c r="E869" s="64"/>
      <c r="F869" s="64"/>
      <c r="G869" s="64"/>
      <c r="H869" s="505"/>
      <c r="I869" s="505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customFormat="false" ht="15.75" hidden="false" customHeight="true" outlineLevel="0" collapsed="false">
      <c r="A870" s="550"/>
      <c r="B870" s="550"/>
      <c r="C870" s="551"/>
      <c r="D870" s="64"/>
      <c r="E870" s="64"/>
      <c r="F870" s="64"/>
      <c r="G870" s="64"/>
      <c r="H870" s="505"/>
      <c r="I870" s="505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customFormat="false" ht="15.75" hidden="false" customHeight="true" outlineLevel="0" collapsed="false">
      <c r="A871" s="550"/>
      <c r="B871" s="550"/>
      <c r="C871" s="551"/>
      <c r="D871" s="64"/>
      <c r="E871" s="64"/>
      <c r="F871" s="64"/>
      <c r="G871" s="64"/>
      <c r="H871" s="505"/>
      <c r="I871" s="505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customFormat="false" ht="15.75" hidden="false" customHeight="true" outlineLevel="0" collapsed="false">
      <c r="A872" s="550"/>
      <c r="B872" s="550"/>
      <c r="C872" s="551"/>
      <c r="D872" s="64"/>
      <c r="E872" s="64"/>
      <c r="F872" s="64"/>
      <c r="G872" s="64"/>
      <c r="H872" s="505"/>
      <c r="I872" s="505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customFormat="false" ht="15.75" hidden="false" customHeight="true" outlineLevel="0" collapsed="false">
      <c r="A873" s="550"/>
      <c r="B873" s="550"/>
      <c r="C873" s="551"/>
      <c r="D873" s="64"/>
      <c r="E873" s="64"/>
      <c r="F873" s="64"/>
      <c r="G873" s="64"/>
      <c r="H873" s="505"/>
      <c r="I873" s="505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customFormat="false" ht="15.75" hidden="false" customHeight="true" outlineLevel="0" collapsed="false">
      <c r="A874" s="550"/>
      <c r="B874" s="550"/>
      <c r="C874" s="551"/>
      <c r="D874" s="64"/>
      <c r="E874" s="64"/>
      <c r="F874" s="64"/>
      <c r="G874" s="64"/>
      <c r="H874" s="505"/>
      <c r="I874" s="505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customFormat="false" ht="15.75" hidden="false" customHeight="true" outlineLevel="0" collapsed="false">
      <c r="A875" s="550"/>
      <c r="B875" s="550"/>
      <c r="C875" s="551"/>
      <c r="D875" s="64"/>
      <c r="E875" s="64"/>
      <c r="F875" s="64"/>
      <c r="G875" s="64"/>
      <c r="H875" s="505"/>
      <c r="I875" s="505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customFormat="false" ht="15.75" hidden="false" customHeight="true" outlineLevel="0" collapsed="false">
      <c r="A876" s="550"/>
      <c r="B876" s="550"/>
      <c r="C876" s="551"/>
      <c r="D876" s="64"/>
      <c r="E876" s="64"/>
      <c r="F876" s="64"/>
      <c r="G876" s="64"/>
      <c r="H876" s="505"/>
      <c r="I876" s="505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customFormat="false" ht="15.75" hidden="false" customHeight="true" outlineLevel="0" collapsed="false">
      <c r="A877" s="550"/>
      <c r="B877" s="550"/>
      <c r="C877" s="551"/>
      <c r="D877" s="64"/>
      <c r="E877" s="64"/>
      <c r="F877" s="64"/>
      <c r="G877" s="64"/>
      <c r="H877" s="505"/>
      <c r="I877" s="505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customFormat="false" ht="15.75" hidden="false" customHeight="true" outlineLevel="0" collapsed="false">
      <c r="A878" s="550"/>
      <c r="B878" s="550"/>
      <c r="C878" s="551"/>
      <c r="D878" s="64"/>
      <c r="E878" s="64"/>
      <c r="F878" s="64"/>
      <c r="G878" s="64"/>
      <c r="H878" s="505"/>
      <c r="I878" s="505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customFormat="false" ht="15.75" hidden="false" customHeight="true" outlineLevel="0" collapsed="false">
      <c r="A879" s="550"/>
      <c r="B879" s="550"/>
      <c r="C879" s="551"/>
      <c r="D879" s="64"/>
      <c r="E879" s="64"/>
      <c r="F879" s="64"/>
      <c r="G879" s="64"/>
      <c r="H879" s="505"/>
      <c r="I879" s="505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customFormat="false" ht="15.75" hidden="false" customHeight="true" outlineLevel="0" collapsed="false">
      <c r="A880" s="550"/>
      <c r="B880" s="550"/>
      <c r="C880" s="551"/>
      <c r="D880" s="64"/>
      <c r="E880" s="64"/>
      <c r="F880" s="64"/>
      <c r="G880" s="64"/>
      <c r="H880" s="505"/>
      <c r="I880" s="505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customFormat="false" ht="15.75" hidden="false" customHeight="true" outlineLevel="0" collapsed="false">
      <c r="A881" s="550"/>
      <c r="B881" s="550"/>
      <c r="C881" s="551"/>
      <c r="D881" s="64"/>
      <c r="E881" s="64"/>
      <c r="F881" s="64"/>
      <c r="G881" s="64"/>
      <c r="H881" s="505"/>
      <c r="I881" s="505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customFormat="false" ht="15.75" hidden="false" customHeight="true" outlineLevel="0" collapsed="false">
      <c r="A882" s="550"/>
      <c r="B882" s="550"/>
      <c r="C882" s="551"/>
      <c r="D882" s="64"/>
      <c r="E882" s="64"/>
      <c r="F882" s="64"/>
      <c r="G882" s="64"/>
      <c r="H882" s="505"/>
      <c r="I882" s="505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customFormat="false" ht="15.75" hidden="false" customHeight="true" outlineLevel="0" collapsed="false">
      <c r="A883" s="550"/>
      <c r="B883" s="550"/>
      <c r="C883" s="551"/>
      <c r="D883" s="64"/>
      <c r="E883" s="64"/>
      <c r="F883" s="64"/>
      <c r="G883" s="64"/>
      <c r="H883" s="505"/>
      <c r="I883" s="505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customFormat="false" ht="15.75" hidden="false" customHeight="true" outlineLevel="0" collapsed="false">
      <c r="A884" s="550"/>
      <c r="B884" s="550"/>
      <c r="C884" s="551"/>
      <c r="D884" s="64"/>
      <c r="E884" s="64"/>
      <c r="F884" s="64"/>
      <c r="G884" s="64"/>
      <c r="H884" s="505"/>
      <c r="I884" s="505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customFormat="false" ht="15.75" hidden="false" customHeight="true" outlineLevel="0" collapsed="false">
      <c r="A885" s="550"/>
      <c r="B885" s="550"/>
      <c r="C885" s="551"/>
      <c r="D885" s="64"/>
      <c r="E885" s="64"/>
      <c r="F885" s="64"/>
      <c r="G885" s="64"/>
      <c r="H885" s="505"/>
      <c r="I885" s="505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customFormat="false" ht="15.75" hidden="false" customHeight="true" outlineLevel="0" collapsed="false">
      <c r="A886" s="550"/>
      <c r="B886" s="550"/>
      <c r="C886" s="551"/>
      <c r="D886" s="64"/>
      <c r="E886" s="64"/>
      <c r="F886" s="64"/>
      <c r="G886" s="64"/>
      <c r="H886" s="505"/>
      <c r="I886" s="505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customFormat="false" ht="15.75" hidden="false" customHeight="true" outlineLevel="0" collapsed="false">
      <c r="A887" s="550"/>
      <c r="B887" s="550"/>
      <c r="C887" s="551"/>
      <c r="D887" s="64"/>
      <c r="E887" s="64"/>
      <c r="F887" s="64"/>
      <c r="G887" s="64"/>
      <c r="H887" s="505"/>
      <c r="I887" s="505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customFormat="false" ht="15.75" hidden="false" customHeight="true" outlineLevel="0" collapsed="false">
      <c r="A888" s="550"/>
      <c r="B888" s="550"/>
      <c r="C888" s="551"/>
      <c r="D888" s="64"/>
      <c r="E888" s="64"/>
      <c r="F888" s="64"/>
      <c r="G888" s="64"/>
      <c r="H888" s="505"/>
      <c r="I888" s="505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customFormat="false" ht="15.75" hidden="false" customHeight="true" outlineLevel="0" collapsed="false">
      <c r="A889" s="550"/>
      <c r="B889" s="550"/>
      <c r="C889" s="551"/>
      <c r="D889" s="64"/>
      <c r="E889" s="64"/>
      <c r="F889" s="64"/>
      <c r="G889" s="64"/>
      <c r="H889" s="505"/>
      <c r="I889" s="505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customFormat="false" ht="15.75" hidden="false" customHeight="true" outlineLevel="0" collapsed="false">
      <c r="A890" s="550"/>
      <c r="B890" s="550"/>
      <c r="C890" s="551"/>
      <c r="D890" s="64"/>
      <c r="E890" s="64"/>
      <c r="F890" s="64"/>
      <c r="G890" s="64"/>
      <c r="H890" s="505"/>
      <c r="I890" s="505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customFormat="false" ht="15.75" hidden="false" customHeight="true" outlineLevel="0" collapsed="false">
      <c r="A891" s="550"/>
      <c r="B891" s="550"/>
      <c r="C891" s="551"/>
      <c r="D891" s="64"/>
      <c r="E891" s="64"/>
      <c r="F891" s="64"/>
      <c r="G891" s="64"/>
      <c r="H891" s="505"/>
      <c r="I891" s="505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customFormat="false" ht="15.75" hidden="false" customHeight="true" outlineLevel="0" collapsed="false">
      <c r="A892" s="550"/>
      <c r="B892" s="550"/>
      <c r="C892" s="551"/>
      <c r="D892" s="64"/>
      <c r="E892" s="64"/>
      <c r="F892" s="64"/>
      <c r="G892" s="64"/>
      <c r="H892" s="505"/>
      <c r="I892" s="505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customFormat="false" ht="15.75" hidden="false" customHeight="true" outlineLevel="0" collapsed="false">
      <c r="A893" s="550"/>
      <c r="B893" s="550"/>
      <c r="C893" s="551"/>
      <c r="D893" s="64"/>
      <c r="E893" s="64"/>
      <c r="F893" s="64"/>
      <c r="G893" s="64"/>
      <c r="H893" s="505"/>
      <c r="I893" s="505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customFormat="false" ht="15.75" hidden="false" customHeight="true" outlineLevel="0" collapsed="false">
      <c r="A894" s="550"/>
      <c r="B894" s="550"/>
      <c r="C894" s="551"/>
      <c r="D894" s="64"/>
      <c r="E894" s="64"/>
      <c r="F894" s="64"/>
      <c r="G894" s="64"/>
      <c r="H894" s="505"/>
      <c r="I894" s="505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customFormat="false" ht="15.75" hidden="false" customHeight="true" outlineLevel="0" collapsed="false">
      <c r="A895" s="550"/>
      <c r="B895" s="550"/>
      <c r="C895" s="551"/>
      <c r="D895" s="64"/>
      <c r="E895" s="64"/>
      <c r="F895" s="64"/>
      <c r="G895" s="64"/>
      <c r="H895" s="505"/>
      <c r="I895" s="505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customFormat="false" ht="15.75" hidden="false" customHeight="true" outlineLevel="0" collapsed="false">
      <c r="A896" s="550"/>
      <c r="B896" s="550"/>
      <c r="C896" s="551"/>
      <c r="D896" s="64"/>
      <c r="E896" s="64"/>
      <c r="F896" s="64"/>
      <c r="G896" s="64"/>
      <c r="H896" s="505"/>
      <c r="I896" s="505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customFormat="false" ht="15.75" hidden="false" customHeight="true" outlineLevel="0" collapsed="false">
      <c r="A897" s="550"/>
      <c r="B897" s="550"/>
      <c r="C897" s="551"/>
      <c r="D897" s="64"/>
      <c r="E897" s="64"/>
      <c r="F897" s="64"/>
      <c r="G897" s="64"/>
      <c r="H897" s="505"/>
      <c r="I897" s="505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customFormat="false" ht="15.75" hidden="false" customHeight="true" outlineLevel="0" collapsed="false">
      <c r="A898" s="550"/>
      <c r="B898" s="550"/>
      <c r="C898" s="551"/>
      <c r="D898" s="64"/>
      <c r="E898" s="64"/>
      <c r="F898" s="64"/>
      <c r="G898" s="64"/>
      <c r="H898" s="505"/>
      <c r="I898" s="505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customFormat="false" ht="15.75" hidden="false" customHeight="true" outlineLevel="0" collapsed="false">
      <c r="A899" s="550"/>
      <c r="B899" s="550"/>
      <c r="C899" s="551"/>
      <c r="D899" s="64"/>
      <c r="E899" s="64"/>
      <c r="F899" s="64"/>
      <c r="G899" s="64"/>
      <c r="H899" s="505"/>
      <c r="I899" s="505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customFormat="false" ht="15.75" hidden="false" customHeight="true" outlineLevel="0" collapsed="false">
      <c r="A900" s="550"/>
      <c r="B900" s="550"/>
      <c r="C900" s="551"/>
      <c r="D900" s="64"/>
      <c r="E900" s="64"/>
      <c r="F900" s="64"/>
      <c r="G900" s="64"/>
      <c r="H900" s="505"/>
      <c r="I900" s="505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customFormat="false" ht="15.75" hidden="false" customHeight="true" outlineLevel="0" collapsed="false">
      <c r="A901" s="550"/>
      <c r="B901" s="550"/>
      <c r="C901" s="551"/>
      <c r="D901" s="64"/>
      <c r="E901" s="64"/>
      <c r="F901" s="64"/>
      <c r="G901" s="64"/>
      <c r="H901" s="505"/>
      <c r="I901" s="505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customFormat="false" ht="15.75" hidden="false" customHeight="true" outlineLevel="0" collapsed="false">
      <c r="A902" s="550"/>
      <c r="B902" s="550"/>
      <c r="C902" s="551"/>
      <c r="D902" s="64"/>
      <c r="E902" s="64"/>
      <c r="F902" s="64"/>
      <c r="G902" s="64"/>
      <c r="H902" s="505"/>
      <c r="I902" s="505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customFormat="false" ht="15.75" hidden="false" customHeight="true" outlineLevel="0" collapsed="false">
      <c r="A903" s="550"/>
      <c r="B903" s="550"/>
      <c r="C903" s="551"/>
      <c r="D903" s="64"/>
      <c r="E903" s="64"/>
      <c r="F903" s="64"/>
      <c r="G903" s="64"/>
      <c r="H903" s="505"/>
      <c r="I903" s="505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customFormat="false" ht="15.75" hidden="false" customHeight="true" outlineLevel="0" collapsed="false">
      <c r="A904" s="550"/>
      <c r="B904" s="550"/>
      <c r="C904" s="551"/>
      <c r="D904" s="64"/>
      <c r="E904" s="64"/>
      <c r="F904" s="64"/>
      <c r="G904" s="64"/>
      <c r="H904" s="505"/>
      <c r="I904" s="505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customFormat="false" ht="15.75" hidden="false" customHeight="true" outlineLevel="0" collapsed="false">
      <c r="A905" s="550"/>
      <c r="B905" s="550"/>
      <c r="C905" s="551"/>
      <c r="D905" s="64"/>
      <c r="E905" s="64"/>
      <c r="F905" s="64"/>
      <c r="G905" s="64"/>
      <c r="H905" s="505"/>
      <c r="I905" s="505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customFormat="false" ht="15.75" hidden="false" customHeight="true" outlineLevel="0" collapsed="false">
      <c r="A906" s="550"/>
      <c r="B906" s="550"/>
      <c r="C906" s="551"/>
      <c r="D906" s="64"/>
      <c r="E906" s="64"/>
      <c r="F906" s="64"/>
      <c r="G906" s="64"/>
      <c r="H906" s="505"/>
      <c r="I906" s="505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customFormat="false" ht="15.75" hidden="false" customHeight="true" outlineLevel="0" collapsed="false">
      <c r="A907" s="550"/>
      <c r="B907" s="550"/>
      <c r="C907" s="551"/>
      <c r="D907" s="64"/>
      <c r="E907" s="64"/>
      <c r="F907" s="64"/>
      <c r="G907" s="64"/>
      <c r="H907" s="505"/>
      <c r="I907" s="505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customFormat="false" ht="15.75" hidden="false" customHeight="true" outlineLevel="0" collapsed="false">
      <c r="A908" s="550"/>
      <c r="B908" s="550"/>
      <c r="C908" s="551"/>
      <c r="D908" s="64"/>
      <c r="E908" s="64"/>
      <c r="F908" s="64"/>
      <c r="G908" s="64"/>
      <c r="H908" s="505"/>
      <c r="I908" s="505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customFormat="false" ht="15.75" hidden="false" customHeight="true" outlineLevel="0" collapsed="false">
      <c r="A909" s="550"/>
      <c r="B909" s="550"/>
      <c r="C909" s="551"/>
      <c r="D909" s="64"/>
      <c r="E909" s="64"/>
      <c r="F909" s="64"/>
      <c r="G909" s="64"/>
      <c r="H909" s="505"/>
      <c r="I909" s="505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customFormat="false" ht="15.75" hidden="false" customHeight="true" outlineLevel="0" collapsed="false">
      <c r="A910" s="550"/>
      <c r="B910" s="550"/>
      <c r="C910" s="551"/>
      <c r="D910" s="64"/>
      <c r="E910" s="64"/>
      <c r="F910" s="64"/>
      <c r="G910" s="64"/>
      <c r="H910" s="505"/>
      <c r="I910" s="505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customFormat="false" ht="15.75" hidden="false" customHeight="true" outlineLevel="0" collapsed="false">
      <c r="A911" s="550"/>
      <c r="B911" s="550"/>
      <c r="C911" s="551"/>
      <c r="D911" s="64"/>
      <c r="E911" s="64"/>
      <c r="F911" s="64"/>
      <c r="G911" s="64"/>
      <c r="H911" s="505"/>
      <c r="I911" s="505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customFormat="false" ht="15.75" hidden="false" customHeight="true" outlineLevel="0" collapsed="false">
      <c r="A912" s="550"/>
      <c r="B912" s="550"/>
      <c r="C912" s="551"/>
      <c r="D912" s="64"/>
      <c r="E912" s="64"/>
      <c r="F912" s="64"/>
      <c r="G912" s="64"/>
      <c r="H912" s="505"/>
      <c r="I912" s="505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customFormat="false" ht="15.75" hidden="false" customHeight="true" outlineLevel="0" collapsed="false">
      <c r="A913" s="550"/>
      <c r="B913" s="550"/>
      <c r="C913" s="551"/>
      <c r="D913" s="64"/>
      <c r="E913" s="64"/>
      <c r="F913" s="64"/>
      <c r="G913" s="64"/>
      <c r="H913" s="505"/>
      <c r="I913" s="505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customFormat="false" ht="15.75" hidden="false" customHeight="true" outlineLevel="0" collapsed="false">
      <c r="A914" s="550"/>
      <c r="B914" s="550"/>
      <c r="C914" s="551"/>
      <c r="D914" s="64"/>
      <c r="E914" s="64"/>
      <c r="F914" s="64"/>
      <c r="G914" s="64"/>
      <c r="H914" s="505"/>
      <c r="I914" s="505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customFormat="false" ht="15.75" hidden="false" customHeight="true" outlineLevel="0" collapsed="false">
      <c r="A915" s="550"/>
      <c r="B915" s="550"/>
      <c r="C915" s="551"/>
      <c r="D915" s="64"/>
      <c r="E915" s="64"/>
      <c r="F915" s="64"/>
      <c r="G915" s="64"/>
      <c r="H915" s="505"/>
      <c r="I915" s="505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customFormat="false" ht="15.75" hidden="false" customHeight="true" outlineLevel="0" collapsed="false">
      <c r="A916" s="550"/>
      <c r="B916" s="550"/>
      <c r="C916" s="551"/>
      <c r="D916" s="64"/>
      <c r="E916" s="64"/>
      <c r="F916" s="64"/>
      <c r="G916" s="64"/>
      <c r="H916" s="505"/>
      <c r="I916" s="505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customFormat="false" ht="15.75" hidden="false" customHeight="true" outlineLevel="0" collapsed="false">
      <c r="A917" s="550"/>
      <c r="B917" s="550"/>
      <c r="C917" s="551"/>
      <c r="D917" s="64"/>
      <c r="E917" s="64"/>
      <c r="F917" s="64"/>
      <c r="G917" s="64"/>
      <c r="H917" s="505"/>
      <c r="I917" s="505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customFormat="false" ht="15.75" hidden="false" customHeight="true" outlineLevel="0" collapsed="false">
      <c r="A918" s="550"/>
      <c r="B918" s="550"/>
      <c r="C918" s="551"/>
      <c r="D918" s="64"/>
      <c r="E918" s="64"/>
      <c r="F918" s="64"/>
      <c r="G918" s="64"/>
      <c r="H918" s="505"/>
      <c r="I918" s="505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customFormat="false" ht="15.75" hidden="false" customHeight="true" outlineLevel="0" collapsed="false">
      <c r="A919" s="550"/>
      <c r="B919" s="550"/>
      <c r="C919" s="551"/>
      <c r="D919" s="64"/>
      <c r="E919" s="64"/>
      <c r="F919" s="64"/>
      <c r="G919" s="64"/>
      <c r="H919" s="505"/>
      <c r="I919" s="505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customFormat="false" ht="15.75" hidden="false" customHeight="true" outlineLevel="0" collapsed="false">
      <c r="A920" s="550"/>
      <c r="B920" s="550"/>
      <c r="C920" s="551"/>
      <c r="D920" s="64"/>
      <c r="E920" s="64"/>
      <c r="F920" s="64"/>
      <c r="G920" s="64"/>
      <c r="H920" s="505"/>
      <c r="I920" s="505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customFormat="false" ht="15.75" hidden="false" customHeight="true" outlineLevel="0" collapsed="false">
      <c r="A921" s="550"/>
      <c r="B921" s="550"/>
      <c r="C921" s="551"/>
      <c r="D921" s="64"/>
      <c r="E921" s="64"/>
      <c r="F921" s="64"/>
      <c r="G921" s="64"/>
      <c r="H921" s="505"/>
      <c r="I921" s="505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customFormat="false" ht="15.75" hidden="false" customHeight="true" outlineLevel="0" collapsed="false">
      <c r="A922" s="550"/>
      <c r="B922" s="550"/>
      <c r="C922" s="551"/>
      <c r="D922" s="64"/>
      <c r="E922" s="64"/>
      <c r="F922" s="64"/>
      <c r="G922" s="64"/>
      <c r="H922" s="505"/>
      <c r="I922" s="505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customFormat="false" ht="15.75" hidden="false" customHeight="true" outlineLevel="0" collapsed="false">
      <c r="A923" s="550"/>
      <c r="B923" s="550"/>
      <c r="C923" s="551"/>
      <c r="D923" s="64"/>
      <c r="E923" s="64"/>
      <c r="F923" s="64"/>
      <c r="G923" s="64"/>
      <c r="H923" s="505"/>
      <c r="I923" s="505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customFormat="false" ht="15.75" hidden="false" customHeight="true" outlineLevel="0" collapsed="false">
      <c r="A924" s="550"/>
      <c r="B924" s="550"/>
      <c r="C924" s="551"/>
      <c r="D924" s="64"/>
      <c r="E924" s="64"/>
      <c r="F924" s="64"/>
      <c r="G924" s="64"/>
      <c r="H924" s="505"/>
      <c r="I924" s="505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customFormat="false" ht="15.75" hidden="false" customHeight="true" outlineLevel="0" collapsed="false">
      <c r="A925" s="550"/>
      <c r="B925" s="550"/>
      <c r="C925" s="551"/>
      <c r="D925" s="64"/>
      <c r="E925" s="64"/>
      <c r="F925" s="64"/>
      <c r="G925" s="64"/>
      <c r="H925" s="505"/>
      <c r="I925" s="505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customFormat="false" ht="15.75" hidden="false" customHeight="true" outlineLevel="0" collapsed="false">
      <c r="A926" s="550"/>
      <c r="B926" s="550"/>
      <c r="C926" s="551"/>
      <c r="D926" s="64"/>
      <c r="E926" s="64"/>
      <c r="F926" s="64"/>
      <c r="G926" s="64"/>
      <c r="H926" s="505"/>
      <c r="I926" s="505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customFormat="false" ht="15.75" hidden="false" customHeight="true" outlineLevel="0" collapsed="false">
      <c r="A927" s="550"/>
      <c r="B927" s="550"/>
      <c r="C927" s="551"/>
      <c r="D927" s="64"/>
      <c r="E927" s="64"/>
      <c r="F927" s="64"/>
      <c r="G927" s="64"/>
      <c r="H927" s="505"/>
      <c r="I927" s="505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customFormat="false" ht="15.75" hidden="false" customHeight="true" outlineLevel="0" collapsed="false">
      <c r="A928" s="550"/>
      <c r="B928" s="550"/>
      <c r="C928" s="551"/>
      <c r="D928" s="64"/>
      <c r="E928" s="64"/>
      <c r="F928" s="64"/>
      <c r="G928" s="64"/>
      <c r="H928" s="505"/>
      <c r="I928" s="505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customFormat="false" ht="15.75" hidden="false" customHeight="true" outlineLevel="0" collapsed="false">
      <c r="A929" s="550"/>
      <c r="B929" s="550"/>
      <c r="C929" s="551"/>
      <c r="D929" s="64"/>
      <c r="E929" s="64"/>
      <c r="F929" s="64"/>
      <c r="G929" s="64"/>
      <c r="H929" s="505"/>
      <c r="I929" s="505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customFormat="false" ht="15.75" hidden="false" customHeight="true" outlineLevel="0" collapsed="false">
      <c r="A930" s="550"/>
      <c r="B930" s="550"/>
      <c r="C930" s="551"/>
      <c r="D930" s="64"/>
      <c r="E930" s="64"/>
      <c r="F930" s="64"/>
      <c r="G930" s="64"/>
      <c r="H930" s="505"/>
      <c r="I930" s="505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customFormat="false" ht="15.75" hidden="false" customHeight="true" outlineLevel="0" collapsed="false">
      <c r="A931" s="550"/>
      <c r="B931" s="550"/>
      <c r="C931" s="551"/>
      <c r="D931" s="64"/>
      <c r="E931" s="64"/>
      <c r="F931" s="64"/>
      <c r="G931" s="64"/>
      <c r="H931" s="505"/>
      <c r="I931" s="505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customFormat="false" ht="15.75" hidden="false" customHeight="true" outlineLevel="0" collapsed="false">
      <c r="A932" s="550"/>
      <c r="B932" s="550"/>
      <c r="C932" s="551"/>
      <c r="D932" s="64"/>
      <c r="E932" s="64"/>
      <c r="F932" s="64"/>
      <c r="G932" s="64"/>
      <c r="H932" s="505"/>
      <c r="I932" s="505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customFormat="false" ht="15.75" hidden="false" customHeight="true" outlineLevel="0" collapsed="false">
      <c r="A933" s="550"/>
      <c r="B933" s="550"/>
      <c r="C933" s="551"/>
      <c r="D933" s="64"/>
      <c r="E933" s="64"/>
      <c r="F933" s="64"/>
      <c r="G933" s="64"/>
      <c r="H933" s="505"/>
      <c r="I933" s="505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customFormat="false" ht="15.75" hidden="false" customHeight="true" outlineLevel="0" collapsed="false">
      <c r="A934" s="550"/>
      <c r="B934" s="550"/>
      <c r="C934" s="551"/>
      <c r="D934" s="64"/>
      <c r="E934" s="64"/>
      <c r="F934" s="64"/>
      <c r="G934" s="64"/>
      <c r="H934" s="505"/>
      <c r="I934" s="505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customFormat="false" ht="15.75" hidden="false" customHeight="true" outlineLevel="0" collapsed="false">
      <c r="A935" s="550"/>
      <c r="B935" s="550"/>
      <c r="C935" s="551"/>
      <c r="D935" s="64"/>
      <c r="E935" s="64"/>
      <c r="F935" s="64"/>
      <c r="G935" s="64"/>
      <c r="H935" s="505"/>
      <c r="I935" s="505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customFormat="false" ht="15.75" hidden="false" customHeight="true" outlineLevel="0" collapsed="false">
      <c r="A936" s="550"/>
      <c r="B936" s="550"/>
      <c r="C936" s="551"/>
      <c r="D936" s="64"/>
      <c r="E936" s="64"/>
      <c r="F936" s="64"/>
      <c r="G936" s="64"/>
      <c r="H936" s="505"/>
      <c r="I936" s="505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customFormat="false" ht="15.75" hidden="false" customHeight="true" outlineLevel="0" collapsed="false">
      <c r="A937" s="550"/>
      <c r="B937" s="550"/>
      <c r="C937" s="551"/>
      <c r="D937" s="64"/>
      <c r="E937" s="64"/>
      <c r="F937" s="64"/>
      <c r="G937" s="64"/>
      <c r="H937" s="505"/>
      <c r="I937" s="505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customFormat="false" ht="15.75" hidden="false" customHeight="true" outlineLevel="0" collapsed="false">
      <c r="A938" s="550"/>
      <c r="B938" s="550"/>
      <c r="C938" s="551"/>
      <c r="D938" s="64"/>
      <c r="E938" s="64"/>
      <c r="F938" s="64"/>
      <c r="G938" s="64"/>
      <c r="H938" s="505"/>
      <c r="I938" s="505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customFormat="false" ht="15.75" hidden="false" customHeight="true" outlineLevel="0" collapsed="false">
      <c r="A939" s="550"/>
      <c r="B939" s="550"/>
      <c r="C939" s="551"/>
      <c r="D939" s="64"/>
      <c r="E939" s="64"/>
      <c r="F939" s="64"/>
      <c r="G939" s="64"/>
      <c r="H939" s="505"/>
      <c r="I939" s="505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customFormat="false" ht="15.75" hidden="false" customHeight="true" outlineLevel="0" collapsed="false">
      <c r="A940" s="550"/>
      <c r="B940" s="550"/>
      <c r="C940" s="551"/>
      <c r="D940" s="64"/>
      <c r="E940" s="64"/>
      <c r="F940" s="64"/>
      <c r="G940" s="64"/>
      <c r="H940" s="505"/>
      <c r="I940" s="505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customFormat="false" ht="15.75" hidden="false" customHeight="true" outlineLevel="0" collapsed="false">
      <c r="A941" s="550"/>
      <c r="B941" s="550"/>
      <c r="C941" s="551"/>
      <c r="D941" s="64"/>
      <c r="E941" s="64"/>
      <c r="F941" s="64"/>
      <c r="G941" s="64"/>
      <c r="H941" s="505"/>
      <c r="I941" s="505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customFormat="false" ht="15.75" hidden="false" customHeight="true" outlineLevel="0" collapsed="false">
      <c r="A942" s="550"/>
      <c r="B942" s="550"/>
      <c r="C942" s="551"/>
      <c r="D942" s="64"/>
      <c r="E942" s="64"/>
      <c r="F942" s="64"/>
      <c r="G942" s="64"/>
      <c r="H942" s="505"/>
      <c r="I942" s="505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customFormat="false" ht="15.75" hidden="false" customHeight="true" outlineLevel="0" collapsed="false">
      <c r="A943" s="550"/>
      <c r="B943" s="550"/>
      <c r="C943" s="551"/>
      <c r="D943" s="64"/>
      <c r="E943" s="64"/>
      <c r="F943" s="64"/>
      <c r="G943" s="64"/>
      <c r="H943" s="505"/>
      <c r="I943" s="505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customFormat="false" ht="15.75" hidden="false" customHeight="true" outlineLevel="0" collapsed="false">
      <c r="A944" s="550"/>
      <c r="B944" s="550"/>
      <c r="C944" s="551"/>
      <c r="D944" s="64"/>
      <c r="E944" s="64"/>
      <c r="F944" s="64"/>
      <c r="G944" s="64"/>
      <c r="H944" s="505"/>
      <c r="I944" s="505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customFormat="false" ht="15.75" hidden="false" customHeight="true" outlineLevel="0" collapsed="false">
      <c r="A945" s="550"/>
      <c r="B945" s="550"/>
      <c r="C945" s="551"/>
      <c r="D945" s="64"/>
      <c r="E945" s="64"/>
      <c r="F945" s="64"/>
      <c r="G945" s="64"/>
      <c r="H945" s="505"/>
      <c r="I945" s="505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customFormat="false" ht="15.75" hidden="false" customHeight="true" outlineLevel="0" collapsed="false">
      <c r="A946" s="550"/>
      <c r="B946" s="550"/>
      <c r="C946" s="551"/>
      <c r="D946" s="64"/>
      <c r="E946" s="64"/>
      <c r="F946" s="64"/>
      <c r="G946" s="64"/>
      <c r="H946" s="505"/>
      <c r="I946" s="505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customFormat="false" ht="15.75" hidden="false" customHeight="true" outlineLevel="0" collapsed="false">
      <c r="A947" s="550"/>
      <c r="B947" s="550"/>
      <c r="C947" s="551"/>
      <c r="D947" s="64"/>
      <c r="E947" s="64"/>
      <c r="F947" s="64"/>
      <c r="G947" s="64"/>
      <c r="H947" s="505"/>
      <c r="I947" s="505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customFormat="false" ht="15.75" hidden="false" customHeight="true" outlineLevel="0" collapsed="false">
      <c r="A948" s="550"/>
      <c r="B948" s="550"/>
      <c r="C948" s="551"/>
      <c r="D948" s="64"/>
      <c r="E948" s="64"/>
      <c r="F948" s="64"/>
      <c r="G948" s="64"/>
      <c r="H948" s="505"/>
      <c r="I948" s="505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customFormat="false" ht="15.75" hidden="false" customHeight="true" outlineLevel="0" collapsed="false">
      <c r="A949" s="550"/>
      <c r="B949" s="550"/>
      <c r="C949" s="551"/>
      <c r="D949" s="64"/>
      <c r="E949" s="64"/>
      <c r="F949" s="64"/>
      <c r="G949" s="64"/>
      <c r="H949" s="505"/>
      <c r="I949" s="505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customFormat="false" ht="15.75" hidden="false" customHeight="true" outlineLevel="0" collapsed="false">
      <c r="A950" s="550"/>
      <c r="B950" s="550"/>
      <c r="C950" s="551"/>
      <c r="D950" s="64"/>
      <c r="E950" s="64"/>
      <c r="F950" s="64"/>
      <c r="G950" s="64"/>
      <c r="H950" s="505"/>
      <c r="I950" s="505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customFormat="false" ht="15.75" hidden="false" customHeight="true" outlineLevel="0" collapsed="false">
      <c r="A951" s="550"/>
      <c r="B951" s="550"/>
      <c r="C951" s="551"/>
      <c r="D951" s="64"/>
      <c r="E951" s="64"/>
      <c r="F951" s="64"/>
      <c r="G951" s="64"/>
      <c r="H951" s="505"/>
      <c r="I951" s="505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customFormat="false" ht="15.75" hidden="false" customHeight="true" outlineLevel="0" collapsed="false">
      <c r="A952" s="550"/>
      <c r="B952" s="550"/>
      <c r="C952" s="551"/>
      <c r="D952" s="64"/>
      <c r="E952" s="64"/>
      <c r="F952" s="64"/>
      <c r="G952" s="64"/>
      <c r="H952" s="505"/>
      <c r="I952" s="505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customFormat="false" ht="15.75" hidden="false" customHeight="true" outlineLevel="0" collapsed="false">
      <c r="A953" s="550"/>
      <c r="B953" s="550"/>
      <c r="C953" s="551"/>
      <c r="D953" s="64"/>
      <c r="E953" s="64"/>
      <c r="F953" s="64"/>
      <c r="G953" s="64"/>
      <c r="H953" s="505"/>
      <c r="I953" s="505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customFormat="false" ht="15.75" hidden="false" customHeight="true" outlineLevel="0" collapsed="false">
      <c r="A954" s="550"/>
      <c r="B954" s="550"/>
      <c r="C954" s="551"/>
      <c r="D954" s="64"/>
      <c r="E954" s="64"/>
      <c r="F954" s="64"/>
      <c r="G954" s="64"/>
      <c r="H954" s="505"/>
      <c r="I954" s="505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customFormat="false" ht="15.75" hidden="false" customHeight="true" outlineLevel="0" collapsed="false">
      <c r="A955" s="550"/>
      <c r="B955" s="550"/>
      <c r="C955" s="551"/>
      <c r="D955" s="64"/>
      <c r="E955" s="64"/>
      <c r="F955" s="64"/>
      <c r="G955" s="64"/>
      <c r="H955" s="505"/>
      <c r="I955" s="505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customFormat="false" ht="15.75" hidden="false" customHeight="true" outlineLevel="0" collapsed="false">
      <c r="A956" s="550"/>
      <c r="B956" s="550"/>
      <c r="C956" s="551"/>
      <c r="D956" s="64"/>
      <c r="E956" s="64"/>
      <c r="F956" s="64"/>
      <c r="G956" s="64"/>
      <c r="H956" s="505"/>
      <c r="I956" s="505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customFormat="false" ht="15.75" hidden="false" customHeight="true" outlineLevel="0" collapsed="false">
      <c r="A957" s="550"/>
      <c r="B957" s="550"/>
      <c r="C957" s="551"/>
      <c r="D957" s="64"/>
      <c r="E957" s="64"/>
      <c r="F957" s="64"/>
      <c r="G957" s="64"/>
      <c r="H957" s="505"/>
      <c r="I957" s="505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customFormat="false" ht="15.75" hidden="false" customHeight="true" outlineLevel="0" collapsed="false">
      <c r="A958" s="550"/>
      <c r="B958" s="550"/>
      <c r="C958" s="551"/>
      <c r="D958" s="64"/>
      <c r="E958" s="64"/>
      <c r="F958" s="64"/>
      <c r="G958" s="64"/>
      <c r="H958" s="505"/>
      <c r="I958" s="505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customFormat="false" ht="15.75" hidden="false" customHeight="true" outlineLevel="0" collapsed="false">
      <c r="A959" s="550"/>
      <c r="B959" s="550"/>
      <c r="C959" s="551"/>
      <c r="D959" s="64"/>
      <c r="E959" s="64"/>
      <c r="F959" s="64"/>
      <c r="G959" s="64"/>
      <c r="H959" s="505"/>
      <c r="I959" s="505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customFormat="false" ht="15.75" hidden="false" customHeight="true" outlineLevel="0" collapsed="false">
      <c r="A960" s="550"/>
      <c r="B960" s="550"/>
      <c r="C960" s="551"/>
      <c r="D960" s="64"/>
      <c r="E960" s="64"/>
      <c r="F960" s="64"/>
      <c r="G960" s="64"/>
      <c r="H960" s="505"/>
      <c r="I960" s="505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customFormat="false" ht="15.75" hidden="false" customHeight="true" outlineLevel="0" collapsed="false">
      <c r="A961" s="550"/>
      <c r="B961" s="550"/>
      <c r="C961" s="551"/>
      <c r="D961" s="64"/>
      <c r="E961" s="64"/>
      <c r="F961" s="64"/>
      <c r="G961" s="64"/>
      <c r="H961" s="505"/>
      <c r="I961" s="505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customFormat="false" ht="15.75" hidden="false" customHeight="true" outlineLevel="0" collapsed="false">
      <c r="A962" s="550"/>
      <c r="B962" s="550"/>
      <c r="C962" s="551"/>
      <c r="D962" s="64"/>
      <c r="E962" s="64"/>
      <c r="F962" s="64"/>
      <c r="G962" s="64"/>
      <c r="H962" s="505"/>
      <c r="I962" s="505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customFormat="false" ht="15.75" hidden="false" customHeight="true" outlineLevel="0" collapsed="false">
      <c r="A963" s="550"/>
      <c r="B963" s="550"/>
      <c r="C963" s="551"/>
      <c r="D963" s="64"/>
      <c r="E963" s="64"/>
      <c r="F963" s="64"/>
      <c r="G963" s="64"/>
      <c r="H963" s="505"/>
      <c r="I963" s="505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customFormat="false" ht="15.75" hidden="false" customHeight="true" outlineLevel="0" collapsed="false">
      <c r="A964" s="550"/>
      <c r="B964" s="550"/>
      <c r="C964" s="551"/>
      <c r="D964" s="64"/>
      <c r="E964" s="64"/>
      <c r="F964" s="64"/>
      <c r="G964" s="64"/>
      <c r="H964" s="505"/>
      <c r="I964" s="505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customFormat="false" ht="15.75" hidden="false" customHeight="true" outlineLevel="0" collapsed="false">
      <c r="A965" s="550"/>
      <c r="B965" s="550"/>
      <c r="C965" s="551"/>
      <c r="D965" s="64"/>
      <c r="E965" s="64"/>
      <c r="F965" s="64"/>
      <c r="G965" s="64"/>
      <c r="H965" s="505"/>
      <c r="I965" s="505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customFormat="false" ht="15.75" hidden="false" customHeight="true" outlineLevel="0" collapsed="false">
      <c r="A966" s="550"/>
      <c r="B966" s="550"/>
      <c r="C966" s="551"/>
      <c r="D966" s="64"/>
      <c r="E966" s="64"/>
      <c r="F966" s="64"/>
      <c r="G966" s="64"/>
      <c r="H966" s="505"/>
      <c r="I966" s="505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customFormat="false" ht="15.75" hidden="false" customHeight="true" outlineLevel="0" collapsed="false">
      <c r="A967" s="550"/>
      <c r="B967" s="550"/>
      <c r="C967" s="551"/>
      <c r="D967" s="64"/>
      <c r="E967" s="64"/>
      <c r="F967" s="64"/>
      <c r="G967" s="64"/>
      <c r="H967" s="505"/>
      <c r="I967" s="505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customFormat="false" ht="15.75" hidden="false" customHeight="true" outlineLevel="0" collapsed="false">
      <c r="A968" s="550"/>
      <c r="B968" s="550"/>
      <c r="C968" s="551"/>
      <c r="D968" s="64"/>
      <c r="E968" s="64"/>
      <c r="F968" s="64"/>
      <c r="G968" s="64"/>
      <c r="H968" s="505"/>
      <c r="I968" s="505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customFormat="false" ht="15.75" hidden="false" customHeight="true" outlineLevel="0" collapsed="false">
      <c r="A969" s="550"/>
      <c r="B969" s="550"/>
      <c r="C969" s="551"/>
      <c r="D969" s="64"/>
      <c r="E969" s="64"/>
      <c r="F969" s="64"/>
      <c r="G969" s="64"/>
      <c r="H969" s="505"/>
      <c r="I969" s="505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customFormat="false" ht="15.75" hidden="false" customHeight="true" outlineLevel="0" collapsed="false">
      <c r="A970" s="550"/>
      <c r="B970" s="550"/>
      <c r="C970" s="551"/>
      <c r="D970" s="64"/>
      <c r="E970" s="64"/>
      <c r="F970" s="64"/>
      <c r="G970" s="64"/>
      <c r="H970" s="505"/>
      <c r="I970" s="505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customFormat="false" ht="15.75" hidden="false" customHeight="true" outlineLevel="0" collapsed="false">
      <c r="A971" s="550"/>
      <c r="B971" s="550"/>
      <c r="C971" s="551"/>
      <c r="D971" s="64"/>
      <c r="E971" s="64"/>
      <c r="F971" s="64"/>
      <c r="G971" s="64"/>
      <c r="H971" s="505"/>
      <c r="I971" s="505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customFormat="false" ht="15.75" hidden="false" customHeight="true" outlineLevel="0" collapsed="false">
      <c r="A972" s="550"/>
      <c r="B972" s="550"/>
      <c r="C972" s="551"/>
      <c r="D972" s="64"/>
      <c r="E972" s="64"/>
      <c r="F972" s="64"/>
      <c r="G972" s="64"/>
      <c r="H972" s="505"/>
      <c r="I972" s="505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customFormat="false" ht="15.75" hidden="false" customHeight="true" outlineLevel="0" collapsed="false">
      <c r="A973" s="550"/>
      <c r="B973" s="550"/>
      <c r="C973" s="551"/>
      <c r="D973" s="64"/>
      <c r="E973" s="64"/>
      <c r="F973" s="64"/>
      <c r="G973" s="64"/>
      <c r="H973" s="505"/>
      <c r="I973" s="505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customFormat="false" ht="15.75" hidden="false" customHeight="true" outlineLevel="0" collapsed="false">
      <c r="A974" s="550"/>
      <c r="B974" s="550"/>
      <c r="C974" s="551"/>
      <c r="D974" s="64"/>
      <c r="E974" s="64"/>
      <c r="F974" s="64"/>
      <c r="G974" s="64"/>
      <c r="H974" s="505"/>
      <c r="I974" s="505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customFormat="false" ht="15.75" hidden="false" customHeight="true" outlineLevel="0" collapsed="false">
      <c r="A975" s="550"/>
      <c r="B975" s="550"/>
      <c r="C975" s="551"/>
      <c r="D975" s="64"/>
      <c r="E975" s="64"/>
      <c r="F975" s="64"/>
      <c r="G975" s="64"/>
      <c r="H975" s="505"/>
      <c r="I975" s="505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customFormat="false" ht="15.75" hidden="false" customHeight="true" outlineLevel="0" collapsed="false">
      <c r="A976" s="550"/>
      <c r="B976" s="550"/>
      <c r="C976" s="551"/>
      <c r="D976" s="64"/>
      <c r="E976" s="64"/>
      <c r="F976" s="64"/>
      <c r="G976" s="64"/>
      <c r="H976" s="505"/>
      <c r="I976" s="505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customFormat="false" ht="15.75" hidden="false" customHeight="true" outlineLevel="0" collapsed="false">
      <c r="A977" s="550"/>
      <c r="B977" s="550"/>
      <c r="C977" s="551"/>
      <c r="D977" s="64"/>
      <c r="E977" s="64"/>
      <c r="F977" s="64"/>
      <c r="G977" s="64"/>
      <c r="H977" s="505"/>
      <c r="I977" s="505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customFormat="false" ht="15.75" hidden="false" customHeight="true" outlineLevel="0" collapsed="false">
      <c r="A978" s="550"/>
      <c r="B978" s="550"/>
      <c r="C978" s="551"/>
      <c r="D978" s="64"/>
      <c r="E978" s="64"/>
      <c r="F978" s="64"/>
      <c r="G978" s="64"/>
      <c r="H978" s="505"/>
      <c r="I978" s="505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customFormat="false" ht="15.75" hidden="false" customHeight="true" outlineLevel="0" collapsed="false">
      <c r="A979" s="550"/>
      <c r="B979" s="550"/>
      <c r="C979" s="551"/>
      <c r="D979" s="64"/>
      <c r="E979" s="64"/>
      <c r="F979" s="64"/>
      <c r="G979" s="64"/>
      <c r="H979" s="505"/>
      <c r="I979" s="505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customFormat="false" ht="15.75" hidden="false" customHeight="true" outlineLevel="0" collapsed="false">
      <c r="A980" s="550"/>
      <c r="B980" s="550"/>
      <c r="C980" s="551"/>
      <c r="D980" s="64"/>
      <c r="E980" s="64"/>
      <c r="F980" s="64"/>
      <c r="G980" s="64"/>
      <c r="H980" s="505"/>
      <c r="I980" s="505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customFormat="false" ht="15.75" hidden="false" customHeight="true" outlineLevel="0" collapsed="false">
      <c r="A981" s="550"/>
      <c r="B981" s="550"/>
      <c r="C981" s="551"/>
      <c r="D981" s="64"/>
      <c r="E981" s="64"/>
      <c r="F981" s="64"/>
      <c r="G981" s="64"/>
      <c r="H981" s="505"/>
      <c r="I981" s="505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customFormat="false" ht="15.75" hidden="false" customHeight="true" outlineLevel="0" collapsed="false">
      <c r="A982" s="550"/>
      <c r="B982" s="550"/>
      <c r="C982" s="551"/>
      <c r="D982" s="64"/>
      <c r="E982" s="64"/>
      <c r="F982" s="64"/>
      <c r="G982" s="64"/>
      <c r="H982" s="505"/>
      <c r="I982" s="505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customFormat="false" ht="15.75" hidden="false" customHeight="true" outlineLevel="0" collapsed="false">
      <c r="A983" s="550"/>
      <c r="B983" s="550"/>
      <c r="C983" s="551"/>
      <c r="D983" s="64"/>
      <c r="E983" s="64"/>
      <c r="F983" s="64"/>
      <c r="G983" s="64"/>
      <c r="H983" s="505"/>
      <c r="I983" s="505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customFormat="false" ht="15.75" hidden="false" customHeight="true" outlineLevel="0" collapsed="false">
      <c r="A984" s="550"/>
      <c r="B984" s="550"/>
      <c r="C984" s="551"/>
      <c r="D984" s="64"/>
      <c r="E984" s="64"/>
      <c r="F984" s="64"/>
      <c r="G984" s="64"/>
      <c r="H984" s="505"/>
      <c r="I984" s="505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customFormat="false" ht="15.75" hidden="false" customHeight="true" outlineLevel="0" collapsed="false">
      <c r="A985" s="550"/>
      <c r="B985" s="550"/>
      <c r="C985" s="551"/>
      <c r="D985" s="64"/>
      <c r="E985" s="64"/>
      <c r="F985" s="64"/>
      <c r="G985" s="64"/>
      <c r="H985" s="505"/>
      <c r="I985" s="505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customFormat="false" ht="15.75" hidden="false" customHeight="true" outlineLevel="0" collapsed="false">
      <c r="A986" s="550"/>
      <c r="B986" s="550"/>
      <c r="C986" s="551"/>
      <c r="D986" s="64"/>
      <c r="E986" s="64"/>
      <c r="F986" s="64"/>
      <c r="G986" s="64"/>
      <c r="H986" s="505"/>
      <c r="I986" s="505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customFormat="false" ht="15.75" hidden="false" customHeight="true" outlineLevel="0" collapsed="false">
      <c r="A987" s="550"/>
      <c r="B987" s="550"/>
      <c r="C987" s="551"/>
      <c r="D987" s="64"/>
      <c r="E987" s="64"/>
      <c r="F987" s="64"/>
      <c r="G987" s="64"/>
      <c r="H987" s="505"/>
      <c r="I987" s="505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customFormat="false" ht="15.75" hidden="false" customHeight="true" outlineLevel="0" collapsed="false">
      <c r="A988" s="550"/>
      <c r="B988" s="550"/>
      <c r="C988" s="551"/>
      <c r="D988" s="64"/>
      <c r="E988" s="64"/>
      <c r="F988" s="64"/>
      <c r="G988" s="64"/>
      <c r="H988" s="505"/>
      <c r="I988" s="505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customFormat="false" ht="15.75" hidden="false" customHeight="true" outlineLevel="0" collapsed="false">
      <c r="A989" s="550"/>
      <c r="B989" s="550"/>
      <c r="C989" s="551"/>
      <c r="D989" s="64"/>
      <c r="E989" s="64"/>
      <c r="F989" s="64"/>
      <c r="G989" s="64"/>
      <c r="H989" s="505"/>
      <c r="I989" s="505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customFormat="false" ht="15.75" hidden="false" customHeight="true" outlineLevel="0" collapsed="false">
      <c r="A990" s="550"/>
      <c r="B990" s="550"/>
      <c r="C990" s="551"/>
      <c r="D990" s="64"/>
      <c r="E990" s="64"/>
      <c r="F990" s="64"/>
      <c r="G990" s="64"/>
      <c r="H990" s="505"/>
      <c r="I990" s="505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customFormat="false" ht="15.75" hidden="false" customHeight="true" outlineLevel="0" collapsed="false">
      <c r="A991" s="550"/>
      <c r="B991" s="550"/>
      <c r="C991" s="551"/>
      <c r="D991" s="64"/>
      <c r="E991" s="64"/>
      <c r="F991" s="64"/>
      <c r="G991" s="64"/>
      <c r="H991" s="505"/>
      <c r="I991" s="505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customFormat="false" ht="15.75" hidden="false" customHeight="true" outlineLevel="0" collapsed="false">
      <c r="A992" s="550"/>
      <c r="B992" s="550"/>
      <c r="C992" s="551"/>
      <c r="D992" s="64"/>
      <c r="E992" s="64"/>
      <c r="F992" s="64"/>
      <c r="G992" s="64"/>
      <c r="H992" s="505"/>
      <c r="I992" s="505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customFormat="false" ht="15.75" hidden="false" customHeight="true" outlineLevel="0" collapsed="false">
      <c r="A993" s="550"/>
      <c r="B993" s="550"/>
      <c r="C993" s="551"/>
      <c r="D993" s="64"/>
      <c r="E993" s="64"/>
      <c r="F993" s="64"/>
      <c r="G993" s="64"/>
      <c r="H993" s="505"/>
      <c r="I993" s="505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customFormat="false" ht="15.75" hidden="false" customHeight="true" outlineLevel="0" collapsed="false">
      <c r="A994" s="550"/>
      <c r="B994" s="550"/>
      <c r="C994" s="551"/>
      <c r="D994" s="64"/>
      <c r="E994" s="64"/>
      <c r="F994" s="64"/>
      <c r="G994" s="64"/>
      <c r="H994" s="505"/>
      <c r="I994" s="505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customFormat="false" ht="15.75" hidden="false" customHeight="true" outlineLevel="0" collapsed="false">
      <c r="A995" s="550"/>
      <c r="B995" s="550"/>
      <c r="C995" s="551"/>
      <c r="D995" s="64"/>
      <c r="E995" s="64"/>
      <c r="F995" s="64"/>
      <c r="G995" s="64"/>
      <c r="H995" s="505"/>
      <c r="I995" s="505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customFormat="false" ht="15.75" hidden="false" customHeight="true" outlineLevel="0" collapsed="false">
      <c r="A996" s="550"/>
      <c r="B996" s="550"/>
      <c r="C996" s="551"/>
      <c r="D996" s="64"/>
      <c r="E996" s="64"/>
      <c r="F996" s="64"/>
      <c r="G996" s="64"/>
      <c r="H996" s="505"/>
      <c r="I996" s="505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customFormat="false" ht="15.75" hidden="false" customHeight="true" outlineLevel="0" collapsed="false">
      <c r="A997" s="550"/>
      <c r="B997" s="550"/>
      <c r="C997" s="551"/>
      <c r="D997" s="64"/>
      <c r="E997" s="64"/>
      <c r="F997" s="64"/>
      <c r="G997" s="64"/>
      <c r="H997" s="505"/>
      <c r="I997" s="505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customFormat="false" ht="15.75" hidden="false" customHeight="true" outlineLevel="0" collapsed="false">
      <c r="A998" s="550"/>
      <c r="B998" s="550"/>
      <c r="C998" s="551"/>
      <c r="D998" s="64"/>
      <c r="E998" s="64"/>
      <c r="F998" s="64"/>
      <c r="G998" s="64"/>
      <c r="H998" s="505"/>
      <c r="I998" s="505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customFormat="false" ht="15.75" hidden="false" customHeight="true" outlineLevel="0" collapsed="false">
      <c r="A999" s="550"/>
      <c r="B999" s="550"/>
      <c r="C999" s="551"/>
      <c r="D999" s="64"/>
      <c r="E999" s="64"/>
      <c r="F999" s="64"/>
      <c r="G999" s="64"/>
      <c r="H999" s="505"/>
      <c r="I999" s="505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customFormat="false" ht="15.75" hidden="false" customHeight="true" outlineLevel="0" collapsed="false">
      <c r="A1000" s="550"/>
      <c r="B1000" s="550"/>
      <c r="C1000" s="551"/>
      <c r="D1000" s="64"/>
      <c r="E1000" s="64"/>
      <c r="F1000" s="64"/>
      <c r="G1000" s="64"/>
      <c r="H1000" s="505"/>
      <c r="I1000" s="505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  <row r="1001" customFormat="false" ht="15.75" hidden="false" customHeight="true" outlineLevel="0" collapsed="false">
      <c r="A1001" s="550"/>
      <c r="B1001" s="550"/>
      <c r="C1001" s="551"/>
      <c r="D1001" s="64"/>
      <c r="E1001" s="64"/>
      <c r="F1001" s="64"/>
      <c r="G1001" s="64"/>
      <c r="H1001" s="505"/>
      <c r="I1001" s="505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</row>
    <row r="1002" customFormat="false" ht="15.75" hidden="false" customHeight="true" outlineLevel="0" collapsed="false">
      <c r="A1002" s="550"/>
      <c r="B1002" s="550"/>
      <c r="C1002" s="551"/>
      <c r="D1002" s="64"/>
      <c r="E1002" s="64"/>
      <c r="F1002" s="64"/>
      <c r="G1002" s="64"/>
      <c r="H1002" s="505"/>
      <c r="I1002" s="505"/>
      <c r="J1002" s="64"/>
      <c r="K1002" s="64"/>
      <c r="L1002" s="64"/>
      <c r="M1002" s="64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64"/>
      <c r="Z1002" s="64"/>
    </row>
    <row r="1003" customFormat="false" ht="15.75" hidden="false" customHeight="true" outlineLevel="0" collapsed="false">
      <c r="A1003" s="550"/>
      <c r="B1003" s="550"/>
      <c r="C1003" s="551"/>
      <c r="D1003" s="64"/>
      <c r="E1003" s="64"/>
      <c r="F1003" s="64"/>
      <c r="G1003" s="64"/>
      <c r="H1003" s="505"/>
      <c r="I1003" s="505"/>
      <c r="J1003" s="64"/>
      <c r="K1003" s="64"/>
      <c r="L1003" s="64"/>
      <c r="M1003" s="64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64"/>
      <c r="Z1003" s="64"/>
    </row>
    <row r="1004" customFormat="false" ht="15.75" hidden="false" customHeight="true" outlineLevel="0" collapsed="false">
      <c r="A1004" s="550"/>
      <c r="B1004" s="550"/>
      <c r="C1004" s="551"/>
      <c r="D1004" s="64"/>
      <c r="E1004" s="64"/>
      <c r="F1004" s="64"/>
      <c r="G1004" s="64"/>
      <c r="H1004" s="505"/>
      <c r="I1004" s="505"/>
      <c r="J1004" s="64"/>
      <c r="K1004" s="64"/>
      <c r="L1004" s="64"/>
      <c r="M1004" s="64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64"/>
      <c r="Z1004" s="64"/>
    </row>
    <row r="1005" customFormat="false" ht="15.75" hidden="false" customHeight="true" outlineLevel="0" collapsed="false">
      <c r="A1005" s="550"/>
      <c r="B1005" s="550"/>
      <c r="C1005" s="551"/>
      <c r="D1005" s="64"/>
      <c r="E1005" s="64"/>
      <c r="F1005" s="64"/>
      <c r="G1005" s="64"/>
      <c r="H1005" s="505"/>
      <c r="I1005" s="505"/>
      <c r="J1005" s="64"/>
      <c r="K1005" s="64"/>
      <c r="L1005" s="64"/>
      <c r="M1005" s="64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64"/>
      <c r="Z1005" s="64"/>
    </row>
    <row r="1006" customFormat="false" ht="15.75" hidden="false" customHeight="true" outlineLevel="0" collapsed="false">
      <c r="A1006" s="550"/>
      <c r="B1006" s="550"/>
      <c r="C1006" s="551"/>
      <c r="D1006" s="64"/>
      <c r="E1006" s="64"/>
      <c r="F1006" s="64"/>
      <c r="G1006" s="64"/>
      <c r="H1006" s="505"/>
      <c r="I1006" s="505"/>
      <c r="J1006" s="64"/>
      <c r="K1006" s="64"/>
      <c r="L1006" s="64"/>
      <c r="M1006" s="64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64"/>
      <c r="Z1006" s="64"/>
    </row>
    <row r="1007" customFormat="false" ht="15.75" hidden="false" customHeight="true" outlineLevel="0" collapsed="false">
      <c r="A1007" s="550"/>
      <c r="B1007" s="550"/>
      <c r="C1007" s="551"/>
      <c r="D1007" s="64"/>
      <c r="E1007" s="64"/>
      <c r="F1007" s="64"/>
      <c r="G1007" s="64"/>
      <c r="H1007" s="505"/>
      <c r="I1007" s="505"/>
      <c r="J1007" s="64"/>
      <c r="K1007" s="64"/>
      <c r="L1007" s="64"/>
      <c r="M1007" s="64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64"/>
      <c r="Z1007" s="64"/>
    </row>
  </sheetData>
  <mergeCells count="44">
    <mergeCell ref="A1:A2"/>
    <mergeCell ref="B3:C3"/>
    <mergeCell ref="B4:C4"/>
    <mergeCell ref="B5:C5"/>
    <mergeCell ref="B6:C6"/>
    <mergeCell ref="B7:C7"/>
    <mergeCell ref="B8:C8"/>
    <mergeCell ref="A9:C9"/>
    <mergeCell ref="A13:C13"/>
    <mergeCell ref="A16:C16"/>
    <mergeCell ref="A26:C26"/>
    <mergeCell ref="A30:C30"/>
    <mergeCell ref="B31:C31"/>
    <mergeCell ref="B32:C32"/>
    <mergeCell ref="B33:C33"/>
    <mergeCell ref="B34:C34"/>
    <mergeCell ref="A35:A36"/>
    <mergeCell ref="B35:C35"/>
    <mergeCell ref="B36:C36"/>
    <mergeCell ref="A37:A38"/>
    <mergeCell ref="B37:C37"/>
    <mergeCell ref="B38:C38"/>
    <mergeCell ref="A39:C39"/>
    <mergeCell ref="B42:C42"/>
    <mergeCell ref="B44:C44"/>
    <mergeCell ref="B45:C45"/>
    <mergeCell ref="B46:C46"/>
    <mergeCell ref="B47:C47"/>
    <mergeCell ref="A48:A49"/>
    <mergeCell ref="B48:C48"/>
    <mergeCell ref="B49:C49"/>
    <mergeCell ref="A50:A51"/>
    <mergeCell ref="B50:C50"/>
    <mergeCell ref="B51:C51"/>
    <mergeCell ref="A52:C52"/>
    <mergeCell ref="A53:A54"/>
    <mergeCell ref="B53:C53"/>
    <mergeCell ref="B54:C54"/>
    <mergeCell ref="B55:C55"/>
    <mergeCell ref="B56:C56"/>
    <mergeCell ref="A57:A58"/>
    <mergeCell ref="B59:C59"/>
    <mergeCell ref="B60:C60"/>
    <mergeCell ref="B61:C61"/>
  </mergeCells>
  <conditionalFormatting sqref="B20 B22 B24 B28">
    <cfRule type="containsText" priority="2" operator="containsText" aboveAverage="0" equalAverage="0" bottom="0" percent="0" rank="0" text="Выберите цвет плёнки наружней отделки" dxfId="1">
      <formula>NOT(ISERROR(SEARCH("Выберите цвет плёнки наружней отделки",B20)))</formula>
    </cfRule>
  </conditionalFormatting>
  <conditionalFormatting sqref="B20 B22 B24 B28">
    <cfRule type="containsText" priority="3" operator="containsText" aboveAverage="0" equalAverage="0" bottom="0" percent="0" rank="0" text="Отделка металлом - ПВХ не используется" dxfId="2">
      <formula>NOT(ISERROR(SEARCH("Отделка металлом - ПВХ не используется",B20)))</formula>
    </cfRule>
  </conditionalFormatting>
  <conditionalFormatting sqref="B22 B24 B28">
    <cfRule type="containsText" priority="4" operator="containsText" aboveAverage="0" equalAverage="0" bottom="0" percent="0" rank="0" text="Выберите цвет дополнительного элемента" dxfId="1">
      <formula>NOT(ISERROR(SEARCH("Выберите цвет дополнительного элемента",B22)))</formula>
    </cfRule>
  </conditionalFormatting>
  <conditionalFormatting sqref="C20 B22 B24 B28 B24 B28">
    <cfRule type="containsText" priority="5" operator="containsText" aboveAverage="0" equalAverage="0" bottom="0" percent="0" rank="0" text="Выберите цвет" dxfId="1">
      <formula>NOT(ISERROR(SEARCH("Выберите цвет",B20)))</formula>
    </cfRule>
  </conditionalFormatting>
  <conditionalFormatting sqref="C28">
    <cfRule type="containsText" priority="6" operator="containsText" aboveAverage="0" equalAverage="0" bottom="0" percent="0" rank="0" text="Выберите " dxfId="1">
      <formula>NOT(ISERROR(SEARCH("Выберите ",C28)))</formula>
    </cfRule>
  </conditionalFormatting>
  <conditionalFormatting sqref="B35:C35">
    <cfRule type="containsText" priority="7" operator="containsText" aboveAverage="0" equalAverage="0" bottom="0" percent="0" rank="0" text="Пожалуйста" dxfId="3">
      <formula>NOT(ISERROR(SEARCH("Пожалуйста",B35)))</formula>
    </cfRule>
  </conditionalFormatting>
  <conditionalFormatting sqref="B37:C37">
    <cfRule type="containsText" priority="8" operator="containsText" aboveAverage="0" equalAverage="0" bottom="0" percent="0" rank="0" text="Пожалуйста" dxfId="4">
      <formula>NOT(ISERROR(SEARCH("Пожалуйста",B37)))</formula>
    </cfRule>
  </conditionalFormatting>
  <conditionalFormatting sqref="B28 B31:C31">
    <cfRule type="containsText" priority="9" operator="containsText" aboveAverage="0" equalAverage="0" bottom="0" percent="0" rank="0" text="Пожалуйста" dxfId="1">
      <formula>NOT(ISERROR(SEARCH("Пожалуйста",B28)))</formula>
    </cfRule>
  </conditionalFormatting>
  <conditionalFormatting sqref="B35:C35">
    <cfRule type="containsText" priority="10" operator="containsText" aboveAverage="0" equalAverage="0" bottom="0" percent="0" rank="0" text="Электрон" dxfId="2">
      <formula>NOT(ISERROR(SEARCH("Электрон",B35)))</formula>
    </cfRule>
  </conditionalFormatting>
  <conditionalFormatting sqref="B44:C44">
    <cfRule type="containsText" priority="11" operator="containsText" aboveAverage="0" equalAverage="0" bottom="0" percent="0" rank="0" text="Электрон" dxfId="5">
      <formula>NOT(ISERROR(SEARCH("Электрон",B44)))</formula>
    </cfRule>
  </conditionalFormatting>
  <conditionalFormatting sqref="B42:C43">
    <cfRule type="containsText" priority="12" operator="containsText" aboveAverage="0" equalAverage="0" bottom="0" percent="0" rank="0" text="Электр" dxfId="6">
      <formula>NOT(ISERROR(SEARCH("Электр",B42)))</formula>
    </cfRule>
  </conditionalFormatting>
  <conditionalFormatting sqref="B46:C46">
    <cfRule type="containsText" priority="13" operator="containsText" aboveAverage="0" equalAverage="0" bottom="0" percent="0" rank="0" text="Электр" dxfId="5">
      <formula>NOT(ISERROR(SEARCH("Электр",B46)))</formula>
    </cfRule>
  </conditionalFormatting>
  <conditionalFormatting sqref="B48:C48">
    <cfRule type="containsText" priority="14" operator="containsText" aboveAverage="0" equalAverage="0" bottom="0" percent="0" rank="0" text="Корпус" dxfId="5">
      <formula>NOT(ISERROR(SEARCH("Корпус",B48)))</formula>
    </cfRule>
  </conditionalFormatting>
  <dataValidations count="23">
    <dataValidation allowBlank="true" errorStyle="stop" operator="between" showDropDown="false" showErrorMessage="true" showInputMessage="false" sqref="B10" type="list">
      <formula1>'Не удалять'!$B$3:$AZ$3</formula1>
      <formula2>0</formula2>
    </dataValidation>
    <dataValidation allowBlank="true" errorStyle="stop" operator="between" showDropDown="false" showErrorMessage="true" showInputMessage="false" sqref="B43" type="list">
      <formula1>Квартирная!$K$43:$N$43</formula1>
      <formula2>0</formula2>
    </dataValidation>
    <dataValidation allowBlank="true" errorStyle="stop" operator="between" showDropDown="false" showErrorMessage="true" showInputMessage="false" sqref="B32" type="list">
      <formula1>'Замки '!$C$3:$M$3</formula1>
      <formula2>0</formula2>
    </dataValidation>
    <dataValidation allowBlank="true" errorStyle="stop" operator="between" showDropDown="false" showErrorMessage="true" showInputMessage="false" sqref="B15" type="list">
      <formula1>"Открытый [Без утепления],Закрытый [Утеплённый]"</formula1>
      <formula2>0</formula2>
    </dataValidation>
    <dataValidation allowBlank="true" errorStyle="stop" operator="between" showDropDown="false" showErrorMessage="true" showInputMessage="false" sqref="B25" type="list">
      <formula1>"Как основной,Нет,Лиственница белая,Астана Эш Уайт,Ривьера айс,Английский дуб фог,Лиственница капучино,Канадский дуб арктик горизонтальный,Канадский дуб пацифик горизонтальный,Статус коньяк,Дуб морёный,Орех каньон коньяк,Дуб мадейра песок,Дуб мадейра янтар"&amp;"ь,Дуб честерфилд лайт-грей,Дуб седан белый,Дуб Седан сиеста,Шпон дуб коньяк,Шпон дуб натуральный,Дуб бодега коричневый,Дуб бодега натуральный,Дуб бодега золотой,Бетон снежный,Бетон светлый,Бетон тёмный,Белый матовый,Верона графит,Зелёный камень,Красная Бу"&amp;"ргундия,Лофт белый,Морская волна,Олива,Санд айс,Санд лайт грей,Санд cмоук,Санд грей,Санд миди грей,Санд дарк грей,Санд антрацит,Секвойя милк,Секвойя какао,Секвойя латте,Секвойя графит,Синий,Чёрный матовый,Грей"</formula1>
      <formula2>0</formula2>
    </dataValidation>
    <dataValidation allowBlank="true" errorStyle="stop" operator="between" showDropDown="false" showErrorMessage="true" showInputMessage="false" sqref="B11" type="list">
      <formula1>'Не удалять'!$D$5:$AC$5</formula1>
      <formula2>0</formula2>
    </dataValidation>
    <dataValidation allowBlank="true" errorStyle="stop" operator="between" showDropDown="false" showErrorMessage="true" showInputMessage="false" sqref="B14" type="list">
      <formula1>Конструктивы!$B$2:$C$2</formula1>
      <formula2>0</formula2>
    </dataValidation>
    <dataValidation allowBlank="true" errorStyle="stop" operator="between" showDropDown="false" showErrorMessage="true" showInputMessage="false" sqref="C29" type="list">
      <formula1>"Нет,Антик Медь,Антик серебро,Букле серый,Букле чёрный,Букле капучино,Муар 1019,Муар чёрный 9005,Муар 7021,Муар 7024,Муар 9003,Муар 6028,Бронза 74П-566,Синий 74П-220,Золото на белом,Серебро на белом,Шагрень 9003,Муар металлик бронзовый,Муар металлик 8019,М"&amp;"уар металлик синий,Муар металлик чёрный,Муар металлик серый"</formula1>
      <formula2>0</formula2>
    </dataValidation>
    <dataValidation allowBlank="true" errorStyle="stop" operator="between" showDropDown="false" showErrorMessage="true" showInputMessage="false" sqref="B19" type="list">
      <formula1>"Kombi,Verso,Forta,Stark,BC-6,BC-45,BC-22,BC-24,BC-13,BC-41,BC-46,BC-47,BC-32,BC-48,BC-42,BC-49,BC-50,BC-43,BC-51,НФ-6,BC-52,BC-34,BC-30,BC-44,BC-19,BC-38,ВС-17"</formula1>
      <formula2>0</formula2>
    </dataValidation>
    <dataValidation allowBlank="true" errorStyle="stop" operator="between" showDropDown="false" showErrorMessage="true" showInputMessage="false" sqref="B29" type="list">
      <formula1>"Антик медь,Антик серебро,Букле серый,Букле чёрный,Букле опал,Муар 1019,Муар чёрный 9005,Муар 7021,Муар 7024,Муар 9003,Муар 6028,Бронза 74П-566,Синий 74П-220,Золото на белом,Серебро на белом,Шагрень 9003,Муар металлик бронзовый,Муар металлик 8019,Муар мета"&amp;"ллик синий,Муар металлик чёрный,Муар металлик серый"</formula1>
      <formula2>0</formula2>
    </dataValidation>
    <dataValidation allowBlank="true" errorStyle="stop" operator="between" showDropDown="false" showErrorMessage="true" showInputMessage="false" sqref="B36" type="list">
      <formula1>Цилиндр!$B$10:$D$10</formula1>
      <formula2>0</formula2>
    </dataValidation>
    <dataValidation allowBlank="true" errorStyle="stop" operator="between" showDropDown="false" showErrorMessage="true" showInputMessage="false" sqref="A29" type="list">
      <formula1>"Цинкогрунтование,Нет"</formula1>
      <formula2>0</formula2>
    </dataValidation>
    <dataValidation allowBlank="true" errorStyle="stop" operator="between" showDropDown="false" showErrorMessage="true" showInputMessage="false" sqref="B34" type="list">
      <formula1>'Замки '!$A$9:$H$9</formula1>
      <formula2>0</formula2>
    </dataValidation>
    <dataValidation allowBlank="true" errorStyle="stop" operator="between" showDropDown="false" showErrorMessage="true" showInputMessage="false" sqref="B54" type="list">
      <formula1>"Порог шлифованный. Цвет: Хром,Нет"</formula1>
      <formula2>0</formula2>
    </dataValidation>
    <dataValidation allowBlank="true" errorStyle="stop" operator="between" showDropDown="false" showErrorMessage="true" showInputMessage="false" sqref="B21:C21 B23" type="list">
      <formula1>"Нет,Лиственница белая,Астана Эш Уайт,Ривьера айс,Английский дуб фог,Лиственница капучино,Канадский дуб арктик горизонтальный,Канадский дуб пацифик горизонтальный,Статус коньяк,Дуб морёный,Орех каньон коньяк,Дуб мадейра песок,Дуб мадейра янтарь,Дуб честерф"&amp;"илд лайт-грей,Дуб седан белый,Дуб Седан сиеста,Шпон дуб коньяк,Шпон дуб натуральный,Дуб бодега коричневый,Дуб бодега натуральный,Дуб бодега золотой,Бетон снежный,Бетон светлый,Бетон тёмный,Белый матовый,Верона графит,Зелёный камень,Красная Бургундия,Лофт "&amp;"белый,Морская волна,Олива,Санд айс,Санд лайт грей,Санд cмоук,Санд грей,Санд миди грей,Санд дарк грей,Санд антрацит,Секвойя милк,Секвойя какао,Секвойя латте,Секвойя графит,Синий,Чёрный матовый,Грей"</formula1>
      <formula2>0</formula2>
    </dataValidation>
    <dataValidation allowBlank="true" errorStyle="stop" operator="between" showDropDown="false" showErrorMessage="true" showInputMessage="false" sqref="B41" type="list">
      <formula1>Фурнитура!$A$31:$A$34</formula1>
      <formula2>0</formula2>
    </dataValidation>
    <dataValidation allowBlank="true" errorStyle="stop" operator="between" showDropDown="false" showErrorMessage="true" showInputMessage="false" sqref="C19" type="list">
      <formula1>'Внутренняя отделка'!$C$42:$C$70</formula1>
      <formula2>0</formula2>
    </dataValidation>
    <dataValidation allowBlank="true" errorStyle="stop" operator="between" showDropDown="false" showErrorMessage="true" showInputMessage="false" sqref="B49" type="list">
      <formula1>Квартирная!$H$49:$I$49</formula1>
      <formula2>0</formula2>
    </dataValidation>
    <dataValidation allowBlank="true" errorStyle="stop" operator="between" showDropDown="false" showErrorMessage="true" showInputMessage="false" sqref="C41" type="list">
      <formula1>"Овальное,Квадратное"</formula1>
      <formula2>0</formula2>
    </dataValidation>
    <dataValidation allowBlank="true" errorStyle="stop" operator="between" showDropDown="false" showErrorMessage="true" showInputMessage="false" sqref="B12" type="list">
      <formula1>"Правое,Левое"</formula1>
      <formula2>0</formula2>
    </dataValidation>
    <dataValidation allowBlank="true" errorStyle="stop" operator="between" showDropDown="false" showErrorMessage="true" showInputMessage="false" sqref="B38" type="list">
      <formula1>Цилиндр!$B$11:$D$11</formula1>
      <formula2>0</formula2>
    </dataValidation>
    <dataValidation allowBlank="true" errorStyle="stop" operator="between" showDropDown="false" showErrorMessage="true" showInputMessage="false" sqref="C43" type="list">
      <formula1>Квартирная!$H$43:$J$43</formula1>
      <formula2>0</formula2>
    </dataValidation>
    <dataValidation allowBlank="true" errorStyle="stop" operator="between" showDropDown="false" showErrorMessage="true" showInputMessage="false" sqref="B51" type="list">
      <formula1>"Да,Нет"</formula1>
      <formula2>0</formula2>
    </dataValidation>
  </dataValidations>
  <printOptions headings="false" gridLines="false" gridLinesSet="true" horizontalCentered="false" verticalCentered="false"/>
  <pageMargins left="0.25" right="0.25" top="0.196527777777778" bottom="0.196527777777778" header="0.511811023622047" footer="0.511811023622047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336699"/>
    <pageSetUpPr fitToPage="true"/>
  </sheetPr>
  <dimension ref="A1:M9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B4" activeCellId="0" sqref="B4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57.3"/>
    <col collapsed="false" customWidth="true" hidden="false" outlineLevel="0" max="3" min="2" style="0" width="47.29"/>
    <col collapsed="false" customWidth="true" hidden="true" outlineLevel="0" max="4" min="4" style="0" width="32.86"/>
    <col collapsed="false" customWidth="true" hidden="true" outlineLevel="0" max="7" min="5" style="0" width="8.71"/>
    <col collapsed="false" customWidth="true" hidden="true" outlineLevel="0" max="8" min="8" style="0" width="32.71"/>
    <col collapsed="false" customWidth="true" hidden="true" outlineLevel="0" max="9" min="9" style="0" width="23.15"/>
    <col collapsed="false" customWidth="true" hidden="true" outlineLevel="0" max="10" min="10" style="0" width="15.29"/>
    <col collapsed="false" customWidth="true" hidden="true" outlineLevel="0" max="11" min="11" style="0" width="21.57"/>
    <col collapsed="false" customWidth="true" hidden="true" outlineLevel="0" max="13" min="12" style="0" width="8.71"/>
  </cols>
  <sheetData>
    <row r="1" customFormat="false" ht="15" hidden="false" customHeight="false" outlineLevel="0" collapsed="false">
      <c r="A1" s="502" t="s">
        <v>423</v>
      </c>
      <c r="B1" s="503" t="s">
        <v>19</v>
      </c>
      <c r="C1" s="504"/>
      <c r="D1" s="64"/>
      <c r="E1" s="64"/>
      <c r="F1" s="64"/>
      <c r="G1" s="64"/>
      <c r="H1" s="64"/>
      <c r="I1" s="64"/>
      <c r="J1" s="64"/>
      <c r="K1" s="64"/>
      <c r="L1" s="64" t="s">
        <v>492</v>
      </c>
      <c r="M1" s="64"/>
    </row>
    <row r="2" customFormat="false" ht="18.75" hidden="false" customHeight="true" outlineLevel="0" collapsed="false">
      <c r="A2" s="502"/>
      <c r="B2" s="506" t="n">
        <f aca="false">100 * ROUNDUP(D2 / 100, 0)</f>
        <v>64900</v>
      </c>
      <c r="C2" s="504"/>
      <c r="D2" s="132" t="n">
        <f aca="false">Дилер!B14</f>
        <v>64900</v>
      </c>
      <c r="E2" s="64"/>
      <c r="F2" s="64"/>
      <c r="G2" s="64"/>
      <c r="H2" s="64"/>
      <c r="I2" s="64"/>
      <c r="J2" s="64"/>
      <c r="K2" s="64"/>
      <c r="L2" s="64"/>
      <c r="M2" s="64"/>
    </row>
    <row r="3" customFormat="false" ht="15" hidden="false" customHeight="false" outlineLevel="0" collapsed="false">
      <c r="A3" s="507" t="s">
        <v>424</v>
      </c>
      <c r="B3" s="508" t="n">
        <f aca="true">TODAY()</f>
        <v>45990</v>
      </c>
      <c r="C3" s="508"/>
      <c r="D3" s="64"/>
      <c r="E3" s="64"/>
      <c r="F3" s="64"/>
      <c r="G3" s="64"/>
      <c r="H3" s="64"/>
      <c r="I3" s="64"/>
      <c r="J3" s="64"/>
      <c r="K3" s="64"/>
      <c r="L3" s="64"/>
      <c r="M3" s="64"/>
    </row>
    <row r="4" customFormat="false" ht="15" hidden="false" customHeight="false" outlineLevel="0" collapsed="false">
      <c r="A4" s="509" t="s">
        <v>425</v>
      </c>
      <c r="B4" s="507"/>
      <c r="C4" s="507"/>
      <c r="D4" s="64"/>
      <c r="E4" s="64"/>
      <c r="F4" s="64"/>
      <c r="G4" s="64"/>
      <c r="H4" s="64"/>
      <c r="I4" s="64"/>
      <c r="J4" s="64"/>
      <c r="K4" s="64"/>
      <c r="L4" s="64"/>
      <c r="M4" s="64"/>
    </row>
    <row r="5" customFormat="false" ht="15" hidden="false" customHeight="false" outlineLevel="0" collapsed="false">
      <c r="A5" s="507" t="s">
        <v>426</v>
      </c>
      <c r="B5" s="507"/>
      <c r="C5" s="507"/>
      <c r="D5" s="64"/>
      <c r="E5" s="64"/>
      <c r="F5" s="64"/>
      <c r="G5" s="64"/>
      <c r="H5" s="64"/>
      <c r="I5" s="64"/>
      <c r="J5" s="64"/>
      <c r="K5" s="64"/>
      <c r="L5" s="64"/>
      <c r="M5" s="64"/>
    </row>
    <row r="6" customFormat="false" ht="15" hidden="false" customHeight="false" outlineLevel="0" collapsed="false">
      <c r="A6" s="509" t="s">
        <v>427</v>
      </c>
      <c r="B6" s="507"/>
      <c r="C6" s="507"/>
      <c r="D6" s="64"/>
      <c r="E6" s="64"/>
      <c r="F6" s="64"/>
      <c r="G6" s="64"/>
      <c r="H6" s="64"/>
      <c r="I6" s="64"/>
      <c r="J6" s="64"/>
      <c r="K6" s="64"/>
      <c r="L6" s="64"/>
      <c r="M6" s="64"/>
    </row>
    <row r="7" customFormat="false" ht="15" hidden="false" customHeight="false" outlineLevel="0" collapsed="false">
      <c r="A7" s="507" t="s">
        <v>428</v>
      </c>
      <c r="B7" s="507"/>
      <c r="C7" s="507"/>
      <c r="D7" s="64"/>
      <c r="E7" s="64"/>
      <c r="F7" s="64"/>
      <c r="G7" s="64"/>
      <c r="H7" s="64"/>
      <c r="I7" s="64"/>
      <c r="J7" s="64"/>
      <c r="K7" s="64"/>
      <c r="L7" s="64"/>
      <c r="M7" s="64"/>
    </row>
    <row r="8" customFormat="false" ht="15" hidden="false" customHeight="false" outlineLevel="0" collapsed="false">
      <c r="A8" s="509" t="s">
        <v>429</v>
      </c>
      <c r="B8" s="507"/>
      <c r="C8" s="507"/>
      <c r="D8" s="64"/>
      <c r="E8" s="64"/>
      <c r="F8" s="64"/>
      <c r="G8" s="64"/>
      <c r="H8" s="64"/>
      <c r="I8" s="64"/>
      <c r="J8" s="64"/>
      <c r="K8" s="64"/>
      <c r="L8" s="64"/>
      <c r="M8" s="64"/>
    </row>
    <row r="9" customFormat="false" ht="19.5" hidden="false" customHeight="true" outlineLevel="0" collapsed="false">
      <c r="A9" s="507" t="s">
        <v>430</v>
      </c>
      <c r="B9" s="507"/>
      <c r="C9" s="507"/>
      <c r="D9" s="64"/>
      <c r="E9" s="64"/>
      <c r="F9" s="64"/>
      <c r="G9" s="64"/>
      <c r="H9" s="64"/>
      <c r="I9" s="64"/>
      <c r="J9" s="64"/>
      <c r="K9" s="64"/>
      <c r="L9" s="64"/>
      <c r="M9" s="64"/>
    </row>
    <row r="10" customFormat="false" ht="15" hidden="false" customHeight="false" outlineLevel="0" collapsed="false">
      <c r="A10" s="509" t="s">
        <v>431</v>
      </c>
      <c r="B10" s="511" t="n">
        <v>2100</v>
      </c>
      <c r="C10" s="512"/>
      <c r="D10" s="513" t="s">
        <v>432</v>
      </c>
      <c r="E10" s="64"/>
      <c r="F10" s="64"/>
      <c r="G10" s="64"/>
      <c r="H10" s="64"/>
      <c r="I10" s="64"/>
      <c r="J10" s="64"/>
      <c r="K10" s="64"/>
      <c r="L10" s="64"/>
      <c r="M10" s="64"/>
    </row>
    <row r="11" customFormat="false" ht="15" hidden="false" customHeight="false" outlineLevel="0" collapsed="false">
      <c r="A11" s="507" t="s">
        <v>433</v>
      </c>
      <c r="B11" s="514" t="n">
        <v>1030</v>
      </c>
      <c r="C11" s="515"/>
      <c r="D11" s="516" t="s">
        <v>434</v>
      </c>
      <c r="E11" s="64"/>
      <c r="F11" s="64"/>
      <c r="G11" s="64"/>
      <c r="H11" s="64"/>
      <c r="I11" s="64"/>
      <c r="J11" s="64"/>
      <c r="K11" s="64"/>
      <c r="L11" s="64"/>
      <c r="M11" s="64"/>
    </row>
    <row r="12" customFormat="false" ht="15" hidden="false" customHeight="false" outlineLevel="0" collapsed="false">
      <c r="A12" s="511" t="s">
        <v>435</v>
      </c>
      <c r="B12" s="517" t="s">
        <v>436</v>
      </c>
      <c r="C12" s="512"/>
      <c r="D12" s="518" t="s">
        <v>437</v>
      </c>
      <c r="E12" s="64"/>
      <c r="F12" s="64"/>
      <c r="G12" s="64"/>
      <c r="H12" s="64"/>
      <c r="I12" s="64"/>
      <c r="J12" s="64"/>
      <c r="K12" s="64"/>
      <c r="L12" s="64"/>
      <c r="M12" s="64"/>
    </row>
    <row r="13" customFormat="false" ht="19.7" hidden="false" customHeight="false" outlineLevel="0" collapsed="false">
      <c r="A13" s="522" t="s">
        <v>443</v>
      </c>
      <c r="B13" s="522"/>
      <c r="C13" s="522"/>
      <c r="D13" s="64"/>
      <c r="E13" s="64"/>
      <c r="F13" s="64"/>
      <c r="G13" s="64"/>
      <c r="H13" s="64"/>
      <c r="I13" s="64"/>
      <c r="J13" s="64"/>
      <c r="K13" s="64"/>
      <c r="L13" s="64"/>
      <c r="M13" s="64"/>
    </row>
    <row r="14" customFormat="false" ht="20.85" hidden="false" customHeight="false" outlineLevel="0" collapsed="false">
      <c r="A14" s="523"/>
      <c r="B14" s="552" t="s">
        <v>444</v>
      </c>
      <c r="C14" s="553" t="s">
        <v>445</v>
      </c>
      <c r="D14" s="64"/>
      <c r="E14" s="64"/>
      <c r="F14" s="64"/>
      <c r="G14" s="64"/>
      <c r="H14" s="64"/>
      <c r="I14" s="64"/>
      <c r="J14" s="64"/>
      <c r="K14" s="64"/>
      <c r="L14" s="64"/>
      <c r="M14" s="64"/>
    </row>
    <row r="15" customFormat="false" ht="289.5" hidden="false" customHeight="true" outlineLevel="0" collapsed="false">
      <c r="A15" s="514" t="n">
        <f aca="false">IF(OR(B16="Optima",B16="Credo",B16="Credo SP",B16="Imperato",B16="Nova",B16="Senator SP",B16="Senator Max SP"),Конструктивы!B11,Конструктивы!C11)</f>
        <v>0</v>
      </c>
      <c r="B15" s="507" t="e">
        <f aca="false">ifs(B16='Наружная отделка'!B16,'Наружная отделка'!B15,B16='Наружная отделка'!C16,'Наружная отделка'!C15,B16='Наружная отделка'!D16,'Наружная отделка'!D15,B16='Наружная отделка'!E16,'Наружная отделка'!E15,B16='Наружная отделка'!F16,'Наружная отделка'!F15,B16='Наружная отделка'!G16,'Наружная отделка'!G15,B16='Наружная отделка'!H16,'Наружная отделка'!H15,B16='Наружная отделка'!B20,'Наружная отделка'!B19,B16='Наружная отделка'!C20,'Наружная отделка'!C19,B16='Наружная отделка'!D20,'Наружная отделка'!D19,B16='Наружная отделка'!E20,'Наружная отделка'!E19,B16='Наружная отделка'!F20,'Наружная отделка'!F19,B16='Наружная отделка'!G20,'Наружная отделка'!G19,B16='Наружная отделка'!H20,'Наружная отделка'!H19,B16='Наружная отделка'!I20,'Наружная отделка'!I19,B16='Наружная отделка'!J20,'Наружная отделка'!J19,B16='Наружная отделка'!B29,'Наружная отделка'!B28,B16='Наружная отделка'!C29,'Наружная отделка'!C28,B16='Наружная отделка'!D29,'Наружная отделка'!D28,B16='Наружная отделка'!E29,'Наружная отделка'!E28,B16='Наружная отделка'!F29,'Наружная отделка'!F28,B16='Наружная отделка'!G29,'Наружная отделка'!G28,B16='Наружная отделка'!H29,'Наружная отделка'!H28)</f>
        <v>#NAME?</v>
      </c>
      <c r="C15" s="521" t="e">
        <f aca="false">IF(AND(OR(B16='Наружная отделка'!B20,B16='Наружная отделка'!C20,B16='Наружная отделка'!B29,B16='Наружная отделка'!C29,B16='Наружная отделка'!B29,B16='Наружная отделка'!C29),NOT(C16='Внутренняя отделка'!B18)),"Пожалуйста, выберите Ф-63 Darkwood SP",
IF(AND(B16='Наружная отделка'!D16,NOT(C16='Внутренняя отделка'!F18)),"Пожалуйста, выберите Ф-85 Credo SP",
IF(AND(B16='Наружная отделка'!E16,NOT(C16='Внутренняя отделка'!E18)),"Пожалуйста, выберите Ф-84 Senator SP",
IF(AND(B16='Наружная отделка'!F16,NOT(C16='Внутренняя отделка'!D18)),"Пожалуйста, выберите Ф-96 Senator Max SP",
IF(AND(OR(B16='Наружная отделка'!F20,B16='Наружная отделка'!F29,B16='Наружная отделка'!G29,B16='Наружная отделка'!H29),NOT(C16='Внутренняя отделка'!C18)),"Пожалуйста, выберите Ф-81 Drevos SP",H15)))))</f>
        <v>#NAME?</v>
      </c>
      <c r="D15" s="64"/>
      <c r="E15" s="64"/>
      <c r="F15" s="64"/>
      <c r="G15" s="64"/>
      <c r="H15" s="554" t="e">
        <f aca="false">ifs(C16='Внутренняя отделка'!B3,'Внутренняя отделка'!B2,C16='Внутренняя отделка'!C3,'Внутренняя отделка'!C2,C16='Внутренняя отделка'!D3,'Внутренняя отделка'!D2,C16='Внутренняя отделка'!E3,'Внутренняя отделка'!E2,C16='Внутренняя отделка'!F3,'Внутренняя отделка'!F2,C16='Внутренняя отделка'!G3,'Внутренняя отделка'!G2,C16='Внутренняя отделка'!H3,'Внутренняя отделка'!H2,C16='Внутренняя отделка'!I3,'Внутренняя отделка'!I2,C16='Внутренняя отделка'!J3,'Внутренняя отделка'!J2,C16='Внутренняя отделка'!K3,'Внутренняя отделка'!K2,C16='Внутренняя отделка'!L3,'Внутренняя отделка'!L2,C16='Внутренняя отделка'!M3,'Внутренняя отделка'!M2,C16='Внутренняя отделка'!N3,'Внутренняя отделка'!N2,C16='Внутренняя отделка'!B8,'Внутренняя отделка'!B7,C16='Внутренняя отделка'!C8,'Внутренняя отделка'!C7,C16='Внутренняя отделка'!D8,'Внутренняя отделка'!D7,C16='Внутренняя отделка'!E8,'Внутренняя отделка'!E7,C16='Внутренняя отделка'!F8,'Внутренняя отделка'!F7,C16='Внутренняя отделка'!G8,'Внутренняя отделка'!G7,C16='Внутренняя отделка'!H8,'Внутренняя отделка'!H7,C16='Внутренняя отделка'!I8,'Внутренняя отделка'!I7,C16='Внутренняя отделка'!J8,'Внутренняя отделка'!J7,C16='Внутренняя отделка'!K8,'Внутренняя отделка'!K7,C16='Внутренняя отделка'!B13,'Внутренняя отделка'!B12,C16='Внутренняя отделка'!C13,'Внутренняя отделка'!C12,C16='Внутренняя отделка'!D13,'Внутренняя отделка'!D12,C16='Внутренняя отделка'!E13,'Внутренняя отделка'!E12,C16='Внутренняя отделка'!B18,'Внутренняя отделка'!B17,C16='Внутренняя отделка'!C18,'Внутренняя отделка'!C17,C16='Внутренняя отделка'!D18,'Внутренняя отделка'!D17,C16='Внутренняя отделка'!E18,'Внутренняя отделка'!E17,C16='Внутренняя отделка'!F18,'Внутренняя отделка'!F17,C16='Внутренняя отделка'!L8,'Внутренняя отделка'!L7,C16='Внутренняя отделка'!M8,"Без МДФ-панели")</f>
        <v>#NAME?</v>
      </c>
      <c r="I15" s="64"/>
      <c r="J15" s="64"/>
      <c r="K15" s="64"/>
      <c r="L15" s="64"/>
      <c r="M15" s="64"/>
    </row>
    <row r="16" customFormat="false" ht="17.9" hidden="false" customHeight="false" outlineLevel="0" collapsed="false">
      <c r="A16" s="552" t="s">
        <v>446</v>
      </c>
      <c r="B16" s="523" t="s">
        <v>493</v>
      </c>
      <c r="C16" s="524" t="s">
        <v>494</v>
      </c>
      <c r="D16" s="64"/>
      <c r="E16" s="64"/>
      <c r="F16" s="64"/>
      <c r="G16" s="64"/>
      <c r="H16" s="64"/>
      <c r="I16" s="64"/>
      <c r="J16" s="64"/>
      <c r="K16" s="64"/>
      <c r="L16" s="64"/>
      <c r="M16" s="64"/>
    </row>
    <row r="17" customFormat="false" ht="129" hidden="false" customHeight="true" outlineLevel="0" collapsed="false">
      <c r="A17" s="510" t="s">
        <v>448</v>
      </c>
      <c r="B17" s="525"/>
      <c r="C17" s="526" t="e">
        <f aca="false">ifs(C18='Плёнки ПВХ'!B4,'Плёнки ПВХ'!B3,C18='Плёнки ПВХ'!C4,'Плёнки ПВХ'!C3,C18='Плёнки ПВХ'!D4,'Плёнки ПВХ'!D3,C18='Плёнки ПВХ'!E4,'Плёнки ПВХ'!E3,C18='Плёнки ПВХ'!F4,'Плёнки ПВХ'!F3,C18='Плёнки ПВХ'!G4,'Плёнки ПВХ'!G3,C18='Плёнки ПВХ'!H4,'Плёнки ПВХ'!H3,C18='Плёнки ПВХ'!I4,'Плёнки ПВХ'!I3,C18='Плёнки ПВХ'!J4,'Плёнки ПВХ'!J3,C18='Плёнки ПВХ'!K4,'Плёнки ПВХ'!K3,C18='Плёнки ПВХ'!L4,'Плёнки ПВХ'!L3,C18='Плёнки ПВХ'!G22,'Плёнки ПВХ'!G21,C18='Плёнки ПВХ'!B8,'Плёнки ПВХ'!B7,C18='Плёнки ПВХ'!C8,'Плёнки ПВХ'!C7,C18='Плёнки ПВХ'!D8,'Плёнки ПВХ'!D7,C18='Плёнки ПВХ'!E8,'Плёнки ПВХ'!E7,C18='Плёнки ПВХ'!F8,'Плёнки ПВХ'!F7,C18='Плёнки ПВХ'!G8,'Плёнки ПВХ'!G7,C18='Плёнки ПВХ'!H8,'Плёнки ПВХ'!H7,C18='Плёнки ПВХ'!I8,'Плёнки ПВХ'!I7,C18='Плёнки ПВХ'!J8,'Плёнки ПВХ'!J7,C18='Плёнки ПВХ'!B13,'Плёнки ПВХ'!B12,C18='Плёнки ПВХ'!C13,'Плёнки ПВХ'!C12,C18='Плёнки ПВХ'!D13,'Плёнки ПВХ'!D12,C18='Плёнки ПВХ'!E13,'Плёнки ПВХ'!E12,C18='Плёнки ПВХ'!B18,'Плёнки ПВХ'!B17,C18='Плёнки ПВХ'!C18,'Плёнки ПВХ'!C17,C18='Плёнки ПВХ'!D18,'Плёнки ПВХ'!D17,C18='Плёнки ПВХ'!E18,'Плёнки ПВХ'!E17,C18='Плёнки ПВХ'!F18,'Плёнки ПВХ'!F17,C18='Плёнки ПВХ'!G18,'Плёнки ПВХ'!G17,C18='Плёнки ПВХ'!H18,'Плёнки ПВХ'!H17,C18='Плёнки ПВХ'!I18,'Плёнки ПВХ'!I17,C18='Плёнки ПВХ'!J18,'Плёнки ПВХ'!J17,C18='Плёнки ПВХ'!K18,'Плёнки ПВХ'!K17,C18='Плёнки ПВХ'!L18,'Плёнки ПВХ'!L17,C18='Плёнки ПВХ'!B22,'Плёнки ПВХ'!B21,C18='Плёнки ПВХ'!C22,'Плёнки ПВХ'!C21,C18='Плёнки ПВХ'!D22,'Плёнки ПВХ'!D21,C18='Плёнки ПВХ'!E22,'Плёнки ПВХ'!E21,C18='Плёнки ПВХ'!F22,'Плёнки ПВХ'!F21,C18='Плёнки ПВХ'!G22,'Плёнки ПВХ'!G21,C18='Плёнки ПВХ'!H22,'Плёнки ПВХ'!H21,C18='Плёнки ПВХ'!I22,'Плёнки ПВХ'!I21,C18='Плёнки ПВХ'!J22,'Плёнки ПВХ'!J21,C18="Нет","Выберите цвет плёнки внутренней отделки")</f>
        <v>#NAME?</v>
      </c>
      <c r="D17" s="64"/>
      <c r="E17" s="64"/>
      <c r="F17" s="64"/>
      <c r="G17" s="64"/>
      <c r="H17" s="64"/>
      <c r="I17" s="64"/>
      <c r="J17" s="64"/>
      <c r="K17" s="64"/>
      <c r="L17" s="64"/>
      <c r="M17" s="64"/>
    </row>
    <row r="18" customFormat="false" ht="15" hidden="false" customHeight="true" outlineLevel="0" collapsed="false">
      <c r="A18" s="523" t="s">
        <v>449</v>
      </c>
      <c r="B18" s="523"/>
      <c r="C18" s="524" t="s">
        <v>451</v>
      </c>
      <c r="D18" s="64"/>
      <c r="E18" s="64"/>
      <c r="F18" s="64"/>
      <c r="G18" s="64"/>
      <c r="H18" s="64"/>
      <c r="I18" s="64"/>
      <c r="J18" s="64"/>
      <c r="K18" s="64"/>
      <c r="L18" s="64"/>
      <c r="M18" s="64"/>
    </row>
    <row r="19" customFormat="false" ht="19.7" hidden="false" customHeight="false" outlineLevel="0" collapsed="false">
      <c r="A19" s="522" t="s">
        <v>455</v>
      </c>
      <c r="B19" s="522"/>
      <c r="C19" s="522"/>
      <c r="D19" s="64"/>
      <c r="E19" s="64"/>
      <c r="F19" s="64"/>
      <c r="G19" s="64"/>
      <c r="H19" s="64"/>
      <c r="I19" s="64" t="s">
        <v>268</v>
      </c>
      <c r="J19" s="64" t="str">
        <f aca="false">IF(OR(B22='Termo $'!A15,B22='Termo $'!A16,B22='Termo $'!A17,B22='Termo $'!A18,B22='Termo $'!A19,B22='Termo $'!A26,B22='Termo $'!A27,B22='Termo $'!A28,B22='Termo $'!A29,B22='Termo $'!A30),"Нет"," ")</f>
        <v> </v>
      </c>
      <c r="K19" s="64"/>
      <c r="L19" s="64"/>
      <c r="M19" s="64"/>
    </row>
    <row r="20" customFormat="false" ht="20.85" hidden="false" customHeight="false" outlineLevel="0" collapsed="false">
      <c r="A20" s="552" t="s">
        <v>495</v>
      </c>
      <c r="B20" s="552" t="s">
        <v>457</v>
      </c>
      <c r="C20" s="553" t="s">
        <v>496</v>
      </c>
      <c r="D20" s="64"/>
      <c r="E20" s="64"/>
      <c r="F20" s="64"/>
      <c r="G20" s="64"/>
      <c r="H20" s="64"/>
      <c r="I20" s="64"/>
      <c r="J20" s="64"/>
      <c r="K20" s="64"/>
      <c r="L20" s="64"/>
      <c r="M20" s="64"/>
    </row>
    <row r="21" customFormat="false" ht="111" hidden="false" customHeight="true" outlineLevel="0" collapsed="false">
      <c r="A21" s="507" t="n">
        <f aca="false">IF(A22="Цинкогрунтование",'Покраска металла'!B13,"Без предварительного грунтования")</f>
        <v>0</v>
      </c>
      <c r="B21" s="529" t="e">
        <f aca="false">ifs(B22='Покраска металла'!B4,'Покраска металла'!B3,B22='Покраска металла'!C4,'Покраска металла'!C3,B22='Покраска металла'!D4,'Покраска металла'!D3,B22='Покраска металла'!E4,'Покраска металла'!E3,B22='Покраска металла'!F4,'Покраска металла'!F3,B22='Покраска металла'!G4,'Покраска металла'!G3,B22='Покраска металла'!H4,'Покраска металла'!H3,B22='Покраска металла'!I4,'Покраска металла'!I3,B22='Покраска металла'!J4,'Покраска металла'!J3,B22='Покраска металла'!K4,'Покраска металла'!K3,B22='Покраска металла'!L4,'Покраска металла'!L3,B22='Покраска металла'!B9,'Покраска металла'!B8,B22='Покраска металла'!C9,'Покраска металла'!C8,B22='Покраска металла'!D9,'Покраска металла'!D8,B22='Покраска металла'!E9,'Покраска металла'!E8,B22='Покраска металла'!F9,'Покраска металла'!F8,B22='Покраска металла'!G9,'Покраска металла'!G8,B22='Покраска металла'!H9,'Покраска металла'!H8,B22='Покраска металла'!I9,'Покраска металла'!I8,B22='Покраска металла'!J9,'Покраска металла'!J8,B22='Покраска металла'!K9,'Покраска металла'!K8)</f>
        <v>#NAME?</v>
      </c>
      <c r="C21" s="521" t="e">
        <f aca="false">IF(C22="Как основной",B21,H21)</f>
        <v>#NAME?</v>
      </c>
      <c r="D21" s="64"/>
      <c r="E21" s="64"/>
      <c r="F21" s="64"/>
      <c r="G21" s="64"/>
      <c r="H21" s="64" t="e">
        <f aca="false">ifs(C22='Покраска металла'!B4,'Покраска металла'!B3,C22='Покраска металла'!C4,'Покраска металла'!C3,C22='Покраска металла'!D4,'Покраска металла'!D3,C22='Покраска металла'!E4,'Покраска металла'!E3,C22='Покраска металла'!F4,'Покраска металла'!F3,C22='Покраска металла'!G4,'Покраска металла'!G3,C22='Покраска металла'!H4,'Покраска металла'!H3,C22='Покраска металла'!I4,'Покраска металла'!I3,C22='Покраска металла'!J4,'Покраска металла'!J3,C22='Покраска металла'!K4,'Покраска металла'!K3,C22='Покраска металла'!L4,'Покраска металла'!L3,C22='Покраска металла'!B9,'Покраска металла'!B8,C22='Покраска металла'!C9,'Покраска металла'!C8,C22='Покраска металла'!D9,'Покраска металла'!D8,C22='Покраска металла'!E9,'Покраска металла'!E8,C22='Покраска металла'!F9,'Покраска металла'!F8,C22='Покраска металла'!G9,'Покраска металла'!G8,C22='Покраска металла'!H9,'Покраска металла'!H8,C22='Покраска металла'!I9,'Покраска металла'!I8,C22='Покраска металла'!J9,'Покраска металла'!J8,C22='Покраска металла'!K9,'Покраска металла'!K8)</f>
        <v>#NAME?</v>
      </c>
      <c r="I21" s="64"/>
      <c r="J21" s="64"/>
      <c r="K21" s="64"/>
      <c r="L21" s="64"/>
      <c r="M21" s="64"/>
    </row>
    <row r="22" customFormat="false" ht="15.75" hidden="false" customHeight="true" outlineLevel="0" collapsed="false">
      <c r="A22" s="555" t="s">
        <v>268</v>
      </c>
      <c r="B22" s="531" t="s">
        <v>67</v>
      </c>
      <c r="C22" s="531" t="s">
        <v>497</v>
      </c>
      <c r="D22" s="64"/>
      <c r="E22" s="64"/>
      <c r="F22" s="64"/>
      <c r="G22" s="64"/>
      <c r="H22" s="64"/>
      <c r="I22" s="64"/>
      <c r="J22" s="64"/>
      <c r="K22" s="64"/>
      <c r="L22" s="64"/>
      <c r="M22" s="64"/>
    </row>
    <row r="23" customFormat="false" ht="15.75" hidden="false" customHeight="true" outlineLevel="0" collapsed="false">
      <c r="A23" s="552" t="s">
        <v>498</v>
      </c>
      <c r="B23" s="552" t="s">
        <v>499</v>
      </c>
      <c r="C23" s="553" t="s">
        <v>458</v>
      </c>
      <c r="D23" s="64"/>
      <c r="E23" s="64"/>
      <c r="F23" s="64"/>
      <c r="G23" s="64"/>
      <c r="H23" s="64" t="s">
        <v>500</v>
      </c>
      <c r="I23" s="64" t="s">
        <v>501</v>
      </c>
      <c r="J23" s="64"/>
      <c r="K23" s="64"/>
      <c r="L23" s="64"/>
      <c r="M23" s="64"/>
    </row>
    <row r="24" customFormat="false" ht="141" hidden="false" customHeight="true" outlineLevel="0" collapsed="false">
      <c r="A24" s="545" t="e">
        <f aca="false">IF(OR(B16='Наружная отделка'!D16,B16='Наружная отделка'!E16,B16='Наружная отделка'!F16,B16='Наружная отделка'!B20,B16='Наружная отделка'!C20,B16='Наружная отделка'!F20,B16='Наружная отделка'!B29,B16='Наружная отделка'!C29,B16='Наружная отделка'!F29,B16='Наружная отделка'!G29,B16='Наружная отделка'!H29),H24,J24)</f>
        <v>#NAME?</v>
      </c>
      <c r="B24" s="545" t="e">
        <f aca="false">IF(OR(B16='Наружная отделка'!D16,B16='Наружная отделка'!E16,B16='Наружная отделка'!F16,B16='Наружная отделка'!B20,B16='Наружная отделка'!C20,B16='Наружная отделка'!F20,B16='Наружная отделка'!B29,B16='Наружная отделка'!C29,B16='Наружная отделка'!F29,B16='Наружная отделка'!G29,B16='Наружная отделка'!H29),I24,J24)</f>
        <v>#NAME?</v>
      </c>
      <c r="C24" s="556" t="str">
        <f aca="false">IF(B16="Nova",E24,"Используется только в модели NOVA")</f>
        <v>Используется только в модели NOVA</v>
      </c>
      <c r="D24" s="64"/>
      <c r="E24" s="64" t="e">
        <f aca="false">ifs(C25='Покраска металла'!B4,'Покраска металла'!B3,C25='Покраска металла'!C4,'Покраска металла'!C3,C25='Покраска металла'!D4,'Покраска металла'!D3,C25='Покраска металла'!E4,'Покраска металла'!E3,C25='Покраска металла'!F4,'Покраска металла'!F3,C25='Покраска металла'!G4,'Покраска металла'!G3,C25='Покраска металла'!H4,'Покраска металла'!H3,C25='Покраска металла'!I4,'Покраска металла'!I3,C25='Покраска металла'!J4,'Покраска металла'!J3,C25='Покраска металла'!K4,'Покраска металла'!K3,C25='Покраска металла'!L4,'Покраска металла'!L3,C25='Покраска металла'!B9,'Покраска металла'!B8,C25='Покраска металла'!C9,'Покраска металла'!C8,C25='Покраска металла'!D9,'Покраска металла'!D8,C25='Покраска металла'!E9,'Покраска металла'!E8,C25='Покраска металла'!F9,'Покраска металла'!F8,C25='Покраска металла'!G9,'Покраска металла'!G8,C25='Покраска металла'!H9,'Покраска металла'!H8,C25='Покраска металла'!I9,'Покраска металла'!I8,C25='Покраска металла'!J9,'Покраска металла'!J8,C25='Покраска металла'!K9,'Покраска металла'!K8,C25="Нет","Пожалуйста, выберите цвет дополнительного элемента")</f>
        <v>#NAME?</v>
      </c>
      <c r="F24" s="64"/>
      <c r="G24" s="64"/>
      <c r="H24" s="64" t="e">
        <f aca="false">ifs(A25="Нет","Без тонировки?",A25="Серебро",'Termo $'!A304,A25="Бронза",'Termo $'!A303,A25="Графит",'Termo $'!A302,A25='Termo $'!B305,'Termo $'!A305,A25='Termo $'!B306,'Termo $'!A306,A25='Termo $'!B307,'Termo $'!A307)</f>
        <v>#NAME?</v>
      </c>
      <c r="I24" s="64" t="e">
        <f aca="false">ifs(B25="Нет","Без тонировки?",B25="Серебро",'Termo $'!A304,B25="Бронза",'Termo $'!A303,B25="Графит",'Termo $'!A302,B25='Termo $'!B305,'Termo $'!A305,B25='Termo $'!B306,'Termo $'!A306,B25='Termo $'!B307,'Termo $'!A307)</f>
        <v>#NAME?</v>
      </c>
      <c r="J24" s="557" t="s">
        <v>502</v>
      </c>
      <c r="K24" s="64"/>
      <c r="L24" s="64"/>
      <c r="M24" s="64"/>
    </row>
    <row r="25" customFormat="false" ht="15.75" hidden="false" customHeight="true" outlineLevel="0" collapsed="false">
      <c r="A25" s="507" t="s">
        <v>420</v>
      </c>
      <c r="B25" s="529" t="s">
        <v>503</v>
      </c>
      <c r="C25" s="521" t="s">
        <v>459</v>
      </c>
      <c r="D25" s="64"/>
      <c r="E25" s="64"/>
      <c r="F25" s="64"/>
      <c r="G25" s="64"/>
      <c r="H25" s="64"/>
      <c r="I25" s="64"/>
      <c r="J25" s="64"/>
      <c r="K25" s="64"/>
      <c r="L25" s="64"/>
      <c r="M25" s="64"/>
    </row>
    <row r="26" customFormat="false" ht="19.7" hidden="false" customHeight="false" outlineLevel="0" collapsed="false">
      <c r="A26" s="522" t="s">
        <v>460</v>
      </c>
      <c r="B26" s="522"/>
      <c r="C26" s="522"/>
      <c r="D26" s="64"/>
      <c r="E26" s="64"/>
      <c r="F26" s="64"/>
      <c r="G26" s="64"/>
      <c r="H26" s="64"/>
      <c r="I26" s="64"/>
      <c r="J26" s="64"/>
      <c r="K26" s="64"/>
      <c r="L26" s="64"/>
      <c r="M26" s="64"/>
    </row>
    <row r="27" customFormat="false" ht="222" hidden="false" customHeight="true" outlineLevel="0" collapsed="false">
      <c r="A27" s="527" t="s">
        <v>461</v>
      </c>
      <c r="B27" s="521" t="e">
        <f aca="false">IF(B39="Бугельная",H27,G27)</f>
        <v>#NAME?</v>
      </c>
      <c r="C27" s="521"/>
      <c r="D27" s="64"/>
      <c r="E27" s="64"/>
      <c r="F27" s="64"/>
      <c r="G27" s="64" t="e">
        <f aca="false">ifs(B28='Замки '!C3,'Замки '!C2,B28='Замки '!D3,'Замки '!D2,B28='Замки '!E3,'Замки '!E2,B28='Замки '!F3,'Замки '!F2,B28='Замки '!G3,'Замки '!G2,B28='Замки '!H3,'Замки '!H2,B28='Замки '!I3,'Замки '!I2,B28="Гардиан 32.21",'Замки '!M2)</f>
        <v>#NAME?</v>
      </c>
      <c r="H27" s="557" t="n">
        <f aca="false">IF(B28='Замки '!M3,'Замки '!M2,"Пожалуйста, выберите замок Гардиан 32.21 или отключите выбор бугельной ручки ниже")</f>
        <v>0</v>
      </c>
      <c r="I27" s="64"/>
      <c r="J27" s="64"/>
      <c r="K27" s="64"/>
      <c r="L27" s="64"/>
      <c r="M27" s="64"/>
    </row>
    <row r="28" customFormat="false" ht="15.75" hidden="false" customHeight="true" outlineLevel="0" collapsed="false">
      <c r="A28" s="533" t="e">
        <f aca="false">ifs(B28='Замки '!C3,"Цилиндровый",B28='Замки '!D3,"Цилиндровый",B28='Замки '!E3,"Цилиндровый",B28='Замки '!F3,"Сувальдный",B28='Замки '!G3,"Сувальдный",B28='Замки '!H3,"Сувальдный",B28='Замки '!I3,"Электронный",B28='Замки '!M3,"Специальный")</f>
        <v>#NAME?</v>
      </c>
      <c r="B28" s="533" t="s">
        <v>279</v>
      </c>
      <c r="C28" s="533"/>
      <c r="D28" s="64"/>
      <c r="E28" s="64"/>
      <c r="F28" s="64"/>
      <c r="G28" s="64"/>
      <c r="H28" s="64"/>
      <c r="I28" s="64"/>
      <c r="J28" s="64"/>
      <c r="K28" s="64"/>
      <c r="L28" s="64"/>
      <c r="M28" s="64"/>
    </row>
    <row r="29" customFormat="false" ht="220.5" hidden="false" customHeight="true" outlineLevel="0" collapsed="false">
      <c r="A29" s="527" t="s">
        <v>462</v>
      </c>
      <c r="B29" s="521" t="e">
        <f aca="false">ifs(B30="Нет","Без дополнительного замка",B30='Замки '!C9,'Замки '!C8,B30='Замки '!D9,'Замки '!D8,B30='Замки '!E9,'Замки '!E8,B30='Замки '!G9,'Замки '!G8,B30='Замки '!H9,'Замки '!H8,B30='Замки '!F9,'Замки '!F8)</f>
        <v>#NAME?</v>
      </c>
      <c r="C29" s="521"/>
      <c r="D29" s="64"/>
      <c r="E29" s="64"/>
      <c r="F29" s="64"/>
      <c r="G29" s="64"/>
      <c r="H29" s="64"/>
      <c r="I29" s="64"/>
      <c r="J29" s="64"/>
      <c r="K29" s="64"/>
      <c r="L29" s="64"/>
      <c r="M29" s="64"/>
    </row>
    <row r="30" customFormat="false" ht="15.75" hidden="false" customHeight="true" outlineLevel="0" collapsed="false">
      <c r="A30" s="533" t="e">
        <f aca="false">ifs(OR(B30='Замки '!C9,B30='Замки '!D9,B30='Замки '!E9),"Сувальдный",OR(B30='Замки '!G9,B30='Замки '!H9,B30='Замки '!F9),"Цилиндровый",B30="Нет","Без дополнительного замка")</f>
        <v>#NAME?</v>
      </c>
      <c r="B30" s="533" t="s">
        <v>141</v>
      </c>
      <c r="C30" s="533"/>
      <c r="D30" s="64"/>
      <c r="E30" s="64"/>
      <c r="F30" s="64"/>
      <c r="G30" s="64"/>
      <c r="H30" s="64"/>
      <c r="I30" s="64"/>
      <c r="J30" s="64"/>
      <c r="K30" s="64"/>
      <c r="L30" s="64"/>
      <c r="M30" s="64"/>
    </row>
    <row r="31" customFormat="false" ht="114" hidden="false" customHeight="true" outlineLevel="0" collapsed="false">
      <c r="A31" s="527" t="s">
        <v>463</v>
      </c>
      <c r="B31" s="534" t="e">
        <f aca="false">ifs(A28="Цилиндровый",H31,A28="Сувальдный","Замок с сувальдным ключём",A28="Электронный","Цилиндр в комплекте электронного замка",A28="Специальный",H31)</f>
        <v>#NAME?</v>
      </c>
      <c r="C31" s="534"/>
      <c r="D31" s="64"/>
      <c r="E31" s="64"/>
      <c r="F31" s="64"/>
      <c r="G31" s="64"/>
      <c r="H31" s="64" t="e">
        <f aca="false">ifs(B32=Цилиндр!H4,Цилиндр!H3,B32=Цилиндр!J4,Цилиндр!J3,B32="Цилиндр не нужен","Пожалуйста, выберите цилиндровый механизм")</f>
        <v>#NAME?</v>
      </c>
      <c r="I31" s="64"/>
      <c r="J31" s="64"/>
      <c r="K31" s="64"/>
      <c r="L31" s="64"/>
      <c r="M31" s="64"/>
    </row>
    <row r="32" customFormat="false" ht="15.75" hidden="false" customHeight="true" outlineLevel="0" collapsed="false">
      <c r="A32" s="527"/>
      <c r="B32" s="534" t="s">
        <v>504</v>
      </c>
      <c r="C32" s="534"/>
      <c r="D32" s="64"/>
      <c r="E32" s="64"/>
      <c r="F32" s="64"/>
      <c r="G32" s="64"/>
      <c r="H32" s="64"/>
      <c r="I32" s="64"/>
      <c r="J32" s="64"/>
      <c r="K32" s="64"/>
      <c r="L32" s="64"/>
      <c r="M32" s="64"/>
    </row>
    <row r="33" customFormat="false" ht="120.75" hidden="false" customHeight="true" outlineLevel="0" collapsed="false">
      <c r="A33" s="527" t="s">
        <v>465</v>
      </c>
      <c r="B33" s="521" t="e">
        <f aca="false">ifs(A30="Без дополнительного замка","Без дополнительного замка",A30="Цилиндровый",H33,A30="Сувальдный","Замок с сувальдным ключём")</f>
        <v>#NAME?</v>
      </c>
      <c r="C33" s="521"/>
      <c r="D33" s="64"/>
      <c r="E33" s="64"/>
      <c r="F33" s="64"/>
      <c r="G33" s="64"/>
      <c r="H33" s="64" t="e">
        <f aca="false">ifs(B34=Цилиндр!H4,Цилиндр!H3,B34=Цилиндр!J4,Цилиндр!J3,B34="Цилиндр не нужен","Пожалуйста, выберите цилиндровый механизм")</f>
        <v>#NAME?</v>
      </c>
      <c r="I33" s="64"/>
      <c r="J33" s="64"/>
      <c r="K33" s="64"/>
      <c r="L33" s="64"/>
      <c r="M33" s="64"/>
    </row>
    <row r="34" customFormat="false" ht="15.75" hidden="false" customHeight="true" outlineLevel="0" collapsed="false">
      <c r="A34" s="527"/>
      <c r="B34" s="534" t="s">
        <v>504</v>
      </c>
      <c r="C34" s="534"/>
      <c r="D34" s="64"/>
      <c r="E34" s="64"/>
      <c r="F34" s="64"/>
      <c r="G34" s="64"/>
      <c r="H34" s="64"/>
      <c r="I34" s="64"/>
      <c r="J34" s="64"/>
      <c r="K34" s="64"/>
      <c r="L34" s="64"/>
      <c r="M34" s="64"/>
    </row>
    <row r="35" customFormat="false" ht="19.7" hidden="false" customHeight="false" outlineLevel="0" collapsed="false">
      <c r="A35" s="522" t="s">
        <v>45</v>
      </c>
      <c r="B35" s="522"/>
      <c r="C35" s="522"/>
      <c r="D35" s="558"/>
      <c r="E35" s="558"/>
      <c r="F35" s="558"/>
      <c r="G35" s="558"/>
      <c r="H35" s="558"/>
      <c r="I35" s="558"/>
      <c r="J35" s="558"/>
      <c r="K35" s="558"/>
      <c r="L35" s="558"/>
      <c r="M35" s="558"/>
    </row>
    <row r="36" customFormat="false" ht="15.75" hidden="false" customHeight="true" outlineLevel="0" collapsed="false">
      <c r="A36" s="559"/>
      <c r="B36" s="536" t="s">
        <v>467</v>
      </c>
      <c r="C36" s="537" t="s">
        <v>468</v>
      </c>
      <c r="D36" s="64"/>
      <c r="E36" s="64"/>
      <c r="F36" s="64"/>
      <c r="G36" s="64"/>
      <c r="H36" s="64"/>
      <c r="I36" s="64"/>
      <c r="J36" s="64"/>
      <c r="K36" s="64"/>
      <c r="L36" s="64"/>
      <c r="M36" s="64"/>
    </row>
    <row r="37" customFormat="false" ht="15.75" hidden="false" customHeight="true" outlineLevel="0" collapsed="false">
      <c r="A37" s="536" t="s">
        <v>469</v>
      </c>
      <c r="B37" s="559" t="s">
        <v>420</v>
      </c>
      <c r="C37" s="559" t="s">
        <v>471</v>
      </c>
      <c r="D37" s="64"/>
      <c r="E37" s="64"/>
      <c r="F37" s="64"/>
      <c r="G37" s="64"/>
      <c r="H37" s="64"/>
      <c r="I37" s="64" t="s">
        <v>475</v>
      </c>
      <c r="J37" s="64" t="str">
        <f aca="false">IF(OR(B39="Нажимная",B39="Бугельная в комплекте")," ","1600мм х 60мм")</f>
        <v> </v>
      </c>
      <c r="K37" s="64" t="str">
        <f aca="false">IF(OR(B39="Нажимная",B39="Бугельная в комплекте")," ","1800мм х 60мм")</f>
        <v> </v>
      </c>
      <c r="L37" s="64"/>
      <c r="M37" s="64"/>
    </row>
    <row r="38" customFormat="false" ht="108.75" hidden="false" customHeight="true" outlineLevel="0" collapsed="false">
      <c r="A38" s="539" t="s">
        <v>472</v>
      </c>
      <c r="B38" s="540" t="e">
        <f aca="false">IF(B39="Бугельная",H38,F38)</f>
        <v>#NAME?</v>
      </c>
      <c r="C38" s="540"/>
      <c r="D38" s="64"/>
      <c r="E38" s="64"/>
      <c r="F38" s="64" t="e">
        <f aca="false">IF(A28="Электронный","Корпус электронного замка",G38)</f>
        <v>#NAME?</v>
      </c>
      <c r="G38" s="64" t="e">
        <f aca="false">ifs(AND(C37="Квадратное",B37=Фурнитура!B31),Фурнитура!B4,AND(C37="Квадратное",B37=Фурнитура!B32),Фурнитура!B8,AND(C37="Квадратное",B37=Фурнитура!B33),Фурнитура!B12,AND(C37="Овальное",B37=Фурнитура!B34),Фурнитура!B17,AND(C37="Овальное",B37=Фурнитура!B33),Фурнитура!B25,AND(C37="Овальное",B37=Фурнитура!B32),Фурнитура!B21)</f>
        <v>#NAME?</v>
      </c>
      <c r="H38" s="64" t="n">
        <f aca="false">IF(AND(B39="Бугельная",C39="Стандартный размер"),"Пожалуйста, выберите размер ручки",Фурнитура!B43)</f>
        <v>0</v>
      </c>
      <c r="I38" s="64" t="e">
        <f aca="false">IF(OR(A28="Специальный",A28="Цилиндровый",A28="Сувальдный"),"Нажимная"," ")</f>
        <v>#NAME?</v>
      </c>
      <c r="J38" s="64" t="str">
        <f aca="false">IF(OR(B28='Замки '!I1,B16='Наружная отделка'!D16,B16='Наружная отделка'!E16,B16='Наружная отделка'!F16,B16='Наружная отделка'!B20,B16='Наружная отделка'!C20,C16= 'Внутренняя отделка'!B13,C16='Внутренняя отделка'!C13,C16='Внутренняя отделка'!D13,C16='Внутренняя отделка'!E13,C16='Внутренняя отделка'!B18,C16='Внутренняя отделка'!D18,C16='Внутренняя отделка'!E18,C16='Внутренняя отделка'!F18)," ","Бугельная")</f>
        <v> </v>
      </c>
      <c r="K38" s="557" t="e">
        <f aca="false">IF(AND(A28="Электронный",B28=Управление!I163),"Бугельная в комплекте"," ")</f>
        <v>#NAME?</v>
      </c>
      <c r="L38" s="64"/>
      <c r="M38" s="64"/>
    </row>
    <row r="39" customFormat="false" ht="52.5" hidden="false" customHeight="true" outlineLevel="0" collapsed="false">
      <c r="A39" s="560" t="s">
        <v>505</v>
      </c>
      <c r="B39" s="561" t="s">
        <v>474</v>
      </c>
      <c r="C39" s="561" t="s">
        <v>475</v>
      </c>
      <c r="D39" s="64"/>
      <c r="E39" s="64"/>
      <c r="F39" s="64"/>
      <c r="G39" s="64"/>
      <c r="H39" s="64"/>
      <c r="I39" s="64"/>
      <c r="J39" s="64"/>
      <c r="K39" s="64"/>
      <c r="L39" s="64"/>
      <c r="M39" s="64"/>
    </row>
    <row r="40" customFormat="false" ht="122.25" hidden="false" customHeight="true" outlineLevel="0" collapsed="false">
      <c r="A40" s="510" t="s">
        <v>506</v>
      </c>
      <c r="B40" s="507" t="e">
        <f aca="false">ifs(A28="Цилиндровый",H40,A28="Сувальдный",I40,A28="Электронный","Корпус электронного замка",A28="Специальный",H40)</f>
        <v>#NAME?</v>
      </c>
      <c r="C40" s="507"/>
      <c r="D40" s="64"/>
      <c r="E40" s="64"/>
      <c r="F40" s="64"/>
      <c r="G40" s="64"/>
      <c r="H40" s="64" t="e">
        <f aca="false">ifs(AND(C37="Квадратное",B37=Фурнитура!B31),Фурнитура!C4,AND(C37="Квадратное",B37=Фурнитура!B32),Фурнитура!C8,AND(C37="Квадратное",B37=Фурнитура!B33),Фурнитура!C12,AND(C37="Овальное",B37=Фурнитура!B34),Фурнитура!C17,AND(C37="Овальное",B37=Фурнитура!B33),Фурнитура!C25,AND(C37="Овальное",B37=Фурнитура!B32),Фурнитура!C21)</f>
        <v>#NAME?</v>
      </c>
      <c r="I40" s="64" t="e">
        <f aca="false">ifs(AND(C37="Квадратное",B37=Фурнитура!B31),Фурнитура!D4,AND(C37="Квадратное",B37=Фурнитура!B32),Фурнитура!D8,AND(C37="Квадратное",B37=Фурнитура!B33),Фурнитура!D12,AND(C37="Овальное",B37=Фурнитура!B34),Фурнитура!D17,AND(C37="Овальное",B37=Фурнитура!B33),Фурнитура!D25,AND(C37="Овальное",B37=Фурнитура!B32),Фурнитура!D21)</f>
        <v>#NAME?</v>
      </c>
      <c r="J40" s="64"/>
      <c r="K40" s="64"/>
      <c r="L40" s="64"/>
      <c r="M40" s="64"/>
    </row>
    <row r="41" customFormat="false" ht="111.75" hidden="false" customHeight="true" outlineLevel="0" collapsed="false">
      <c r="A41" s="562" t="s">
        <v>507</v>
      </c>
      <c r="B41" s="563" t="e">
        <f aca="false">ifs(A30="Цилиндровый",H40,A30="Сувальдный",I40,A30="Без дополнительного замка","Без дополнительного замка")</f>
        <v>#NAME?</v>
      </c>
      <c r="C41" s="563"/>
      <c r="D41" s="64"/>
      <c r="E41" s="64"/>
      <c r="F41" s="64"/>
      <c r="G41" s="64"/>
      <c r="H41" s="64"/>
      <c r="I41" s="64"/>
      <c r="J41" s="64"/>
      <c r="K41" s="64"/>
      <c r="L41" s="64"/>
      <c r="M41" s="64"/>
    </row>
    <row r="42" customFormat="false" ht="111.75" hidden="false" customHeight="true" outlineLevel="0" collapsed="false">
      <c r="A42" s="564" t="s">
        <v>478</v>
      </c>
      <c r="B42" s="565" t="e">
        <f aca="false">ifs(A28="Цилиндровый",H42,A28="Сувальдный",H42,A28="Электронный","Корпус электронного замка",A28="Специальный",H42)</f>
        <v>#NAME?</v>
      </c>
      <c r="C42" s="565"/>
      <c r="D42" s="64"/>
      <c r="E42" s="64"/>
      <c r="F42" s="64"/>
      <c r="G42" s="64"/>
      <c r="H42" s="64" t="e">
        <f aca="false">ifs(AND(OR(A28="Специальный",A28="Цилиндровый"),B37="Чёрная"),Фурнитура!G21,AND(OR(A28="Специальный",A28="Цилиндровый"),B37="Бронза"),Фурнитура!G17,AND(OR(A28="Специальный",A28="Цилиндровый"),B37="Хром"),Фурнитура!G12,AND(OR(A28="Специальный",A28="Цилиндровый"),B37="Золото"),Фурнитура!G4,A28="Сувальдный","Замок без цилиндра",A28="Электронный","Вертушка в корпусе электронного замка")</f>
        <v>#NAME?</v>
      </c>
      <c r="I42" s="64"/>
      <c r="J42" s="64"/>
      <c r="K42" s="64"/>
      <c r="L42" s="64"/>
      <c r="M42" s="64"/>
    </row>
    <row r="43" customFormat="false" ht="111.75" hidden="false" customHeight="true" outlineLevel="0" collapsed="false">
      <c r="A43" s="527" t="s">
        <v>479</v>
      </c>
      <c r="B43" s="521" t="e">
        <f aca="false">H43</f>
        <v>#NAME?</v>
      </c>
      <c r="C43" s="521"/>
      <c r="D43" s="64"/>
      <c r="E43" s="64"/>
      <c r="F43" s="64"/>
      <c r="G43" s="64"/>
      <c r="H43" s="64" t="e">
        <f aca="false">ifs(AND(A30="Цилиндровый",B37="Чёрная"),Фурнитура!G21,AND(A30="Цилиндровый",B37="Бронза"),Фурнитура!G17,AND(A30="Цилиндровый",B37="Хром"),Фурнитура!G12,AND(A30="Цилиндровый",B37="Золото"),Фурнитура!G4,A30="Сувальдный","Замок без цилиндра",A30="Без дополнительного замка","Без дополнительного замка")</f>
        <v>#NAME?</v>
      </c>
      <c r="I43" s="64"/>
      <c r="J43" s="64"/>
      <c r="K43" s="64"/>
      <c r="L43" s="64"/>
      <c r="M43" s="64"/>
    </row>
    <row r="44" customFormat="false" ht="146.25" hidden="false" customHeight="true" outlineLevel="0" collapsed="false">
      <c r="A44" s="510" t="s">
        <v>480</v>
      </c>
      <c r="B44" s="507" t="e">
        <f aca="false">ifs(A28="Электронный","Задвижка в корпусе электронного замка",A28="Специальный",H44,A28="Сувальдный",H44,A28="Цилиндровый",H44)</f>
        <v>#NAME?</v>
      </c>
      <c r="C44" s="507"/>
      <c r="D44" s="64"/>
      <c r="E44" s="64"/>
      <c r="F44" s="64"/>
      <c r="G44" s="64"/>
      <c r="H44" s="64" t="e">
        <f aca="false">ifs(AND(C37="Квадратное",B37=Фурнитура!A31,B45="Да"),Фурнитура!F4,AND(C37="Квадратное",B37=Фурнитура!A32,B45="Да"),Фурнитура!F8,AND(C37="Квадратное",B37=Фурнитура!A33,B45="Да"),Фурнитура!F12,AND(C37="Овальное",B37=Фурнитура!A34,B45="Да"),Фурнитура!F17,AND(C37="Овальное",B37=Фурнитура!A33,B45="Да"),Фурнитура!F25,AND(C37="Овальное",B37=Фурнитура!A32,B45="Да"),Фурнитура!F21,B45="Нет","Опция отключена")</f>
        <v>#NAME?</v>
      </c>
      <c r="I44" s="64"/>
      <c r="J44" s="64"/>
      <c r="K44" s="64"/>
      <c r="L44" s="64"/>
      <c r="M44" s="64"/>
    </row>
    <row r="45" customFormat="false" ht="15.75" hidden="false" customHeight="true" outlineLevel="0" collapsed="false">
      <c r="A45" s="510"/>
      <c r="B45" s="531" t="s">
        <v>508</v>
      </c>
      <c r="C45" s="531"/>
      <c r="D45" s="64"/>
      <c r="E45" s="64"/>
      <c r="F45" s="64"/>
      <c r="G45" s="64"/>
      <c r="H45" s="64"/>
      <c r="I45" s="64"/>
      <c r="J45" s="64"/>
      <c r="K45" s="64"/>
      <c r="L45" s="64"/>
      <c r="M45" s="64"/>
    </row>
    <row r="46" customFormat="false" ht="135" hidden="true" customHeight="true" outlineLevel="0" collapsed="false">
      <c r="A46" s="531" t="s">
        <v>481</v>
      </c>
      <c r="B46" s="509" t="str">
        <f aca="false">IF(B47="Да",H46,"Без ночной задвижки")</f>
        <v>Без ночной задвижки</v>
      </c>
      <c r="C46" s="509"/>
      <c r="D46" s="64"/>
      <c r="E46" s="64"/>
      <c r="F46" s="64"/>
      <c r="G46" s="64"/>
      <c r="H46" s="64" t="e">
        <f aca="false">ifs(AND(C37="Квадратное",B37=Фурнитура!B31),Фурнитура!E4,AND(C37="Квадратное",B37=Фурнитура!B32),Фурнитура!E8,AND(C37="Квадратное",B37=Фурнитура!B33),Фурнитура!E12,AND(C37="Овальное",B37=Фурнитура!B34),Фурнитура!E17,AND(C37="Овальное",B37=Фурнитура!B33),Фурнитура!E25,AND(C37="Овальное",B37=Фурнитура!B32),Фурнитура!E21)</f>
        <v>#NAME?</v>
      </c>
      <c r="I46" s="64"/>
      <c r="J46" s="64"/>
      <c r="K46" s="64"/>
      <c r="L46" s="64"/>
      <c r="M46" s="64"/>
    </row>
    <row r="47" customFormat="false" ht="15.75" hidden="true" customHeight="true" outlineLevel="0" collapsed="false">
      <c r="A47" s="531" t="s">
        <v>509</v>
      </c>
      <c r="B47" s="531" t="s">
        <v>459</v>
      </c>
      <c r="C47" s="531"/>
      <c r="D47" s="64"/>
      <c r="E47" s="64"/>
      <c r="F47" s="64"/>
      <c r="G47" s="64"/>
      <c r="H47" s="64"/>
      <c r="I47" s="64"/>
      <c r="J47" s="64"/>
      <c r="K47" s="64"/>
      <c r="L47" s="64"/>
      <c r="M47" s="64"/>
    </row>
    <row r="48" customFormat="false" ht="15.75" hidden="false" customHeight="true" outlineLevel="0" collapsed="false">
      <c r="A48" s="522" t="s">
        <v>482</v>
      </c>
      <c r="B48" s="522"/>
      <c r="C48" s="522"/>
      <c r="D48" s="64"/>
      <c r="E48" s="64"/>
      <c r="F48" s="64"/>
      <c r="G48" s="64"/>
      <c r="H48" s="64"/>
      <c r="I48" s="64"/>
      <c r="J48" s="64"/>
      <c r="K48" s="64"/>
      <c r="L48" s="64"/>
      <c r="M48" s="64"/>
    </row>
    <row r="49" customFormat="false" ht="193.5" hidden="false" customHeight="true" outlineLevel="0" collapsed="false">
      <c r="A49" s="510" t="s">
        <v>483</v>
      </c>
      <c r="B49" s="507" t="n">
        <f aca="false">IF(B50="Порог шлифованный. Цвет: Хром",Порог!D4,"Опция отключена")</f>
        <v>0</v>
      </c>
      <c r="C49" s="507"/>
      <c r="D49" s="64"/>
      <c r="E49" s="64"/>
      <c r="F49" s="64"/>
      <c r="G49" s="64"/>
      <c r="H49" s="64"/>
      <c r="I49" s="64"/>
      <c r="J49" s="64"/>
      <c r="K49" s="64"/>
      <c r="L49" s="64"/>
      <c r="M49" s="64"/>
    </row>
    <row r="50" customFormat="false" ht="15.75" hidden="false" customHeight="true" outlineLevel="0" collapsed="false">
      <c r="A50" s="510"/>
      <c r="B50" s="548" t="s">
        <v>510</v>
      </c>
      <c r="C50" s="548"/>
      <c r="D50" s="64"/>
      <c r="E50" s="64"/>
      <c r="F50" s="64"/>
      <c r="G50" s="64"/>
      <c r="H50" s="64"/>
      <c r="I50" s="64"/>
      <c r="J50" s="64"/>
      <c r="K50" s="64"/>
      <c r="L50" s="64"/>
      <c r="M50" s="64"/>
    </row>
    <row r="51" customFormat="false" ht="181.5" hidden="false" customHeight="true" outlineLevel="0" collapsed="false">
      <c r="A51" s="510" t="s">
        <v>511</v>
      </c>
      <c r="B51" s="507" t="n">
        <f aca="false">IF(B52="Да",H51,"Опция отключена")</f>
        <v>0</v>
      </c>
      <c r="C51" s="507"/>
      <c r="D51" s="64"/>
      <c r="E51" s="64"/>
      <c r="F51" s="64"/>
      <c r="G51" s="64"/>
      <c r="H51" s="566"/>
      <c r="I51" s="566"/>
      <c r="J51" s="64"/>
      <c r="K51" s="64"/>
      <c r="L51" s="64"/>
      <c r="M51" s="64"/>
    </row>
    <row r="52" customFormat="false" ht="15.75" hidden="false" customHeight="true" outlineLevel="0" collapsed="false">
      <c r="A52" s="510"/>
      <c r="B52" s="567" t="s">
        <v>508</v>
      </c>
      <c r="C52" s="567"/>
      <c r="D52" s="64"/>
      <c r="E52" s="64"/>
      <c r="F52" s="64"/>
      <c r="G52" s="64"/>
      <c r="H52" s="64"/>
      <c r="I52" s="64"/>
      <c r="J52" s="64"/>
      <c r="K52" s="64"/>
      <c r="L52" s="64"/>
      <c r="M52" s="64"/>
    </row>
    <row r="53" customFormat="false" ht="19.7" hidden="false" customHeight="false" outlineLevel="0" collapsed="false">
      <c r="A53" s="549" t="s">
        <v>484</v>
      </c>
      <c r="B53" s="568" t="n">
        <f aca="false">B2</f>
        <v>64900</v>
      </c>
      <c r="C53" s="568"/>
      <c r="D53" s="64"/>
      <c r="E53" s="64"/>
      <c r="F53" s="64"/>
      <c r="G53" s="64"/>
      <c r="H53" s="64"/>
      <c r="I53" s="64"/>
      <c r="J53" s="64"/>
      <c r="K53" s="64"/>
      <c r="L53" s="64"/>
      <c r="M53" s="64"/>
    </row>
    <row r="54" customFormat="false" ht="37.5" hidden="false" customHeight="true" outlineLevel="0" collapsed="false">
      <c r="A54" s="531" t="s">
        <v>485</v>
      </c>
      <c r="B54" s="531" t="s">
        <v>512</v>
      </c>
      <c r="C54" s="531"/>
      <c r="D54" s="64"/>
      <c r="E54" s="64"/>
      <c r="F54" s="64"/>
      <c r="G54" s="64"/>
      <c r="H54" s="64"/>
      <c r="I54" s="64"/>
      <c r="J54" s="64"/>
      <c r="K54" s="64"/>
      <c r="L54" s="64"/>
      <c r="M54" s="64"/>
    </row>
    <row r="55" customFormat="false" ht="15.75" hidden="false" customHeight="true" outlineLevel="0" collapsed="false">
      <c r="A55" s="521" t="s">
        <v>486</v>
      </c>
      <c r="B55" s="507" t="s">
        <v>487</v>
      </c>
      <c r="C55" s="521" t="s">
        <v>488</v>
      </c>
      <c r="D55" s="64"/>
      <c r="E55" s="64"/>
      <c r="F55" s="64"/>
      <c r="G55" s="64"/>
      <c r="H55" s="64"/>
      <c r="I55" s="64"/>
      <c r="J55" s="64"/>
      <c r="K55" s="64"/>
      <c r="L55" s="64"/>
      <c r="M55" s="64"/>
    </row>
    <row r="56" customFormat="false" ht="21" hidden="false" customHeight="true" outlineLevel="0" collapsed="false">
      <c r="A56" s="521"/>
      <c r="B56" s="507" t="n">
        <v>1980</v>
      </c>
      <c r="C56" s="521" t="n">
        <v>1000</v>
      </c>
      <c r="D56" s="64"/>
      <c r="E56" s="64"/>
      <c r="F56" s="64"/>
      <c r="G56" s="64"/>
      <c r="H56" s="64"/>
      <c r="I56" s="64"/>
      <c r="J56" s="64"/>
      <c r="K56" s="64"/>
      <c r="L56" s="64"/>
      <c r="M56" s="64"/>
    </row>
    <row r="57" customFormat="false" ht="21.75" hidden="false" customHeight="true" outlineLevel="0" collapsed="false">
      <c r="A57" s="531" t="s">
        <v>489</v>
      </c>
      <c r="B57" s="531" t="s">
        <v>513</v>
      </c>
      <c r="C57" s="531"/>
      <c r="D57" s="64"/>
      <c r="E57" s="64"/>
      <c r="F57" s="64"/>
      <c r="G57" s="64"/>
      <c r="H57" s="64"/>
      <c r="I57" s="64"/>
      <c r="J57" s="64"/>
      <c r="K57" s="64"/>
      <c r="L57" s="64"/>
      <c r="M57" s="64"/>
    </row>
    <row r="58" customFormat="false" ht="24" hidden="false" customHeight="true" outlineLevel="0" collapsed="false">
      <c r="A58" s="507" t="s">
        <v>490</v>
      </c>
      <c r="B58" s="507"/>
      <c r="C58" s="507"/>
      <c r="D58" s="64"/>
      <c r="E58" s="64"/>
      <c r="F58" s="64"/>
      <c r="G58" s="64"/>
      <c r="H58" s="64"/>
      <c r="I58" s="64"/>
      <c r="J58" s="64"/>
      <c r="K58" s="64"/>
      <c r="L58" s="64"/>
      <c r="M58" s="64"/>
    </row>
    <row r="59" customFormat="false" ht="24.75" hidden="false" customHeight="true" outlineLevel="0" collapsed="false">
      <c r="A59" s="531" t="s">
        <v>491</v>
      </c>
      <c r="B59" s="531"/>
      <c r="C59" s="531"/>
      <c r="D59" s="64"/>
      <c r="E59" s="64"/>
      <c r="F59" s="64"/>
      <c r="G59" s="64"/>
      <c r="H59" s="64"/>
      <c r="I59" s="64"/>
      <c r="J59" s="64"/>
      <c r="K59" s="64"/>
      <c r="L59" s="64"/>
      <c r="M59" s="64"/>
    </row>
    <row r="60" customFormat="false" ht="15.75" hidden="false" customHeight="true" outlineLevel="0" collapsed="false">
      <c r="A60" s="550"/>
      <c r="B60" s="550"/>
      <c r="C60" s="550"/>
      <c r="D60" s="64"/>
      <c r="E60" s="64"/>
      <c r="F60" s="64"/>
      <c r="G60" s="64"/>
      <c r="H60" s="64"/>
      <c r="I60" s="64"/>
      <c r="J60" s="64"/>
      <c r="K60" s="64"/>
      <c r="L60" s="64"/>
      <c r="M60" s="64"/>
    </row>
    <row r="61" customFormat="false" ht="15.75" hidden="false" customHeight="true" outlineLevel="0" collapsed="false">
      <c r="A61" s="550"/>
      <c r="B61" s="550"/>
      <c r="C61" s="550"/>
      <c r="D61" s="64"/>
      <c r="E61" s="64"/>
      <c r="F61" s="64"/>
      <c r="G61" s="64"/>
      <c r="H61" s="64"/>
      <c r="I61" s="64"/>
      <c r="J61" s="64"/>
      <c r="K61" s="64"/>
      <c r="L61" s="64"/>
      <c r="M61" s="64"/>
    </row>
    <row r="62" customFormat="false" ht="15.75" hidden="false" customHeight="true" outlineLevel="0" collapsed="false">
      <c r="A62" s="550"/>
      <c r="B62" s="550"/>
      <c r="C62" s="550"/>
      <c r="D62" s="64"/>
      <c r="E62" s="64"/>
      <c r="F62" s="64"/>
      <c r="G62" s="64"/>
      <c r="H62" s="64"/>
      <c r="I62" s="64"/>
      <c r="J62" s="64"/>
      <c r="K62" s="64"/>
      <c r="L62" s="64"/>
      <c r="M62" s="64"/>
    </row>
    <row r="63" customFormat="false" ht="15.75" hidden="false" customHeight="true" outlineLevel="0" collapsed="false">
      <c r="A63" s="550"/>
      <c r="B63" s="550"/>
      <c r="C63" s="550"/>
      <c r="D63" s="64"/>
      <c r="E63" s="64"/>
      <c r="F63" s="64"/>
      <c r="G63" s="64"/>
      <c r="H63" s="64"/>
      <c r="I63" s="64"/>
      <c r="J63" s="64"/>
      <c r="K63" s="64"/>
      <c r="L63" s="64"/>
      <c r="M63" s="64"/>
    </row>
    <row r="64" customFormat="false" ht="15.75" hidden="false" customHeight="true" outlineLevel="0" collapsed="false">
      <c r="A64" s="550"/>
      <c r="B64" s="550"/>
      <c r="C64" s="550"/>
      <c r="D64" s="64"/>
      <c r="E64" s="64"/>
      <c r="F64" s="64"/>
      <c r="G64" s="64"/>
      <c r="H64" s="64"/>
      <c r="I64" s="64"/>
      <c r="J64" s="64"/>
      <c r="K64" s="64"/>
      <c r="L64" s="64"/>
      <c r="M64" s="64"/>
    </row>
    <row r="65" customFormat="false" ht="15.75" hidden="false" customHeight="true" outlineLevel="0" collapsed="false">
      <c r="A65" s="550"/>
      <c r="B65" s="550"/>
      <c r="C65" s="550"/>
      <c r="D65" s="64"/>
      <c r="E65" s="64"/>
      <c r="F65" s="64"/>
      <c r="G65" s="64"/>
      <c r="H65" s="64"/>
      <c r="I65" s="64"/>
      <c r="J65" s="64"/>
      <c r="K65" s="64"/>
      <c r="L65" s="64"/>
      <c r="M65" s="64"/>
    </row>
    <row r="66" customFormat="false" ht="15.75" hidden="false" customHeight="true" outlineLevel="0" collapsed="false">
      <c r="A66" s="550"/>
      <c r="B66" s="550"/>
      <c r="C66" s="550"/>
      <c r="D66" s="64"/>
      <c r="E66" s="64"/>
      <c r="F66" s="64"/>
      <c r="G66" s="64"/>
      <c r="H66" s="64"/>
      <c r="I66" s="64"/>
      <c r="J66" s="64"/>
      <c r="K66" s="64"/>
      <c r="L66" s="64"/>
      <c r="M66" s="64"/>
    </row>
    <row r="67" customFormat="false" ht="15.75" hidden="false" customHeight="true" outlineLevel="0" collapsed="false">
      <c r="A67" s="550"/>
      <c r="B67" s="550"/>
      <c r="C67" s="550"/>
      <c r="D67" s="64"/>
      <c r="E67" s="64"/>
      <c r="F67" s="64"/>
      <c r="G67" s="64"/>
      <c r="H67" s="64"/>
      <c r="I67" s="64"/>
      <c r="J67" s="64"/>
      <c r="K67" s="64"/>
      <c r="L67" s="64"/>
      <c r="M67" s="64"/>
    </row>
    <row r="68" customFormat="false" ht="15.75" hidden="false" customHeight="true" outlineLevel="0" collapsed="false">
      <c r="A68" s="550"/>
      <c r="B68" s="550"/>
      <c r="C68" s="550"/>
      <c r="D68" s="64"/>
      <c r="E68" s="64"/>
      <c r="F68" s="64"/>
      <c r="G68" s="64"/>
      <c r="H68" s="64"/>
      <c r="I68" s="64"/>
      <c r="J68" s="64"/>
      <c r="K68" s="64"/>
      <c r="L68" s="64"/>
      <c r="M68" s="64"/>
    </row>
    <row r="69" customFormat="false" ht="15.75" hidden="false" customHeight="true" outlineLevel="0" collapsed="false">
      <c r="A69" s="550"/>
      <c r="B69" s="550"/>
      <c r="C69" s="550"/>
      <c r="D69" s="64"/>
      <c r="E69" s="64"/>
      <c r="F69" s="64"/>
      <c r="G69" s="64"/>
      <c r="H69" s="64"/>
      <c r="I69" s="64"/>
      <c r="J69" s="64"/>
      <c r="K69" s="64"/>
      <c r="L69" s="64"/>
      <c r="M69" s="64"/>
    </row>
    <row r="70" customFormat="false" ht="15.75" hidden="false" customHeight="true" outlineLevel="0" collapsed="false">
      <c r="A70" s="550"/>
      <c r="B70" s="550"/>
      <c r="C70" s="550"/>
      <c r="D70" s="64"/>
      <c r="E70" s="64"/>
      <c r="F70" s="64"/>
      <c r="G70" s="64"/>
      <c r="H70" s="64"/>
      <c r="I70" s="64"/>
      <c r="J70" s="64"/>
      <c r="K70" s="64"/>
      <c r="L70" s="64"/>
      <c r="M70" s="64"/>
    </row>
    <row r="71" customFormat="false" ht="15.75" hidden="false" customHeight="true" outlineLevel="0" collapsed="false">
      <c r="A71" s="550"/>
      <c r="B71" s="550"/>
      <c r="C71" s="550"/>
      <c r="D71" s="64"/>
      <c r="E71" s="64"/>
      <c r="F71" s="64"/>
      <c r="G71" s="64"/>
      <c r="H71" s="64"/>
      <c r="I71" s="64"/>
      <c r="J71" s="64"/>
      <c r="K71" s="64"/>
      <c r="L71" s="64"/>
      <c r="M71" s="64"/>
    </row>
    <row r="72" customFormat="false" ht="15.75" hidden="false" customHeight="true" outlineLevel="0" collapsed="false">
      <c r="A72" s="550"/>
      <c r="B72" s="550"/>
      <c r="C72" s="550"/>
      <c r="D72" s="64"/>
      <c r="E72" s="64"/>
      <c r="F72" s="64"/>
      <c r="G72" s="64"/>
      <c r="H72" s="64"/>
      <c r="I72" s="64"/>
      <c r="J72" s="64"/>
      <c r="K72" s="64"/>
      <c r="L72" s="64"/>
      <c r="M72" s="64"/>
    </row>
    <row r="73" customFormat="false" ht="15.75" hidden="false" customHeight="true" outlineLevel="0" collapsed="false">
      <c r="A73" s="550"/>
      <c r="B73" s="550"/>
      <c r="C73" s="550"/>
      <c r="D73" s="64"/>
      <c r="E73" s="64"/>
      <c r="F73" s="64"/>
      <c r="G73" s="64"/>
      <c r="H73" s="64"/>
      <c r="I73" s="64"/>
      <c r="J73" s="64"/>
      <c r="K73" s="64"/>
      <c r="L73" s="64"/>
      <c r="M73" s="64"/>
    </row>
    <row r="74" customFormat="false" ht="15.75" hidden="false" customHeight="true" outlineLevel="0" collapsed="false">
      <c r="A74" s="550"/>
      <c r="B74" s="550"/>
      <c r="C74" s="550"/>
      <c r="D74" s="64"/>
      <c r="E74" s="64"/>
      <c r="F74" s="64"/>
      <c r="G74" s="64"/>
      <c r="H74" s="64"/>
      <c r="I74" s="64"/>
      <c r="J74" s="64"/>
      <c r="K74" s="64"/>
      <c r="L74" s="64"/>
      <c r="M74" s="64"/>
    </row>
    <row r="75" customFormat="false" ht="15.75" hidden="false" customHeight="true" outlineLevel="0" collapsed="false">
      <c r="A75" s="550"/>
      <c r="B75" s="550"/>
      <c r="C75" s="550"/>
      <c r="D75" s="64"/>
      <c r="E75" s="64"/>
      <c r="F75" s="64"/>
      <c r="G75" s="64"/>
      <c r="H75" s="64"/>
      <c r="I75" s="64"/>
      <c r="J75" s="64"/>
      <c r="K75" s="64"/>
      <c r="L75" s="64"/>
      <c r="M75" s="64"/>
    </row>
    <row r="76" customFormat="false" ht="15.75" hidden="false" customHeight="true" outlineLevel="0" collapsed="false">
      <c r="A76" s="550"/>
      <c r="B76" s="550"/>
      <c r="C76" s="550"/>
      <c r="D76" s="64"/>
      <c r="E76" s="64"/>
      <c r="F76" s="64"/>
      <c r="G76" s="64"/>
      <c r="H76" s="64"/>
      <c r="I76" s="64"/>
      <c r="J76" s="64"/>
      <c r="K76" s="64"/>
      <c r="L76" s="64"/>
      <c r="M76" s="64"/>
    </row>
    <row r="77" customFormat="false" ht="15.75" hidden="false" customHeight="true" outlineLevel="0" collapsed="false">
      <c r="A77" s="550"/>
      <c r="B77" s="550"/>
      <c r="C77" s="550"/>
      <c r="D77" s="64"/>
      <c r="E77" s="64"/>
      <c r="F77" s="64"/>
      <c r="G77" s="64"/>
      <c r="H77" s="64"/>
      <c r="I77" s="64"/>
      <c r="J77" s="64"/>
      <c r="K77" s="64"/>
      <c r="L77" s="64"/>
      <c r="M77" s="64"/>
    </row>
    <row r="78" customFormat="false" ht="15.75" hidden="false" customHeight="true" outlineLevel="0" collapsed="false">
      <c r="A78" s="550"/>
      <c r="B78" s="550"/>
      <c r="C78" s="550"/>
      <c r="D78" s="64"/>
      <c r="E78" s="64"/>
      <c r="F78" s="64"/>
      <c r="G78" s="64"/>
      <c r="H78" s="64"/>
      <c r="I78" s="64"/>
      <c r="J78" s="64"/>
      <c r="K78" s="64"/>
      <c r="L78" s="64"/>
      <c r="M78" s="64"/>
    </row>
    <row r="79" customFormat="false" ht="15.75" hidden="false" customHeight="true" outlineLevel="0" collapsed="false">
      <c r="A79" s="550"/>
      <c r="B79" s="550"/>
      <c r="C79" s="550"/>
      <c r="D79" s="64"/>
      <c r="E79" s="64"/>
      <c r="F79" s="64"/>
      <c r="G79" s="64"/>
      <c r="H79" s="64"/>
      <c r="I79" s="64"/>
      <c r="J79" s="64"/>
      <c r="K79" s="64"/>
      <c r="L79" s="64"/>
      <c r="M79" s="64"/>
    </row>
    <row r="80" customFormat="false" ht="15.75" hidden="false" customHeight="true" outlineLevel="0" collapsed="false">
      <c r="A80" s="550"/>
      <c r="B80" s="550"/>
      <c r="C80" s="550"/>
      <c r="D80" s="64"/>
      <c r="E80" s="64"/>
      <c r="F80" s="64"/>
      <c r="G80" s="64"/>
      <c r="H80" s="64"/>
      <c r="I80" s="64"/>
      <c r="J80" s="64"/>
      <c r="K80" s="64"/>
      <c r="L80" s="64"/>
      <c r="M80" s="64"/>
    </row>
    <row r="81" customFormat="false" ht="15.75" hidden="false" customHeight="true" outlineLevel="0" collapsed="false">
      <c r="A81" s="550"/>
      <c r="B81" s="550"/>
      <c r="C81" s="550"/>
      <c r="D81" s="64"/>
      <c r="E81" s="64"/>
      <c r="F81" s="64"/>
      <c r="G81" s="64"/>
      <c r="H81" s="64"/>
      <c r="I81" s="64"/>
      <c r="J81" s="64"/>
      <c r="K81" s="64"/>
      <c r="L81" s="64"/>
      <c r="M81" s="64"/>
    </row>
    <row r="82" customFormat="false" ht="15.75" hidden="false" customHeight="true" outlineLevel="0" collapsed="false">
      <c r="A82" s="550"/>
      <c r="B82" s="550"/>
      <c r="C82" s="550"/>
      <c r="D82" s="64"/>
      <c r="E82" s="64"/>
      <c r="F82" s="64"/>
      <c r="G82" s="64"/>
      <c r="H82" s="64"/>
      <c r="I82" s="64"/>
      <c r="J82" s="64"/>
      <c r="K82" s="64"/>
      <c r="L82" s="64"/>
      <c r="M82" s="64"/>
    </row>
    <row r="83" customFormat="false" ht="15.75" hidden="false" customHeight="true" outlineLevel="0" collapsed="false">
      <c r="A83" s="550"/>
      <c r="B83" s="550"/>
      <c r="C83" s="550"/>
      <c r="D83" s="64"/>
      <c r="E83" s="64"/>
      <c r="F83" s="64"/>
      <c r="G83" s="64"/>
      <c r="H83" s="64"/>
      <c r="I83" s="64"/>
      <c r="J83" s="64"/>
      <c r="K83" s="64"/>
      <c r="L83" s="64"/>
      <c r="M83" s="64"/>
    </row>
    <row r="84" customFormat="false" ht="15.75" hidden="false" customHeight="true" outlineLevel="0" collapsed="false">
      <c r="A84" s="550"/>
      <c r="B84" s="550"/>
      <c r="C84" s="550"/>
      <c r="D84" s="64"/>
      <c r="E84" s="64"/>
      <c r="F84" s="64"/>
      <c r="G84" s="64"/>
      <c r="H84" s="64"/>
      <c r="I84" s="64"/>
      <c r="J84" s="64"/>
      <c r="K84" s="64"/>
      <c r="L84" s="64"/>
      <c r="M84" s="64"/>
    </row>
    <row r="85" customFormat="false" ht="15.75" hidden="false" customHeight="true" outlineLevel="0" collapsed="false">
      <c r="A85" s="550"/>
      <c r="B85" s="550"/>
      <c r="C85" s="550"/>
      <c r="D85" s="64"/>
      <c r="E85" s="64"/>
      <c r="F85" s="64"/>
      <c r="G85" s="64"/>
      <c r="H85" s="64"/>
      <c r="I85" s="64"/>
      <c r="J85" s="64"/>
      <c r="K85" s="64"/>
      <c r="L85" s="64"/>
      <c r="M85" s="64"/>
    </row>
    <row r="86" customFormat="false" ht="15.75" hidden="false" customHeight="true" outlineLevel="0" collapsed="false">
      <c r="A86" s="550"/>
      <c r="B86" s="550"/>
      <c r="C86" s="550"/>
      <c r="D86" s="64"/>
      <c r="E86" s="64"/>
      <c r="F86" s="64"/>
      <c r="G86" s="64"/>
      <c r="H86" s="64"/>
      <c r="I86" s="64"/>
      <c r="J86" s="64"/>
      <c r="K86" s="64"/>
      <c r="L86" s="64"/>
      <c r="M86" s="64"/>
    </row>
    <row r="87" customFormat="false" ht="15.75" hidden="false" customHeight="true" outlineLevel="0" collapsed="false">
      <c r="A87" s="550"/>
      <c r="B87" s="550"/>
      <c r="C87" s="550"/>
      <c r="D87" s="64"/>
      <c r="E87" s="64"/>
      <c r="F87" s="64"/>
      <c r="G87" s="64"/>
      <c r="H87" s="64"/>
      <c r="I87" s="64"/>
      <c r="J87" s="64"/>
      <c r="K87" s="64"/>
      <c r="L87" s="64"/>
      <c r="M87" s="64"/>
    </row>
    <row r="88" customFormat="false" ht="15.75" hidden="false" customHeight="true" outlineLevel="0" collapsed="false">
      <c r="A88" s="550"/>
      <c r="B88" s="550"/>
      <c r="C88" s="550"/>
      <c r="D88" s="64"/>
      <c r="E88" s="64"/>
      <c r="F88" s="64"/>
      <c r="G88" s="64"/>
      <c r="H88" s="64"/>
      <c r="I88" s="64"/>
      <c r="J88" s="64"/>
      <c r="K88" s="64"/>
      <c r="L88" s="64"/>
      <c r="M88" s="64"/>
    </row>
    <row r="89" customFormat="false" ht="15.75" hidden="false" customHeight="true" outlineLevel="0" collapsed="false">
      <c r="A89" s="550"/>
      <c r="B89" s="550"/>
      <c r="C89" s="550"/>
      <c r="D89" s="64"/>
      <c r="E89" s="64"/>
      <c r="F89" s="64"/>
      <c r="G89" s="64"/>
      <c r="H89" s="64"/>
      <c r="I89" s="64"/>
      <c r="J89" s="64"/>
      <c r="K89" s="64"/>
      <c r="L89" s="64"/>
      <c r="M89" s="64"/>
    </row>
    <row r="90" customFormat="false" ht="15.75" hidden="false" customHeight="true" outlineLevel="0" collapsed="false">
      <c r="A90" s="550"/>
      <c r="B90" s="550"/>
      <c r="C90" s="550"/>
      <c r="D90" s="64"/>
      <c r="E90" s="64"/>
      <c r="F90" s="64"/>
      <c r="G90" s="64"/>
      <c r="H90" s="64"/>
      <c r="I90" s="64"/>
      <c r="J90" s="64"/>
      <c r="K90" s="64"/>
      <c r="L90" s="64"/>
      <c r="M90" s="64"/>
    </row>
    <row r="91" customFormat="false" ht="15.75" hidden="false" customHeight="true" outlineLevel="0" collapsed="false">
      <c r="A91" s="550"/>
      <c r="B91" s="550"/>
      <c r="C91" s="550"/>
      <c r="D91" s="64"/>
      <c r="E91" s="64"/>
      <c r="F91" s="64"/>
      <c r="G91" s="64"/>
      <c r="H91" s="64"/>
      <c r="I91" s="64"/>
      <c r="J91" s="64"/>
      <c r="K91" s="64"/>
      <c r="L91" s="64"/>
      <c r="M91" s="64"/>
    </row>
    <row r="92" customFormat="false" ht="15.75" hidden="false" customHeight="true" outlineLevel="0" collapsed="false">
      <c r="A92" s="550"/>
      <c r="B92" s="550"/>
      <c r="C92" s="550"/>
      <c r="D92" s="64"/>
      <c r="E92" s="64"/>
      <c r="F92" s="64"/>
      <c r="G92" s="64"/>
      <c r="H92" s="64"/>
      <c r="I92" s="64"/>
      <c r="J92" s="64"/>
      <c r="K92" s="64"/>
      <c r="L92" s="64"/>
      <c r="M92" s="64"/>
    </row>
    <row r="93" customFormat="false" ht="15.75" hidden="false" customHeight="true" outlineLevel="0" collapsed="false">
      <c r="A93" s="550"/>
      <c r="B93" s="550"/>
      <c r="C93" s="550"/>
      <c r="D93" s="64"/>
      <c r="E93" s="64"/>
      <c r="F93" s="64"/>
      <c r="G93" s="64"/>
      <c r="H93" s="64"/>
      <c r="I93" s="64"/>
      <c r="J93" s="64"/>
      <c r="K93" s="64"/>
      <c r="L93" s="64"/>
      <c r="M93" s="64"/>
    </row>
    <row r="94" customFormat="false" ht="15.75" hidden="false" customHeight="true" outlineLevel="0" collapsed="false">
      <c r="A94" s="550"/>
      <c r="B94" s="550"/>
      <c r="C94" s="550"/>
      <c r="D94" s="64"/>
      <c r="E94" s="64"/>
      <c r="F94" s="64"/>
      <c r="G94" s="64"/>
      <c r="H94" s="64"/>
      <c r="I94" s="64"/>
      <c r="J94" s="64"/>
      <c r="K94" s="64"/>
      <c r="L94" s="64"/>
      <c r="M94" s="64"/>
    </row>
    <row r="95" customFormat="false" ht="15.75" hidden="false" customHeight="true" outlineLevel="0" collapsed="false">
      <c r="A95" s="550"/>
      <c r="B95" s="550"/>
      <c r="C95" s="550"/>
      <c r="D95" s="64"/>
      <c r="E95" s="64"/>
      <c r="F95" s="64"/>
      <c r="G95" s="64"/>
      <c r="H95" s="64"/>
      <c r="I95" s="64"/>
      <c r="J95" s="64"/>
      <c r="K95" s="64"/>
      <c r="L95" s="64"/>
      <c r="M95" s="64"/>
    </row>
    <row r="96" customFormat="false" ht="15.75" hidden="false" customHeight="true" outlineLevel="0" collapsed="false">
      <c r="A96" s="550"/>
      <c r="B96" s="550"/>
      <c r="C96" s="550"/>
      <c r="D96" s="64"/>
      <c r="E96" s="64"/>
      <c r="F96" s="64"/>
      <c r="G96" s="64"/>
      <c r="H96" s="64"/>
      <c r="I96" s="64"/>
      <c r="J96" s="64"/>
      <c r="K96" s="64"/>
      <c r="L96" s="64"/>
      <c r="M96" s="64"/>
    </row>
    <row r="97" customFormat="false" ht="15.75" hidden="false" customHeight="true" outlineLevel="0" collapsed="false">
      <c r="A97" s="550"/>
      <c r="B97" s="550"/>
      <c r="C97" s="550"/>
      <c r="D97" s="64"/>
      <c r="E97" s="64"/>
      <c r="F97" s="64"/>
      <c r="G97" s="64"/>
      <c r="H97" s="64"/>
      <c r="I97" s="64"/>
      <c r="J97" s="64"/>
      <c r="K97" s="64"/>
      <c r="L97" s="64"/>
      <c r="M97" s="64"/>
    </row>
    <row r="98" customFormat="false" ht="15.75" hidden="false" customHeight="true" outlineLevel="0" collapsed="false">
      <c r="A98" s="550"/>
      <c r="B98" s="550"/>
      <c r="C98" s="550"/>
      <c r="D98" s="64"/>
      <c r="E98" s="64"/>
      <c r="F98" s="64"/>
      <c r="G98" s="64"/>
      <c r="H98" s="64"/>
      <c r="I98" s="64"/>
      <c r="J98" s="64"/>
      <c r="K98" s="64"/>
      <c r="L98" s="64"/>
      <c r="M98" s="64"/>
    </row>
    <row r="99" customFormat="false" ht="15.75" hidden="false" customHeight="true" outlineLevel="0" collapsed="false">
      <c r="A99" s="550"/>
      <c r="B99" s="550"/>
      <c r="C99" s="550"/>
      <c r="D99" s="64"/>
      <c r="E99" s="64"/>
      <c r="F99" s="64"/>
      <c r="G99" s="64"/>
      <c r="H99" s="64"/>
      <c r="I99" s="64"/>
      <c r="J99" s="64"/>
      <c r="K99" s="64"/>
      <c r="L99" s="64"/>
      <c r="M99" s="64"/>
    </row>
    <row r="100" customFormat="false" ht="15.75" hidden="false" customHeight="true" outlineLevel="0" collapsed="false">
      <c r="A100" s="550"/>
      <c r="B100" s="550"/>
      <c r="C100" s="550"/>
      <c r="D100" s="64"/>
      <c r="E100" s="64"/>
      <c r="F100" s="64"/>
      <c r="G100" s="64"/>
      <c r="H100" s="64"/>
      <c r="I100" s="64"/>
      <c r="J100" s="64"/>
      <c r="K100" s="64"/>
      <c r="L100" s="64"/>
      <c r="M100" s="64"/>
    </row>
    <row r="101" customFormat="false" ht="15.75" hidden="false" customHeight="true" outlineLevel="0" collapsed="false">
      <c r="A101" s="550"/>
      <c r="B101" s="550"/>
      <c r="C101" s="550"/>
      <c r="D101" s="64"/>
      <c r="E101" s="64"/>
      <c r="F101" s="64"/>
      <c r="G101" s="64"/>
      <c r="H101" s="64"/>
      <c r="I101" s="64"/>
      <c r="J101" s="64"/>
      <c r="K101" s="64"/>
      <c r="L101" s="64"/>
      <c r="M101" s="64"/>
    </row>
    <row r="102" customFormat="false" ht="15.75" hidden="false" customHeight="true" outlineLevel="0" collapsed="false">
      <c r="A102" s="550"/>
      <c r="B102" s="550"/>
      <c r="C102" s="550"/>
      <c r="D102" s="64"/>
      <c r="E102" s="64"/>
      <c r="F102" s="64"/>
      <c r="G102" s="64"/>
      <c r="H102" s="64"/>
      <c r="I102" s="64"/>
      <c r="J102" s="64"/>
      <c r="K102" s="64"/>
      <c r="L102" s="64"/>
      <c r="M102" s="64"/>
    </row>
    <row r="103" customFormat="false" ht="15.75" hidden="false" customHeight="true" outlineLevel="0" collapsed="false">
      <c r="A103" s="550"/>
      <c r="B103" s="550"/>
      <c r="C103" s="550"/>
      <c r="D103" s="64"/>
      <c r="E103" s="64"/>
      <c r="F103" s="64"/>
      <c r="G103" s="64"/>
      <c r="H103" s="64"/>
      <c r="I103" s="64"/>
      <c r="J103" s="64"/>
      <c r="K103" s="64"/>
      <c r="L103" s="64"/>
      <c r="M103" s="64"/>
    </row>
    <row r="104" customFormat="false" ht="15.75" hidden="false" customHeight="true" outlineLevel="0" collapsed="false">
      <c r="A104" s="550"/>
      <c r="B104" s="550"/>
      <c r="C104" s="550"/>
      <c r="D104" s="64"/>
      <c r="E104" s="64"/>
      <c r="F104" s="64"/>
      <c r="G104" s="64"/>
      <c r="H104" s="64"/>
      <c r="I104" s="64"/>
      <c r="J104" s="64"/>
      <c r="K104" s="64"/>
      <c r="L104" s="64"/>
      <c r="M104" s="64"/>
    </row>
    <row r="105" customFormat="false" ht="15.75" hidden="false" customHeight="true" outlineLevel="0" collapsed="false">
      <c r="A105" s="550"/>
      <c r="B105" s="550"/>
      <c r="C105" s="550"/>
      <c r="D105" s="64"/>
      <c r="E105" s="64"/>
      <c r="F105" s="64"/>
      <c r="G105" s="64"/>
      <c r="H105" s="64"/>
      <c r="I105" s="64"/>
      <c r="J105" s="64"/>
      <c r="K105" s="64"/>
      <c r="L105" s="64"/>
      <c r="M105" s="64"/>
    </row>
    <row r="106" customFormat="false" ht="15.75" hidden="false" customHeight="true" outlineLevel="0" collapsed="false">
      <c r="A106" s="550"/>
      <c r="B106" s="550"/>
      <c r="C106" s="550"/>
      <c r="D106" s="64"/>
      <c r="E106" s="64"/>
      <c r="F106" s="64"/>
      <c r="G106" s="64"/>
      <c r="H106" s="64"/>
      <c r="I106" s="64"/>
      <c r="J106" s="64"/>
      <c r="K106" s="64"/>
      <c r="L106" s="64"/>
      <c r="M106" s="64"/>
    </row>
    <row r="107" customFormat="false" ht="15.75" hidden="false" customHeight="true" outlineLevel="0" collapsed="false">
      <c r="A107" s="550"/>
      <c r="B107" s="550"/>
      <c r="C107" s="550"/>
      <c r="D107" s="64"/>
      <c r="E107" s="64"/>
      <c r="F107" s="64"/>
      <c r="G107" s="64"/>
      <c r="H107" s="64"/>
      <c r="I107" s="64"/>
      <c r="J107" s="64"/>
      <c r="K107" s="64"/>
      <c r="L107" s="64"/>
      <c r="M107" s="64"/>
    </row>
    <row r="108" customFormat="false" ht="15.75" hidden="false" customHeight="true" outlineLevel="0" collapsed="false">
      <c r="A108" s="550"/>
      <c r="B108" s="550"/>
      <c r="C108" s="550"/>
      <c r="D108" s="64"/>
      <c r="E108" s="64"/>
      <c r="F108" s="64"/>
      <c r="G108" s="64"/>
      <c r="H108" s="64"/>
      <c r="I108" s="64"/>
      <c r="J108" s="64"/>
      <c r="K108" s="64"/>
      <c r="L108" s="64"/>
      <c r="M108" s="64"/>
    </row>
    <row r="109" customFormat="false" ht="15.75" hidden="false" customHeight="true" outlineLevel="0" collapsed="false">
      <c r="A109" s="550"/>
      <c r="B109" s="550"/>
      <c r="C109" s="550"/>
      <c r="D109" s="64"/>
      <c r="E109" s="64"/>
      <c r="F109" s="64"/>
      <c r="G109" s="64"/>
      <c r="H109" s="64"/>
      <c r="I109" s="64"/>
      <c r="J109" s="64"/>
      <c r="K109" s="64"/>
      <c r="L109" s="64"/>
      <c r="M109" s="64"/>
    </row>
    <row r="110" customFormat="false" ht="15.75" hidden="false" customHeight="true" outlineLevel="0" collapsed="false">
      <c r="A110" s="550"/>
      <c r="B110" s="550"/>
      <c r="C110" s="550"/>
      <c r="D110" s="64"/>
      <c r="E110" s="64"/>
      <c r="F110" s="64"/>
      <c r="G110" s="64"/>
      <c r="H110" s="64"/>
      <c r="I110" s="64"/>
      <c r="J110" s="64"/>
      <c r="K110" s="64"/>
      <c r="L110" s="64"/>
      <c r="M110" s="64"/>
    </row>
    <row r="111" customFormat="false" ht="15.75" hidden="false" customHeight="true" outlineLevel="0" collapsed="false">
      <c r="A111" s="550"/>
      <c r="B111" s="550"/>
      <c r="C111" s="550"/>
      <c r="D111" s="64"/>
      <c r="E111" s="64"/>
      <c r="F111" s="64"/>
      <c r="G111" s="64"/>
      <c r="H111" s="64"/>
      <c r="I111" s="64"/>
      <c r="J111" s="64"/>
      <c r="K111" s="64"/>
      <c r="L111" s="64"/>
      <c r="M111" s="64"/>
    </row>
    <row r="112" customFormat="false" ht="15.75" hidden="false" customHeight="true" outlineLevel="0" collapsed="false">
      <c r="A112" s="550"/>
      <c r="B112" s="550"/>
      <c r="C112" s="550"/>
      <c r="D112" s="64"/>
      <c r="E112" s="64"/>
      <c r="F112" s="64"/>
      <c r="G112" s="64"/>
      <c r="H112" s="64"/>
      <c r="I112" s="64"/>
      <c r="J112" s="64"/>
      <c r="K112" s="64"/>
      <c r="L112" s="64"/>
      <c r="M112" s="64"/>
    </row>
    <row r="113" customFormat="false" ht="15.75" hidden="false" customHeight="true" outlineLevel="0" collapsed="false">
      <c r="A113" s="550"/>
      <c r="B113" s="550"/>
      <c r="C113" s="550"/>
      <c r="D113" s="64"/>
      <c r="E113" s="64"/>
      <c r="F113" s="64"/>
      <c r="G113" s="64"/>
      <c r="H113" s="64"/>
      <c r="I113" s="64"/>
      <c r="J113" s="64"/>
      <c r="K113" s="64"/>
      <c r="L113" s="64"/>
      <c r="M113" s="64"/>
    </row>
    <row r="114" customFormat="false" ht="15.75" hidden="false" customHeight="true" outlineLevel="0" collapsed="false">
      <c r="A114" s="550"/>
      <c r="B114" s="550"/>
      <c r="C114" s="550"/>
      <c r="D114" s="64"/>
      <c r="E114" s="64"/>
      <c r="F114" s="64"/>
      <c r="G114" s="64"/>
      <c r="H114" s="64"/>
      <c r="I114" s="64"/>
      <c r="J114" s="64"/>
      <c r="K114" s="64"/>
      <c r="L114" s="64"/>
      <c r="M114" s="64"/>
    </row>
    <row r="115" customFormat="false" ht="15.75" hidden="false" customHeight="true" outlineLevel="0" collapsed="false">
      <c r="A115" s="550"/>
      <c r="B115" s="550"/>
      <c r="C115" s="550"/>
      <c r="D115" s="64"/>
      <c r="E115" s="64"/>
      <c r="F115" s="64"/>
      <c r="G115" s="64"/>
      <c r="H115" s="64"/>
      <c r="I115" s="64"/>
      <c r="J115" s="64"/>
      <c r="K115" s="64"/>
      <c r="L115" s="64"/>
      <c r="M115" s="64"/>
    </row>
    <row r="116" customFormat="false" ht="15.75" hidden="false" customHeight="true" outlineLevel="0" collapsed="false">
      <c r="A116" s="550"/>
      <c r="B116" s="550"/>
      <c r="C116" s="550"/>
      <c r="D116" s="64"/>
      <c r="E116" s="64"/>
      <c r="F116" s="64"/>
      <c r="G116" s="64"/>
      <c r="H116" s="64"/>
      <c r="I116" s="64"/>
      <c r="J116" s="64"/>
      <c r="K116" s="64"/>
      <c r="L116" s="64"/>
      <c r="M116" s="64"/>
    </row>
    <row r="117" customFormat="false" ht="15.75" hidden="false" customHeight="true" outlineLevel="0" collapsed="false">
      <c r="A117" s="550"/>
      <c r="B117" s="550"/>
      <c r="C117" s="550"/>
      <c r="D117" s="64"/>
      <c r="E117" s="64"/>
      <c r="F117" s="64"/>
      <c r="G117" s="64"/>
      <c r="H117" s="64"/>
      <c r="I117" s="64"/>
      <c r="J117" s="64"/>
      <c r="K117" s="64"/>
      <c r="L117" s="64"/>
      <c r="M117" s="64"/>
    </row>
    <row r="118" customFormat="false" ht="15.75" hidden="false" customHeight="true" outlineLevel="0" collapsed="false">
      <c r="A118" s="550"/>
      <c r="B118" s="550"/>
      <c r="C118" s="550"/>
      <c r="D118" s="64"/>
      <c r="E118" s="64"/>
      <c r="F118" s="64"/>
      <c r="G118" s="64"/>
      <c r="H118" s="64"/>
      <c r="I118" s="64"/>
      <c r="J118" s="64"/>
      <c r="K118" s="64"/>
      <c r="L118" s="64"/>
      <c r="M118" s="64"/>
    </row>
    <row r="119" customFormat="false" ht="15.75" hidden="false" customHeight="true" outlineLevel="0" collapsed="false">
      <c r="A119" s="550"/>
      <c r="B119" s="550"/>
      <c r="C119" s="550"/>
      <c r="D119" s="64"/>
      <c r="E119" s="64"/>
      <c r="F119" s="64"/>
      <c r="G119" s="64"/>
      <c r="H119" s="64"/>
      <c r="I119" s="64"/>
      <c r="J119" s="64"/>
      <c r="K119" s="64"/>
      <c r="L119" s="64"/>
      <c r="M119" s="64"/>
    </row>
    <row r="120" customFormat="false" ht="15.75" hidden="false" customHeight="true" outlineLevel="0" collapsed="false">
      <c r="A120" s="550"/>
      <c r="B120" s="550"/>
      <c r="C120" s="550"/>
      <c r="D120" s="64"/>
      <c r="E120" s="64"/>
      <c r="F120" s="64"/>
      <c r="G120" s="64"/>
      <c r="H120" s="64"/>
      <c r="I120" s="64"/>
      <c r="J120" s="64"/>
      <c r="K120" s="64"/>
      <c r="L120" s="64"/>
      <c r="M120" s="64"/>
    </row>
    <row r="121" customFormat="false" ht="15.75" hidden="false" customHeight="true" outlineLevel="0" collapsed="false">
      <c r="A121" s="550"/>
      <c r="B121" s="550"/>
      <c r="C121" s="550"/>
      <c r="D121" s="64"/>
      <c r="E121" s="64"/>
      <c r="F121" s="64"/>
      <c r="G121" s="64"/>
      <c r="H121" s="64"/>
      <c r="I121" s="64"/>
      <c r="J121" s="64"/>
      <c r="K121" s="64"/>
      <c r="L121" s="64"/>
      <c r="M121" s="64"/>
    </row>
    <row r="122" customFormat="false" ht="15.75" hidden="false" customHeight="true" outlineLevel="0" collapsed="false">
      <c r="A122" s="550"/>
      <c r="B122" s="550"/>
      <c r="C122" s="550"/>
      <c r="D122" s="64"/>
      <c r="E122" s="64"/>
      <c r="F122" s="64"/>
      <c r="G122" s="64"/>
      <c r="H122" s="64"/>
      <c r="I122" s="64"/>
      <c r="J122" s="64"/>
      <c r="K122" s="64"/>
      <c r="L122" s="64"/>
      <c r="M122" s="64"/>
    </row>
    <row r="123" customFormat="false" ht="15.75" hidden="false" customHeight="true" outlineLevel="0" collapsed="false">
      <c r="A123" s="550"/>
      <c r="B123" s="550"/>
      <c r="C123" s="550"/>
      <c r="D123" s="64"/>
      <c r="E123" s="64"/>
      <c r="F123" s="64"/>
      <c r="G123" s="64"/>
      <c r="H123" s="64"/>
      <c r="I123" s="64"/>
      <c r="J123" s="64"/>
      <c r="K123" s="64"/>
      <c r="L123" s="64"/>
      <c r="M123" s="64"/>
    </row>
    <row r="124" customFormat="false" ht="15.75" hidden="false" customHeight="true" outlineLevel="0" collapsed="false">
      <c r="A124" s="550"/>
      <c r="B124" s="550"/>
      <c r="C124" s="550"/>
      <c r="D124" s="64"/>
      <c r="E124" s="64"/>
      <c r="F124" s="64"/>
      <c r="G124" s="64"/>
      <c r="H124" s="64"/>
      <c r="I124" s="64"/>
      <c r="J124" s="64"/>
      <c r="K124" s="64"/>
      <c r="L124" s="64"/>
      <c r="M124" s="64"/>
    </row>
    <row r="125" customFormat="false" ht="15.75" hidden="false" customHeight="true" outlineLevel="0" collapsed="false">
      <c r="A125" s="550"/>
      <c r="B125" s="550"/>
      <c r="C125" s="550"/>
      <c r="D125" s="64"/>
      <c r="E125" s="64"/>
      <c r="F125" s="64"/>
      <c r="G125" s="64"/>
      <c r="H125" s="64"/>
      <c r="I125" s="64"/>
      <c r="J125" s="64"/>
      <c r="K125" s="64"/>
      <c r="L125" s="64"/>
      <c r="M125" s="64"/>
    </row>
    <row r="126" customFormat="false" ht="15.75" hidden="false" customHeight="true" outlineLevel="0" collapsed="false">
      <c r="A126" s="550"/>
      <c r="B126" s="550"/>
      <c r="C126" s="550"/>
      <c r="D126" s="64"/>
      <c r="E126" s="64"/>
      <c r="F126" s="64"/>
      <c r="G126" s="64"/>
      <c r="H126" s="64"/>
      <c r="I126" s="64"/>
      <c r="J126" s="64"/>
      <c r="K126" s="64"/>
      <c r="L126" s="64"/>
      <c r="M126" s="64"/>
    </row>
    <row r="127" customFormat="false" ht="15.75" hidden="false" customHeight="true" outlineLevel="0" collapsed="false">
      <c r="A127" s="550"/>
      <c r="B127" s="550"/>
      <c r="C127" s="550"/>
      <c r="D127" s="64"/>
      <c r="E127" s="64"/>
      <c r="F127" s="64"/>
      <c r="G127" s="64"/>
      <c r="H127" s="64"/>
      <c r="I127" s="64"/>
      <c r="J127" s="64"/>
      <c r="K127" s="64"/>
      <c r="L127" s="64"/>
      <c r="M127" s="64"/>
    </row>
    <row r="128" customFormat="false" ht="15.75" hidden="false" customHeight="true" outlineLevel="0" collapsed="false">
      <c r="A128" s="550"/>
      <c r="B128" s="550"/>
      <c r="C128" s="550"/>
      <c r="D128" s="64"/>
      <c r="E128" s="64"/>
      <c r="F128" s="64"/>
      <c r="G128" s="64"/>
      <c r="H128" s="64"/>
      <c r="I128" s="64"/>
      <c r="J128" s="64"/>
      <c r="K128" s="64"/>
      <c r="L128" s="64"/>
      <c r="M128" s="64"/>
    </row>
    <row r="129" customFormat="false" ht="15.75" hidden="false" customHeight="true" outlineLevel="0" collapsed="false">
      <c r="A129" s="550"/>
      <c r="B129" s="550"/>
      <c r="C129" s="550"/>
      <c r="D129" s="64"/>
      <c r="E129" s="64"/>
      <c r="F129" s="64"/>
      <c r="G129" s="64"/>
      <c r="H129" s="64"/>
      <c r="I129" s="64"/>
      <c r="J129" s="64"/>
      <c r="K129" s="64"/>
      <c r="L129" s="64"/>
      <c r="M129" s="64"/>
    </row>
    <row r="130" customFormat="false" ht="15.75" hidden="false" customHeight="true" outlineLevel="0" collapsed="false">
      <c r="A130" s="550"/>
      <c r="B130" s="550"/>
      <c r="C130" s="550"/>
      <c r="D130" s="64"/>
      <c r="E130" s="64"/>
      <c r="F130" s="64"/>
      <c r="G130" s="64"/>
      <c r="H130" s="64"/>
      <c r="I130" s="64"/>
      <c r="J130" s="64"/>
      <c r="K130" s="64"/>
      <c r="L130" s="64"/>
      <c r="M130" s="64"/>
    </row>
    <row r="131" customFormat="false" ht="15.75" hidden="false" customHeight="true" outlineLevel="0" collapsed="false">
      <c r="A131" s="550"/>
      <c r="B131" s="550"/>
      <c r="C131" s="550"/>
      <c r="D131" s="64"/>
      <c r="E131" s="64"/>
      <c r="F131" s="64"/>
      <c r="G131" s="64"/>
      <c r="H131" s="64"/>
      <c r="I131" s="64"/>
      <c r="J131" s="64"/>
      <c r="K131" s="64"/>
      <c r="L131" s="64"/>
      <c r="M131" s="64"/>
    </row>
    <row r="132" customFormat="false" ht="15.75" hidden="false" customHeight="true" outlineLevel="0" collapsed="false">
      <c r="A132" s="550"/>
      <c r="B132" s="550"/>
      <c r="C132" s="550"/>
      <c r="D132" s="64"/>
      <c r="E132" s="64"/>
      <c r="F132" s="64"/>
      <c r="G132" s="64"/>
      <c r="H132" s="64"/>
      <c r="I132" s="64"/>
      <c r="J132" s="64"/>
      <c r="K132" s="64"/>
      <c r="L132" s="64"/>
      <c r="M132" s="64"/>
    </row>
    <row r="133" customFormat="false" ht="15.75" hidden="false" customHeight="true" outlineLevel="0" collapsed="false">
      <c r="A133" s="550"/>
      <c r="B133" s="550"/>
      <c r="C133" s="550"/>
      <c r="D133" s="64"/>
      <c r="E133" s="64"/>
      <c r="F133" s="64"/>
      <c r="G133" s="64"/>
      <c r="H133" s="64"/>
      <c r="I133" s="64"/>
      <c r="J133" s="64"/>
      <c r="K133" s="64"/>
      <c r="L133" s="64"/>
      <c r="M133" s="64"/>
    </row>
    <row r="134" customFormat="false" ht="15.75" hidden="false" customHeight="true" outlineLevel="0" collapsed="false">
      <c r="A134" s="550"/>
      <c r="B134" s="550"/>
      <c r="C134" s="550"/>
      <c r="D134" s="64"/>
      <c r="E134" s="64"/>
      <c r="F134" s="64"/>
      <c r="G134" s="64"/>
      <c r="H134" s="64"/>
      <c r="I134" s="64"/>
      <c r="J134" s="64"/>
      <c r="K134" s="64"/>
      <c r="L134" s="64"/>
      <c r="M134" s="64"/>
    </row>
    <row r="135" customFormat="false" ht="15.75" hidden="false" customHeight="true" outlineLevel="0" collapsed="false">
      <c r="A135" s="550"/>
      <c r="B135" s="550"/>
      <c r="C135" s="550"/>
      <c r="D135" s="64"/>
      <c r="E135" s="64"/>
      <c r="F135" s="64"/>
      <c r="G135" s="64"/>
      <c r="H135" s="64"/>
      <c r="I135" s="64"/>
      <c r="J135" s="64"/>
      <c r="K135" s="64"/>
      <c r="L135" s="64"/>
      <c r="M135" s="64"/>
    </row>
    <row r="136" customFormat="false" ht="15.75" hidden="false" customHeight="true" outlineLevel="0" collapsed="false">
      <c r="A136" s="550"/>
      <c r="B136" s="550"/>
      <c r="C136" s="550"/>
      <c r="D136" s="64"/>
      <c r="E136" s="64"/>
      <c r="F136" s="64"/>
      <c r="G136" s="64"/>
      <c r="H136" s="64"/>
      <c r="I136" s="64"/>
      <c r="J136" s="64"/>
      <c r="K136" s="64"/>
      <c r="L136" s="64"/>
      <c r="M136" s="64"/>
    </row>
    <row r="137" customFormat="false" ht="15.75" hidden="false" customHeight="true" outlineLevel="0" collapsed="false">
      <c r="A137" s="550"/>
      <c r="B137" s="550"/>
      <c r="C137" s="550"/>
      <c r="D137" s="64"/>
      <c r="E137" s="64"/>
      <c r="F137" s="64"/>
      <c r="G137" s="64"/>
      <c r="H137" s="64"/>
      <c r="I137" s="64"/>
      <c r="J137" s="64"/>
      <c r="K137" s="64"/>
      <c r="L137" s="64"/>
      <c r="M137" s="64"/>
    </row>
    <row r="138" customFormat="false" ht="15.75" hidden="false" customHeight="true" outlineLevel="0" collapsed="false">
      <c r="A138" s="550"/>
      <c r="B138" s="550"/>
      <c r="C138" s="550"/>
      <c r="D138" s="64"/>
      <c r="E138" s="64"/>
      <c r="F138" s="64"/>
      <c r="G138" s="64"/>
      <c r="H138" s="64"/>
      <c r="I138" s="64"/>
      <c r="J138" s="64"/>
      <c r="K138" s="64"/>
      <c r="L138" s="64"/>
      <c r="M138" s="64"/>
    </row>
    <row r="139" customFormat="false" ht="15.75" hidden="false" customHeight="true" outlineLevel="0" collapsed="false">
      <c r="A139" s="550"/>
      <c r="B139" s="550"/>
      <c r="C139" s="550"/>
      <c r="D139" s="64"/>
      <c r="E139" s="64"/>
      <c r="F139" s="64"/>
      <c r="G139" s="64"/>
      <c r="H139" s="64"/>
      <c r="I139" s="64"/>
      <c r="J139" s="64"/>
      <c r="K139" s="64"/>
      <c r="L139" s="64"/>
      <c r="M139" s="64"/>
    </row>
    <row r="140" customFormat="false" ht="15.75" hidden="false" customHeight="true" outlineLevel="0" collapsed="false">
      <c r="A140" s="550"/>
      <c r="B140" s="550"/>
      <c r="C140" s="550"/>
      <c r="D140" s="64"/>
      <c r="E140" s="64"/>
      <c r="F140" s="64"/>
      <c r="G140" s="64"/>
      <c r="H140" s="64"/>
      <c r="I140" s="64"/>
      <c r="J140" s="64"/>
      <c r="K140" s="64"/>
      <c r="L140" s="64"/>
      <c r="M140" s="64"/>
    </row>
    <row r="141" customFormat="false" ht="15.75" hidden="false" customHeight="true" outlineLevel="0" collapsed="false">
      <c r="A141" s="550"/>
      <c r="B141" s="550"/>
      <c r="C141" s="550"/>
      <c r="D141" s="64"/>
      <c r="E141" s="64"/>
      <c r="F141" s="64"/>
      <c r="G141" s="64"/>
      <c r="H141" s="64"/>
      <c r="I141" s="64"/>
      <c r="J141" s="64"/>
      <c r="K141" s="64"/>
      <c r="L141" s="64"/>
      <c r="M141" s="64"/>
    </row>
    <row r="142" customFormat="false" ht="15.75" hidden="false" customHeight="true" outlineLevel="0" collapsed="false">
      <c r="A142" s="550"/>
      <c r="B142" s="550"/>
      <c r="C142" s="550"/>
      <c r="D142" s="64"/>
      <c r="E142" s="64"/>
      <c r="F142" s="64"/>
      <c r="G142" s="64"/>
      <c r="H142" s="64"/>
      <c r="I142" s="64"/>
      <c r="J142" s="64"/>
      <c r="K142" s="64"/>
      <c r="L142" s="64"/>
      <c r="M142" s="64"/>
    </row>
    <row r="143" customFormat="false" ht="15.75" hidden="false" customHeight="true" outlineLevel="0" collapsed="false">
      <c r="A143" s="550"/>
      <c r="B143" s="550"/>
      <c r="C143" s="550"/>
      <c r="D143" s="64"/>
      <c r="E143" s="64"/>
      <c r="F143" s="64"/>
      <c r="G143" s="64"/>
      <c r="H143" s="64"/>
      <c r="I143" s="64"/>
      <c r="J143" s="64"/>
      <c r="K143" s="64"/>
      <c r="L143" s="64"/>
      <c r="M143" s="64"/>
    </row>
    <row r="144" customFormat="false" ht="15.75" hidden="false" customHeight="true" outlineLevel="0" collapsed="false">
      <c r="A144" s="550"/>
      <c r="B144" s="550"/>
      <c r="C144" s="550"/>
      <c r="D144" s="64"/>
      <c r="E144" s="64"/>
      <c r="F144" s="64"/>
      <c r="G144" s="64"/>
      <c r="H144" s="64"/>
      <c r="I144" s="64"/>
      <c r="J144" s="64"/>
      <c r="K144" s="64"/>
      <c r="L144" s="64"/>
      <c r="M144" s="64"/>
    </row>
    <row r="145" customFormat="false" ht="15.75" hidden="false" customHeight="true" outlineLevel="0" collapsed="false">
      <c r="A145" s="550"/>
      <c r="B145" s="550"/>
      <c r="C145" s="550"/>
      <c r="D145" s="64"/>
      <c r="E145" s="64"/>
      <c r="F145" s="64"/>
      <c r="G145" s="64"/>
      <c r="H145" s="64"/>
      <c r="I145" s="64"/>
      <c r="J145" s="64"/>
      <c r="K145" s="64"/>
      <c r="L145" s="64"/>
      <c r="M145" s="64"/>
    </row>
    <row r="146" customFormat="false" ht="15.75" hidden="false" customHeight="true" outlineLevel="0" collapsed="false">
      <c r="A146" s="550"/>
      <c r="B146" s="550"/>
      <c r="C146" s="550"/>
      <c r="D146" s="64"/>
      <c r="E146" s="64"/>
      <c r="F146" s="64"/>
      <c r="G146" s="64"/>
      <c r="H146" s="64"/>
      <c r="I146" s="64"/>
      <c r="J146" s="64"/>
      <c r="K146" s="64"/>
      <c r="L146" s="64"/>
      <c r="M146" s="64"/>
    </row>
    <row r="147" customFormat="false" ht="15.75" hidden="false" customHeight="true" outlineLevel="0" collapsed="false">
      <c r="A147" s="550"/>
      <c r="B147" s="550"/>
      <c r="C147" s="550"/>
      <c r="D147" s="64"/>
      <c r="E147" s="64"/>
      <c r="F147" s="64"/>
      <c r="G147" s="64"/>
      <c r="H147" s="64"/>
      <c r="I147" s="64"/>
      <c r="J147" s="64"/>
      <c r="K147" s="64"/>
      <c r="L147" s="64"/>
      <c r="M147" s="64"/>
    </row>
    <row r="148" customFormat="false" ht="15.75" hidden="false" customHeight="true" outlineLevel="0" collapsed="false">
      <c r="A148" s="550"/>
      <c r="B148" s="550"/>
      <c r="C148" s="550"/>
      <c r="D148" s="64"/>
      <c r="E148" s="64"/>
      <c r="F148" s="64"/>
      <c r="G148" s="64"/>
      <c r="H148" s="64"/>
      <c r="I148" s="64"/>
      <c r="J148" s="64"/>
      <c r="K148" s="64"/>
      <c r="L148" s="64"/>
      <c r="M148" s="64"/>
    </row>
    <row r="149" customFormat="false" ht="15.75" hidden="false" customHeight="true" outlineLevel="0" collapsed="false">
      <c r="A149" s="550"/>
      <c r="B149" s="550"/>
      <c r="C149" s="550"/>
      <c r="D149" s="64"/>
      <c r="E149" s="64"/>
      <c r="F149" s="64"/>
      <c r="G149" s="64"/>
      <c r="H149" s="64"/>
      <c r="I149" s="64"/>
      <c r="J149" s="64"/>
      <c r="K149" s="64"/>
      <c r="L149" s="64"/>
      <c r="M149" s="64"/>
    </row>
    <row r="150" customFormat="false" ht="15.75" hidden="false" customHeight="true" outlineLevel="0" collapsed="false">
      <c r="A150" s="550"/>
      <c r="B150" s="550"/>
      <c r="C150" s="550"/>
      <c r="D150" s="64"/>
      <c r="E150" s="64"/>
      <c r="F150" s="64"/>
      <c r="G150" s="64"/>
      <c r="H150" s="64"/>
      <c r="I150" s="64"/>
      <c r="J150" s="64"/>
      <c r="K150" s="64"/>
      <c r="L150" s="64"/>
      <c r="M150" s="64"/>
    </row>
    <row r="151" customFormat="false" ht="15.75" hidden="false" customHeight="true" outlineLevel="0" collapsed="false">
      <c r="A151" s="550"/>
      <c r="B151" s="550"/>
      <c r="C151" s="550"/>
      <c r="D151" s="64"/>
      <c r="E151" s="64"/>
      <c r="F151" s="64"/>
      <c r="G151" s="64"/>
      <c r="H151" s="64"/>
      <c r="I151" s="64"/>
      <c r="J151" s="64"/>
      <c r="K151" s="64"/>
      <c r="L151" s="64"/>
      <c r="M151" s="64"/>
    </row>
    <row r="152" customFormat="false" ht="15.75" hidden="false" customHeight="true" outlineLevel="0" collapsed="false">
      <c r="A152" s="550"/>
      <c r="B152" s="550"/>
      <c r="C152" s="550"/>
      <c r="D152" s="64"/>
      <c r="E152" s="64"/>
      <c r="F152" s="64"/>
      <c r="G152" s="64"/>
      <c r="H152" s="64"/>
      <c r="I152" s="64"/>
      <c r="J152" s="64"/>
      <c r="K152" s="64"/>
      <c r="L152" s="64"/>
      <c r="M152" s="64"/>
    </row>
    <row r="153" customFormat="false" ht="15.75" hidden="false" customHeight="true" outlineLevel="0" collapsed="false">
      <c r="A153" s="550"/>
      <c r="B153" s="550"/>
      <c r="C153" s="550"/>
      <c r="D153" s="64"/>
      <c r="E153" s="64"/>
      <c r="F153" s="64"/>
      <c r="G153" s="64"/>
      <c r="H153" s="64"/>
      <c r="I153" s="64"/>
      <c r="J153" s="64"/>
      <c r="K153" s="64"/>
      <c r="L153" s="64"/>
      <c r="M153" s="64"/>
    </row>
    <row r="154" customFormat="false" ht="15.75" hidden="false" customHeight="true" outlineLevel="0" collapsed="false">
      <c r="A154" s="550"/>
      <c r="B154" s="550"/>
      <c r="C154" s="550"/>
      <c r="D154" s="64"/>
      <c r="E154" s="64"/>
      <c r="F154" s="64"/>
      <c r="G154" s="64"/>
      <c r="H154" s="64"/>
      <c r="I154" s="64"/>
      <c r="J154" s="64"/>
      <c r="K154" s="64"/>
      <c r="L154" s="64"/>
      <c r="M154" s="64"/>
    </row>
    <row r="155" customFormat="false" ht="15.75" hidden="false" customHeight="true" outlineLevel="0" collapsed="false">
      <c r="A155" s="550"/>
      <c r="B155" s="550"/>
      <c r="C155" s="550"/>
      <c r="D155" s="64"/>
      <c r="E155" s="64"/>
      <c r="F155" s="64"/>
      <c r="G155" s="64"/>
      <c r="H155" s="64"/>
      <c r="I155" s="64"/>
      <c r="J155" s="64"/>
      <c r="K155" s="64"/>
      <c r="L155" s="64"/>
      <c r="M155" s="64"/>
    </row>
    <row r="156" customFormat="false" ht="15.75" hidden="false" customHeight="true" outlineLevel="0" collapsed="false">
      <c r="A156" s="550"/>
      <c r="B156" s="550"/>
      <c r="C156" s="550"/>
      <c r="D156" s="64"/>
      <c r="E156" s="64"/>
      <c r="F156" s="64"/>
      <c r="G156" s="64"/>
      <c r="H156" s="64"/>
      <c r="I156" s="64"/>
      <c r="J156" s="64"/>
      <c r="K156" s="64"/>
      <c r="L156" s="64"/>
      <c r="M156" s="64"/>
    </row>
    <row r="157" customFormat="false" ht="15.75" hidden="false" customHeight="true" outlineLevel="0" collapsed="false">
      <c r="A157" s="550"/>
      <c r="B157" s="550"/>
      <c r="C157" s="550"/>
      <c r="D157" s="64"/>
      <c r="E157" s="64"/>
      <c r="F157" s="64"/>
      <c r="G157" s="64"/>
      <c r="H157" s="64"/>
      <c r="I157" s="64"/>
      <c r="J157" s="64"/>
      <c r="K157" s="64"/>
      <c r="L157" s="64"/>
      <c r="M157" s="64"/>
    </row>
    <row r="158" customFormat="false" ht="15.75" hidden="false" customHeight="true" outlineLevel="0" collapsed="false">
      <c r="A158" s="550"/>
      <c r="B158" s="550"/>
      <c r="C158" s="550"/>
      <c r="D158" s="64"/>
      <c r="E158" s="64"/>
      <c r="F158" s="64"/>
      <c r="G158" s="64"/>
      <c r="H158" s="64"/>
      <c r="I158" s="64"/>
      <c r="J158" s="64"/>
      <c r="K158" s="64"/>
      <c r="L158" s="64"/>
      <c r="M158" s="64"/>
    </row>
    <row r="159" customFormat="false" ht="15.75" hidden="false" customHeight="true" outlineLevel="0" collapsed="false">
      <c r="A159" s="550"/>
      <c r="B159" s="550"/>
      <c r="C159" s="550"/>
      <c r="D159" s="64"/>
      <c r="E159" s="64"/>
      <c r="F159" s="64"/>
      <c r="G159" s="64"/>
      <c r="H159" s="64"/>
      <c r="I159" s="64"/>
      <c r="J159" s="64"/>
      <c r="K159" s="64"/>
      <c r="L159" s="64"/>
      <c r="M159" s="64"/>
    </row>
    <row r="160" customFormat="false" ht="15.75" hidden="false" customHeight="true" outlineLevel="0" collapsed="false">
      <c r="A160" s="550"/>
      <c r="B160" s="550"/>
      <c r="C160" s="550"/>
      <c r="D160" s="64"/>
      <c r="E160" s="64"/>
      <c r="F160" s="64"/>
      <c r="G160" s="64"/>
      <c r="H160" s="64"/>
      <c r="I160" s="64"/>
      <c r="J160" s="64"/>
      <c r="K160" s="64"/>
      <c r="L160" s="64"/>
      <c r="M160" s="64"/>
    </row>
    <row r="161" customFormat="false" ht="15.75" hidden="false" customHeight="true" outlineLevel="0" collapsed="false">
      <c r="A161" s="550"/>
      <c r="B161" s="550"/>
      <c r="C161" s="550"/>
      <c r="D161" s="64"/>
      <c r="E161" s="64"/>
      <c r="F161" s="64"/>
      <c r="G161" s="64"/>
      <c r="H161" s="64"/>
      <c r="I161" s="64"/>
      <c r="J161" s="64"/>
      <c r="K161" s="64"/>
      <c r="L161" s="64"/>
      <c r="M161" s="64"/>
    </row>
    <row r="162" customFormat="false" ht="15.75" hidden="false" customHeight="true" outlineLevel="0" collapsed="false">
      <c r="A162" s="550"/>
      <c r="B162" s="550"/>
      <c r="C162" s="550"/>
      <c r="D162" s="64"/>
      <c r="E162" s="64"/>
      <c r="F162" s="64"/>
      <c r="G162" s="64"/>
      <c r="H162" s="64"/>
      <c r="I162" s="64"/>
      <c r="J162" s="64"/>
      <c r="K162" s="64"/>
      <c r="L162" s="64"/>
      <c r="M162" s="64"/>
    </row>
    <row r="163" customFormat="false" ht="15.75" hidden="false" customHeight="true" outlineLevel="0" collapsed="false">
      <c r="A163" s="550"/>
      <c r="B163" s="550"/>
      <c r="C163" s="550"/>
      <c r="D163" s="64"/>
      <c r="E163" s="64"/>
      <c r="F163" s="64"/>
      <c r="G163" s="64"/>
      <c r="H163" s="64"/>
      <c r="I163" s="64"/>
      <c r="J163" s="64"/>
      <c r="K163" s="64"/>
      <c r="L163" s="64"/>
      <c r="M163" s="64"/>
    </row>
    <row r="164" customFormat="false" ht="15.75" hidden="false" customHeight="true" outlineLevel="0" collapsed="false">
      <c r="A164" s="550"/>
      <c r="B164" s="550"/>
      <c r="C164" s="550"/>
      <c r="D164" s="64"/>
      <c r="E164" s="64"/>
      <c r="F164" s="64"/>
      <c r="G164" s="64"/>
      <c r="H164" s="64"/>
      <c r="I164" s="64"/>
      <c r="J164" s="64"/>
      <c r="K164" s="64"/>
      <c r="L164" s="64"/>
      <c r="M164" s="64"/>
    </row>
    <row r="165" customFormat="false" ht="15.75" hidden="false" customHeight="true" outlineLevel="0" collapsed="false">
      <c r="A165" s="550"/>
      <c r="B165" s="550"/>
      <c r="C165" s="550"/>
      <c r="D165" s="64"/>
      <c r="E165" s="64"/>
      <c r="F165" s="64"/>
      <c r="G165" s="64"/>
      <c r="H165" s="64"/>
      <c r="I165" s="64"/>
      <c r="J165" s="64"/>
      <c r="K165" s="64"/>
      <c r="L165" s="64"/>
      <c r="M165" s="64"/>
    </row>
    <row r="166" customFormat="false" ht="15.75" hidden="false" customHeight="true" outlineLevel="0" collapsed="false">
      <c r="A166" s="550"/>
      <c r="B166" s="550"/>
      <c r="C166" s="550"/>
      <c r="D166" s="64"/>
      <c r="E166" s="64"/>
      <c r="F166" s="64"/>
      <c r="G166" s="64"/>
      <c r="H166" s="64"/>
      <c r="I166" s="64"/>
      <c r="J166" s="64"/>
      <c r="K166" s="64"/>
      <c r="L166" s="64"/>
      <c r="M166" s="64"/>
    </row>
    <row r="167" customFormat="false" ht="15.75" hidden="false" customHeight="true" outlineLevel="0" collapsed="false">
      <c r="A167" s="550"/>
      <c r="B167" s="550"/>
      <c r="C167" s="550"/>
      <c r="D167" s="64"/>
      <c r="E167" s="64"/>
      <c r="F167" s="64"/>
      <c r="G167" s="64"/>
      <c r="H167" s="64"/>
      <c r="I167" s="64"/>
      <c r="J167" s="64"/>
      <c r="K167" s="64"/>
      <c r="L167" s="64"/>
      <c r="M167" s="64"/>
    </row>
    <row r="168" customFormat="false" ht="15.75" hidden="false" customHeight="true" outlineLevel="0" collapsed="false">
      <c r="A168" s="550"/>
      <c r="B168" s="550"/>
      <c r="C168" s="550"/>
      <c r="D168" s="64"/>
      <c r="E168" s="64"/>
      <c r="F168" s="64"/>
      <c r="G168" s="64"/>
      <c r="H168" s="64"/>
      <c r="I168" s="64"/>
      <c r="J168" s="64"/>
      <c r="K168" s="64"/>
      <c r="L168" s="64"/>
      <c r="M168" s="64"/>
    </row>
    <row r="169" customFormat="false" ht="15.75" hidden="false" customHeight="true" outlineLevel="0" collapsed="false">
      <c r="A169" s="550"/>
      <c r="B169" s="550"/>
      <c r="C169" s="550"/>
      <c r="D169" s="64"/>
      <c r="E169" s="64"/>
      <c r="F169" s="64"/>
      <c r="G169" s="64"/>
      <c r="H169" s="64"/>
      <c r="I169" s="64"/>
      <c r="J169" s="64"/>
      <c r="K169" s="64"/>
      <c r="L169" s="64"/>
      <c r="M169" s="64"/>
    </row>
    <row r="170" customFormat="false" ht="15.75" hidden="false" customHeight="true" outlineLevel="0" collapsed="false">
      <c r="A170" s="550"/>
      <c r="B170" s="550"/>
      <c r="C170" s="550"/>
      <c r="D170" s="64"/>
      <c r="E170" s="64"/>
      <c r="F170" s="64"/>
      <c r="G170" s="64"/>
      <c r="H170" s="64"/>
      <c r="I170" s="64"/>
      <c r="J170" s="64"/>
      <c r="K170" s="64"/>
      <c r="L170" s="64"/>
      <c r="M170" s="64"/>
    </row>
    <row r="171" customFormat="false" ht="15.75" hidden="false" customHeight="true" outlineLevel="0" collapsed="false">
      <c r="A171" s="550"/>
      <c r="B171" s="550"/>
      <c r="C171" s="550"/>
      <c r="D171" s="64"/>
      <c r="E171" s="64"/>
      <c r="F171" s="64"/>
      <c r="G171" s="64"/>
      <c r="H171" s="64"/>
      <c r="I171" s="64"/>
      <c r="J171" s="64"/>
      <c r="K171" s="64"/>
      <c r="L171" s="64"/>
      <c r="M171" s="64"/>
    </row>
    <row r="172" customFormat="false" ht="15.75" hidden="false" customHeight="true" outlineLevel="0" collapsed="false">
      <c r="A172" s="550"/>
      <c r="B172" s="550"/>
      <c r="C172" s="550"/>
      <c r="D172" s="64"/>
      <c r="E172" s="64"/>
      <c r="F172" s="64"/>
      <c r="G172" s="64"/>
      <c r="H172" s="64"/>
      <c r="I172" s="64"/>
      <c r="J172" s="64"/>
      <c r="K172" s="64"/>
      <c r="L172" s="64"/>
      <c r="M172" s="64"/>
    </row>
    <row r="173" customFormat="false" ht="15.75" hidden="false" customHeight="true" outlineLevel="0" collapsed="false">
      <c r="A173" s="550"/>
      <c r="B173" s="550"/>
      <c r="C173" s="550"/>
      <c r="D173" s="64"/>
      <c r="E173" s="64"/>
      <c r="F173" s="64"/>
      <c r="G173" s="64"/>
      <c r="H173" s="64"/>
      <c r="I173" s="64"/>
      <c r="J173" s="64"/>
      <c r="K173" s="64"/>
      <c r="L173" s="64"/>
      <c r="M173" s="64"/>
    </row>
    <row r="174" customFormat="false" ht="15.75" hidden="false" customHeight="true" outlineLevel="0" collapsed="false">
      <c r="A174" s="550"/>
      <c r="B174" s="550"/>
      <c r="C174" s="550"/>
      <c r="D174" s="64"/>
      <c r="E174" s="64"/>
      <c r="F174" s="64"/>
      <c r="G174" s="64"/>
      <c r="H174" s="64"/>
      <c r="I174" s="64"/>
      <c r="J174" s="64"/>
      <c r="K174" s="64"/>
      <c r="L174" s="64"/>
      <c r="M174" s="64"/>
    </row>
    <row r="175" customFormat="false" ht="15.75" hidden="false" customHeight="true" outlineLevel="0" collapsed="false">
      <c r="A175" s="550"/>
      <c r="B175" s="550"/>
      <c r="C175" s="550"/>
      <c r="D175" s="64"/>
      <c r="E175" s="64"/>
      <c r="F175" s="64"/>
      <c r="G175" s="64"/>
      <c r="H175" s="64"/>
      <c r="I175" s="64"/>
      <c r="J175" s="64"/>
      <c r="K175" s="64"/>
      <c r="L175" s="64"/>
      <c r="M175" s="64"/>
    </row>
    <row r="176" customFormat="false" ht="15.75" hidden="false" customHeight="true" outlineLevel="0" collapsed="false">
      <c r="A176" s="550"/>
      <c r="B176" s="550"/>
      <c r="C176" s="550"/>
      <c r="D176" s="64"/>
      <c r="E176" s="64"/>
      <c r="F176" s="64"/>
      <c r="G176" s="64"/>
      <c r="H176" s="64"/>
      <c r="I176" s="64"/>
      <c r="J176" s="64"/>
      <c r="K176" s="64"/>
      <c r="L176" s="64"/>
      <c r="M176" s="64"/>
    </row>
    <row r="177" customFormat="false" ht="15.75" hidden="false" customHeight="true" outlineLevel="0" collapsed="false">
      <c r="A177" s="550"/>
      <c r="B177" s="550"/>
      <c r="C177" s="550"/>
      <c r="D177" s="64"/>
      <c r="E177" s="64"/>
      <c r="F177" s="64"/>
      <c r="G177" s="64"/>
      <c r="H177" s="64"/>
      <c r="I177" s="64"/>
      <c r="J177" s="64"/>
      <c r="K177" s="64"/>
      <c r="L177" s="64"/>
      <c r="M177" s="64"/>
    </row>
    <row r="178" customFormat="false" ht="15.75" hidden="false" customHeight="true" outlineLevel="0" collapsed="false">
      <c r="A178" s="550"/>
      <c r="B178" s="550"/>
      <c r="C178" s="550"/>
      <c r="D178" s="64"/>
      <c r="E178" s="64"/>
      <c r="F178" s="64"/>
      <c r="G178" s="64"/>
      <c r="H178" s="64"/>
      <c r="I178" s="64"/>
      <c r="J178" s="64"/>
      <c r="K178" s="64"/>
      <c r="L178" s="64"/>
      <c r="M178" s="64"/>
    </row>
    <row r="179" customFormat="false" ht="15.75" hidden="false" customHeight="true" outlineLevel="0" collapsed="false">
      <c r="A179" s="550"/>
      <c r="B179" s="550"/>
      <c r="C179" s="550"/>
      <c r="D179" s="64"/>
      <c r="E179" s="64"/>
      <c r="F179" s="64"/>
      <c r="G179" s="64"/>
      <c r="H179" s="64"/>
      <c r="I179" s="64"/>
      <c r="J179" s="64"/>
      <c r="K179" s="64"/>
      <c r="L179" s="64"/>
      <c r="M179" s="64"/>
    </row>
    <row r="180" customFormat="false" ht="15.75" hidden="false" customHeight="true" outlineLevel="0" collapsed="false">
      <c r="A180" s="550"/>
      <c r="B180" s="550"/>
      <c r="C180" s="550"/>
      <c r="D180" s="64"/>
      <c r="E180" s="64"/>
      <c r="F180" s="64"/>
      <c r="G180" s="64"/>
      <c r="H180" s="64"/>
      <c r="I180" s="64"/>
      <c r="J180" s="64"/>
      <c r="K180" s="64"/>
      <c r="L180" s="64"/>
      <c r="M180" s="64"/>
    </row>
    <row r="181" customFormat="false" ht="15.75" hidden="false" customHeight="true" outlineLevel="0" collapsed="false">
      <c r="A181" s="550"/>
      <c r="B181" s="550"/>
      <c r="C181" s="550"/>
      <c r="D181" s="64"/>
      <c r="E181" s="64"/>
      <c r="F181" s="64"/>
      <c r="G181" s="64"/>
      <c r="H181" s="64"/>
      <c r="I181" s="64"/>
      <c r="J181" s="64"/>
      <c r="K181" s="64"/>
      <c r="L181" s="64"/>
      <c r="M181" s="64"/>
    </row>
    <row r="182" customFormat="false" ht="15.75" hidden="false" customHeight="true" outlineLevel="0" collapsed="false">
      <c r="A182" s="550"/>
      <c r="B182" s="550"/>
      <c r="C182" s="550"/>
      <c r="D182" s="64"/>
      <c r="E182" s="64"/>
      <c r="F182" s="64"/>
      <c r="G182" s="64"/>
      <c r="H182" s="64"/>
      <c r="I182" s="64"/>
      <c r="J182" s="64"/>
      <c r="K182" s="64"/>
      <c r="L182" s="64"/>
      <c r="M182" s="64"/>
    </row>
    <row r="183" customFormat="false" ht="15.75" hidden="false" customHeight="true" outlineLevel="0" collapsed="false">
      <c r="A183" s="550"/>
      <c r="B183" s="550"/>
      <c r="C183" s="550"/>
      <c r="D183" s="64"/>
      <c r="E183" s="64"/>
      <c r="F183" s="64"/>
      <c r="G183" s="64"/>
      <c r="H183" s="64"/>
      <c r="I183" s="64"/>
      <c r="J183" s="64"/>
      <c r="K183" s="64"/>
      <c r="L183" s="64"/>
      <c r="M183" s="64"/>
    </row>
    <row r="184" customFormat="false" ht="15.75" hidden="false" customHeight="true" outlineLevel="0" collapsed="false">
      <c r="A184" s="550"/>
      <c r="B184" s="550"/>
      <c r="C184" s="550"/>
      <c r="D184" s="64"/>
      <c r="E184" s="64"/>
      <c r="F184" s="64"/>
      <c r="G184" s="64"/>
      <c r="H184" s="64"/>
      <c r="I184" s="64"/>
      <c r="J184" s="64"/>
      <c r="K184" s="64"/>
      <c r="L184" s="64"/>
      <c r="M184" s="64"/>
    </row>
    <row r="185" customFormat="false" ht="15.75" hidden="false" customHeight="true" outlineLevel="0" collapsed="false">
      <c r="A185" s="550"/>
      <c r="B185" s="550"/>
      <c r="C185" s="550"/>
      <c r="D185" s="64"/>
      <c r="E185" s="64"/>
      <c r="F185" s="64"/>
      <c r="G185" s="64"/>
      <c r="H185" s="64"/>
      <c r="I185" s="64"/>
      <c r="J185" s="64"/>
      <c r="K185" s="64"/>
      <c r="L185" s="64"/>
      <c r="M185" s="64"/>
    </row>
    <row r="186" customFormat="false" ht="15.75" hidden="false" customHeight="true" outlineLevel="0" collapsed="false">
      <c r="A186" s="550"/>
      <c r="B186" s="550"/>
      <c r="C186" s="550"/>
      <c r="D186" s="64"/>
      <c r="E186" s="64"/>
      <c r="F186" s="64"/>
      <c r="G186" s="64"/>
      <c r="H186" s="64"/>
      <c r="I186" s="64"/>
      <c r="J186" s="64"/>
      <c r="K186" s="64"/>
      <c r="L186" s="64"/>
      <c r="M186" s="64"/>
    </row>
    <row r="187" customFormat="false" ht="15.75" hidden="false" customHeight="true" outlineLevel="0" collapsed="false">
      <c r="A187" s="550"/>
      <c r="B187" s="550"/>
      <c r="C187" s="550"/>
      <c r="D187" s="64"/>
      <c r="E187" s="64"/>
      <c r="F187" s="64"/>
      <c r="G187" s="64"/>
      <c r="H187" s="64"/>
      <c r="I187" s="64"/>
      <c r="J187" s="64"/>
      <c r="K187" s="64"/>
      <c r="L187" s="64"/>
      <c r="M187" s="64"/>
    </row>
    <row r="188" customFormat="false" ht="15.75" hidden="false" customHeight="true" outlineLevel="0" collapsed="false">
      <c r="A188" s="550"/>
      <c r="B188" s="550"/>
      <c r="C188" s="550"/>
      <c r="D188" s="64"/>
      <c r="E188" s="64"/>
      <c r="F188" s="64"/>
      <c r="G188" s="64"/>
      <c r="H188" s="64"/>
      <c r="I188" s="64"/>
      <c r="J188" s="64"/>
      <c r="K188" s="64"/>
      <c r="L188" s="64"/>
      <c r="M188" s="64"/>
    </row>
    <row r="189" customFormat="false" ht="15.75" hidden="false" customHeight="true" outlineLevel="0" collapsed="false">
      <c r="A189" s="550"/>
      <c r="B189" s="550"/>
      <c r="C189" s="550"/>
      <c r="D189" s="64"/>
      <c r="E189" s="64"/>
      <c r="F189" s="64"/>
      <c r="G189" s="64"/>
      <c r="H189" s="64"/>
      <c r="I189" s="64"/>
      <c r="J189" s="64"/>
      <c r="K189" s="64"/>
      <c r="L189" s="64"/>
      <c r="M189" s="64"/>
    </row>
    <row r="190" customFormat="false" ht="15.75" hidden="false" customHeight="true" outlineLevel="0" collapsed="false">
      <c r="A190" s="550"/>
      <c r="B190" s="550"/>
      <c r="C190" s="550"/>
      <c r="D190" s="64"/>
      <c r="E190" s="64"/>
      <c r="F190" s="64"/>
      <c r="G190" s="64"/>
      <c r="H190" s="64"/>
      <c r="I190" s="64"/>
      <c r="J190" s="64"/>
      <c r="K190" s="64"/>
      <c r="L190" s="64"/>
      <c r="M190" s="64"/>
    </row>
    <row r="191" customFormat="false" ht="15.75" hidden="false" customHeight="true" outlineLevel="0" collapsed="false">
      <c r="A191" s="550"/>
      <c r="B191" s="550"/>
      <c r="C191" s="550"/>
      <c r="D191" s="64"/>
      <c r="E191" s="64"/>
      <c r="F191" s="64"/>
      <c r="G191" s="64"/>
      <c r="H191" s="64"/>
      <c r="I191" s="64"/>
      <c r="J191" s="64"/>
      <c r="K191" s="64"/>
      <c r="L191" s="64"/>
      <c r="M191" s="64"/>
    </row>
    <row r="192" customFormat="false" ht="15.75" hidden="false" customHeight="true" outlineLevel="0" collapsed="false">
      <c r="A192" s="550"/>
      <c r="B192" s="550"/>
      <c r="C192" s="550"/>
      <c r="D192" s="64"/>
      <c r="E192" s="64"/>
      <c r="F192" s="64"/>
      <c r="G192" s="64"/>
      <c r="H192" s="64"/>
      <c r="I192" s="64"/>
      <c r="J192" s="64"/>
      <c r="K192" s="64"/>
      <c r="L192" s="64"/>
      <c r="M192" s="64"/>
    </row>
    <row r="193" customFormat="false" ht="15.75" hidden="false" customHeight="true" outlineLevel="0" collapsed="false">
      <c r="A193" s="550"/>
      <c r="B193" s="550"/>
      <c r="C193" s="550"/>
      <c r="D193" s="64"/>
      <c r="E193" s="64"/>
      <c r="F193" s="64"/>
      <c r="G193" s="64"/>
      <c r="H193" s="64"/>
      <c r="I193" s="64"/>
      <c r="J193" s="64"/>
      <c r="K193" s="64"/>
      <c r="L193" s="64"/>
      <c r="M193" s="64"/>
    </row>
    <row r="194" customFormat="false" ht="15.75" hidden="false" customHeight="true" outlineLevel="0" collapsed="false">
      <c r="A194" s="550"/>
      <c r="B194" s="550"/>
      <c r="C194" s="550"/>
      <c r="D194" s="64"/>
      <c r="E194" s="64"/>
      <c r="F194" s="64"/>
      <c r="G194" s="64"/>
      <c r="H194" s="64"/>
      <c r="I194" s="64"/>
      <c r="J194" s="64"/>
      <c r="K194" s="64"/>
      <c r="L194" s="64"/>
      <c r="M194" s="64"/>
    </row>
    <row r="195" customFormat="false" ht="15.75" hidden="false" customHeight="true" outlineLevel="0" collapsed="false">
      <c r="A195" s="550"/>
      <c r="B195" s="550"/>
      <c r="C195" s="550"/>
      <c r="D195" s="64"/>
      <c r="E195" s="64"/>
      <c r="F195" s="64"/>
      <c r="G195" s="64"/>
      <c r="H195" s="64"/>
      <c r="I195" s="64"/>
      <c r="J195" s="64"/>
      <c r="K195" s="64"/>
      <c r="L195" s="64"/>
      <c r="M195" s="64"/>
    </row>
    <row r="196" customFormat="false" ht="15.75" hidden="false" customHeight="true" outlineLevel="0" collapsed="false">
      <c r="A196" s="550"/>
      <c r="B196" s="550"/>
      <c r="C196" s="550"/>
      <c r="D196" s="64"/>
      <c r="E196" s="64"/>
      <c r="F196" s="64"/>
      <c r="G196" s="64"/>
      <c r="H196" s="64"/>
      <c r="I196" s="64"/>
      <c r="J196" s="64"/>
      <c r="K196" s="64"/>
      <c r="L196" s="64"/>
      <c r="M196" s="64"/>
    </row>
    <row r="197" customFormat="false" ht="15.75" hidden="false" customHeight="true" outlineLevel="0" collapsed="false">
      <c r="A197" s="550"/>
      <c r="B197" s="550"/>
      <c r="C197" s="550"/>
      <c r="D197" s="64"/>
      <c r="E197" s="64"/>
      <c r="F197" s="64"/>
      <c r="G197" s="64"/>
      <c r="H197" s="64"/>
      <c r="I197" s="64"/>
      <c r="J197" s="64"/>
      <c r="K197" s="64"/>
      <c r="L197" s="64"/>
      <c r="M197" s="64"/>
    </row>
    <row r="198" customFormat="false" ht="15.75" hidden="false" customHeight="true" outlineLevel="0" collapsed="false">
      <c r="A198" s="550"/>
      <c r="B198" s="550"/>
      <c r="C198" s="550"/>
      <c r="D198" s="64"/>
      <c r="E198" s="64"/>
      <c r="F198" s="64"/>
      <c r="G198" s="64"/>
      <c r="H198" s="64"/>
      <c r="I198" s="64"/>
      <c r="J198" s="64"/>
      <c r="K198" s="64"/>
      <c r="L198" s="64"/>
      <c r="M198" s="64"/>
    </row>
    <row r="199" customFormat="false" ht="15.75" hidden="false" customHeight="true" outlineLevel="0" collapsed="false">
      <c r="A199" s="550"/>
      <c r="B199" s="550"/>
      <c r="C199" s="550"/>
      <c r="D199" s="64"/>
      <c r="E199" s="64"/>
      <c r="F199" s="64"/>
      <c r="G199" s="64"/>
      <c r="H199" s="64"/>
      <c r="I199" s="64"/>
      <c r="J199" s="64"/>
      <c r="K199" s="64"/>
      <c r="L199" s="64"/>
      <c r="M199" s="64"/>
    </row>
    <row r="200" customFormat="false" ht="15.75" hidden="false" customHeight="true" outlineLevel="0" collapsed="false">
      <c r="A200" s="550"/>
      <c r="B200" s="550"/>
      <c r="C200" s="550"/>
      <c r="D200" s="64"/>
      <c r="E200" s="64"/>
      <c r="F200" s="64"/>
      <c r="G200" s="64"/>
      <c r="H200" s="64"/>
      <c r="I200" s="64"/>
      <c r="J200" s="64"/>
      <c r="K200" s="64"/>
      <c r="L200" s="64"/>
      <c r="M200" s="64"/>
    </row>
    <row r="201" customFormat="false" ht="15.75" hidden="false" customHeight="true" outlineLevel="0" collapsed="false">
      <c r="A201" s="550"/>
      <c r="B201" s="550"/>
      <c r="C201" s="550"/>
      <c r="D201" s="64"/>
      <c r="E201" s="64"/>
      <c r="F201" s="64"/>
      <c r="G201" s="64"/>
      <c r="H201" s="64"/>
      <c r="I201" s="64"/>
      <c r="J201" s="64"/>
      <c r="K201" s="64"/>
      <c r="L201" s="64"/>
      <c r="M201" s="64"/>
    </row>
    <row r="202" customFormat="false" ht="15.75" hidden="false" customHeight="true" outlineLevel="0" collapsed="false">
      <c r="A202" s="550"/>
      <c r="B202" s="550"/>
      <c r="C202" s="550"/>
      <c r="D202" s="64"/>
      <c r="E202" s="64"/>
      <c r="F202" s="64"/>
      <c r="G202" s="64"/>
      <c r="H202" s="64"/>
      <c r="I202" s="64"/>
      <c r="J202" s="64"/>
      <c r="K202" s="64"/>
      <c r="L202" s="64"/>
      <c r="M202" s="64"/>
    </row>
    <row r="203" customFormat="false" ht="15.75" hidden="false" customHeight="true" outlineLevel="0" collapsed="false">
      <c r="A203" s="550"/>
      <c r="B203" s="550"/>
      <c r="C203" s="550"/>
      <c r="D203" s="64"/>
      <c r="E203" s="64"/>
      <c r="F203" s="64"/>
      <c r="G203" s="64"/>
      <c r="H203" s="64"/>
      <c r="I203" s="64"/>
      <c r="J203" s="64"/>
      <c r="K203" s="64"/>
      <c r="L203" s="64"/>
      <c r="M203" s="64"/>
    </row>
    <row r="204" customFormat="false" ht="15.75" hidden="false" customHeight="true" outlineLevel="0" collapsed="false">
      <c r="A204" s="550"/>
      <c r="B204" s="550"/>
      <c r="C204" s="550"/>
      <c r="D204" s="64"/>
      <c r="E204" s="64"/>
      <c r="F204" s="64"/>
      <c r="G204" s="64"/>
      <c r="H204" s="64"/>
      <c r="I204" s="64"/>
      <c r="J204" s="64"/>
      <c r="K204" s="64"/>
      <c r="L204" s="64"/>
      <c r="M204" s="64"/>
    </row>
    <row r="205" customFormat="false" ht="15.75" hidden="false" customHeight="true" outlineLevel="0" collapsed="false">
      <c r="A205" s="550"/>
      <c r="B205" s="550"/>
      <c r="C205" s="550"/>
      <c r="D205" s="64"/>
      <c r="E205" s="64"/>
      <c r="F205" s="64"/>
      <c r="G205" s="64"/>
      <c r="H205" s="64"/>
      <c r="I205" s="64"/>
      <c r="J205" s="64"/>
      <c r="K205" s="64"/>
      <c r="L205" s="64"/>
      <c r="M205" s="64"/>
    </row>
    <row r="206" customFormat="false" ht="15.75" hidden="false" customHeight="true" outlineLevel="0" collapsed="false">
      <c r="A206" s="550"/>
      <c r="B206" s="550"/>
      <c r="C206" s="550"/>
      <c r="D206" s="64"/>
      <c r="E206" s="64"/>
      <c r="F206" s="64"/>
      <c r="G206" s="64"/>
      <c r="H206" s="64"/>
      <c r="I206" s="64"/>
      <c r="J206" s="64"/>
      <c r="K206" s="64"/>
      <c r="L206" s="64"/>
      <c r="M206" s="64"/>
    </row>
    <row r="207" customFormat="false" ht="15.75" hidden="false" customHeight="true" outlineLevel="0" collapsed="false">
      <c r="A207" s="550"/>
      <c r="B207" s="550"/>
      <c r="C207" s="550"/>
      <c r="D207" s="64"/>
      <c r="E207" s="64"/>
      <c r="F207" s="64"/>
      <c r="G207" s="64"/>
      <c r="H207" s="64"/>
      <c r="I207" s="64"/>
      <c r="J207" s="64"/>
      <c r="K207" s="64"/>
      <c r="L207" s="64"/>
      <c r="M207" s="64"/>
    </row>
    <row r="208" customFormat="false" ht="15.75" hidden="false" customHeight="true" outlineLevel="0" collapsed="false">
      <c r="A208" s="550"/>
      <c r="B208" s="550"/>
      <c r="C208" s="550"/>
      <c r="D208" s="64"/>
      <c r="E208" s="64"/>
      <c r="F208" s="64"/>
      <c r="G208" s="64"/>
      <c r="H208" s="64"/>
      <c r="I208" s="64"/>
      <c r="J208" s="64"/>
      <c r="K208" s="64"/>
      <c r="L208" s="64"/>
      <c r="M208" s="64"/>
    </row>
    <row r="209" customFormat="false" ht="15.75" hidden="false" customHeight="true" outlineLevel="0" collapsed="false">
      <c r="A209" s="550"/>
      <c r="B209" s="550"/>
      <c r="C209" s="550"/>
      <c r="D209" s="64"/>
      <c r="E209" s="64"/>
      <c r="F209" s="64"/>
      <c r="G209" s="64"/>
      <c r="H209" s="64"/>
      <c r="I209" s="64"/>
      <c r="J209" s="64"/>
      <c r="K209" s="64"/>
      <c r="L209" s="64"/>
      <c r="M209" s="64"/>
    </row>
    <row r="210" customFormat="false" ht="15.75" hidden="false" customHeight="true" outlineLevel="0" collapsed="false">
      <c r="A210" s="550"/>
      <c r="B210" s="550"/>
      <c r="C210" s="550"/>
      <c r="D210" s="64"/>
      <c r="E210" s="64"/>
      <c r="F210" s="64"/>
      <c r="G210" s="64"/>
      <c r="H210" s="64"/>
      <c r="I210" s="64"/>
      <c r="J210" s="64"/>
      <c r="K210" s="64"/>
      <c r="L210" s="64"/>
      <c r="M210" s="64"/>
    </row>
    <row r="211" customFormat="false" ht="15.75" hidden="false" customHeight="true" outlineLevel="0" collapsed="false">
      <c r="A211" s="550"/>
      <c r="B211" s="550"/>
      <c r="C211" s="550"/>
      <c r="D211" s="64"/>
      <c r="E211" s="64"/>
      <c r="F211" s="64"/>
      <c r="G211" s="64"/>
      <c r="H211" s="64"/>
      <c r="I211" s="64"/>
      <c r="J211" s="64"/>
      <c r="K211" s="64"/>
      <c r="L211" s="64"/>
      <c r="M211" s="64"/>
    </row>
    <row r="212" customFormat="false" ht="15.75" hidden="false" customHeight="true" outlineLevel="0" collapsed="false">
      <c r="A212" s="550"/>
      <c r="B212" s="550"/>
      <c r="C212" s="550"/>
      <c r="D212" s="64"/>
      <c r="E212" s="64"/>
      <c r="F212" s="64"/>
      <c r="G212" s="64"/>
      <c r="H212" s="64"/>
      <c r="I212" s="64"/>
      <c r="J212" s="64"/>
      <c r="K212" s="64"/>
      <c r="L212" s="64"/>
      <c r="M212" s="64"/>
    </row>
    <row r="213" customFormat="false" ht="15.75" hidden="false" customHeight="true" outlineLevel="0" collapsed="false">
      <c r="A213" s="550"/>
      <c r="B213" s="550"/>
      <c r="C213" s="550"/>
      <c r="D213" s="64"/>
      <c r="E213" s="64"/>
      <c r="F213" s="64"/>
      <c r="G213" s="64"/>
      <c r="H213" s="64"/>
      <c r="I213" s="64"/>
      <c r="J213" s="64"/>
      <c r="K213" s="64"/>
      <c r="L213" s="64"/>
      <c r="M213" s="64"/>
    </row>
    <row r="214" customFormat="false" ht="15.75" hidden="false" customHeight="true" outlineLevel="0" collapsed="false">
      <c r="A214" s="550"/>
      <c r="B214" s="550"/>
      <c r="C214" s="550"/>
      <c r="D214" s="64"/>
      <c r="E214" s="64"/>
      <c r="F214" s="64"/>
      <c r="G214" s="64"/>
      <c r="H214" s="64"/>
      <c r="I214" s="64"/>
      <c r="J214" s="64"/>
      <c r="K214" s="64"/>
      <c r="L214" s="64"/>
      <c r="M214" s="64"/>
    </row>
    <row r="215" customFormat="false" ht="15.75" hidden="false" customHeight="true" outlineLevel="0" collapsed="false">
      <c r="A215" s="550"/>
      <c r="B215" s="550"/>
      <c r="C215" s="550"/>
      <c r="D215" s="64"/>
      <c r="E215" s="64"/>
      <c r="F215" s="64"/>
      <c r="G215" s="64"/>
      <c r="H215" s="64"/>
      <c r="I215" s="64"/>
      <c r="J215" s="64"/>
      <c r="K215" s="64"/>
      <c r="L215" s="64"/>
      <c r="M215" s="64"/>
    </row>
    <row r="216" customFormat="false" ht="15.75" hidden="false" customHeight="true" outlineLevel="0" collapsed="false">
      <c r="A216" s="550"/>
      <c r="B216" s="550"/>
      <c r="C216" s="550"/>
      <c r="D216" s="64"/>
      <c r="E216" s="64"/>
      <c r="F216" s="64"/>
      <c r="G216" s="64"/>
      <c r="H216" s="64"/>
      <c r="I216" s="64"/>
      <c r="J216" s="64"/>
      <c r="K216" s="64"/>
      <c r="L216" s="64"/>
      <c r="M216" s="64"/>
    </row>
    <row r="217" customFormat="false" ht="15.75" hidden="false" customHeight="true" outlineLevel="0" collapsed="false">
      <c r="A217" s="550"/>
      <c r="B217" s="550"/>
      <c r="C217" s="550"/>
      <c r="D217" s="64"/>
      <c r="E217" s="64"/>
      <c r="F217" s="64"/>
      <c r="G217" s="64"/>
      <c r="H217" s="64"/>
      <c r="I217" s="64"/>
      <c r="J217" s="64"/>
      <c r="K217" s="64"/>
      <c r="L217" s="64"/>
      <c r="M217" s="64"/>
    </row>
    <row r="218" customFormat="false" ht="15.75" hidden="false" customHeight="true" outlineLevel="0" collapsed="false">
      <c r="A218" s="550"/>
      <c r="B218" s="550"/>
      <c r="C218" s="550"/>
      <c r="D218" s="64"/>
      <c r="E218" s="64"/>
      <c r="F218" s="64"/>
      <c r="G218" s="64"/>
      <c r="H218" s="64"/>
      <c r="I218" s="64"/>
      <c r="J218" s="64"/>
      <c r="K218" s="64"/>
      <c r="L218" s="64"/>
      <c r="M218" s="64"/>
    </row>
    <row r="219" customFormat="false" ht="15.75" hidden="false" customHeight="true" outlineLevel="0" collapsed="false">
      <c r="A219" s="550"/>
      <c r="B219" s="550"/>
      <c r="C219" s="550"/>
      <c r="D219" s="64"/>
      <c r="E219" s="64"/>
      <c r="F219" s="64"/>
      <c r="G219" s="64"/>
      <c r="H219" s="64"/>
      <c r="I219" s="64"/>
      <c r="J219" s="64"/>
      <c r="K219" s="64"/>
      <c r="L219" s="64"/>
      <c r="M219" s="64"/>
    </row>
    <row r="220" customFormat="false" ht="15.75" hidden="false" customHeight="true" outlineLevel="0" collapsed="false">
      <c r="A220" s="550"/>
      <c r="B220" s="550"/>
      <c r="C220" s="550"/>
      <c r="D220" s="64"/>
      <c r="E220" s="64"/>
      <c r="F220" s="64"/>
      <c r="G220" s="64"/>
      <c r="H220" s="64"/>
      <c r="I220" s="64"/>
      <c r="J220" s="64"/>
      <c r="K220" s="64"/>
      <c r="L220" s="64"/>
      <c r="M220" s="64"/>
    </row>
    <row r="221" customFormat="false" ht="15.75" hidden="false" customHeight="true" outlineLevel="0" collapsed="false">
      <c r="A221" s="550"/>
      <c r="B221" s="550"/>
      <c r="C221" s="550"/>
      <c r="D221" s="64"/>
      <c r="E221" s="64"/>
      <c r="F221" s="64"/>
      <c r="G221" s="64"/>
      <c r="H221" s="64"/>
      <c r="I221" s="64"/>
      <c r="J221" s="64"/>
      <c r="K221" s="64"/>
      <c r="L221" s="64"/>
      <c r="M221" s="64"/>
    </row>
    <row r="222" customFormat="false" ht="15.75" hidden="false" customHeight="true" outlineLevel="0" collapsed="false">
      <c r="A222" s="550"/>
      <c r="B222" s="550"/>
      <c r="C222" s="550"/>
      <c r="D222" s="64"/>
      <c r="E222" s="64"/>
      <c r="F222" s="64"/>
      <c r="G222" s="64"/>
      <c r="H222" s="64"/>
      <c r="I222" s="64"/>
      <c r="J222" s="64"/>
      <c r="K222" s="64"/>
      <c r="L222" s="64"/>
      <c r="M222" s="64"/>
    </row>
    <row r="223" customFormat="false" ht="15.75" hidden="false" customHeight="true" outlineLevel="0" collapsed="false">
      <c r="A223" s="550"/>
      <c r="B223" s="550"/>
      <c r="C223" s="550"/>
      <c r="D223" s="64"/>
      <c r="E223" s="64"/>
      <c r="F223" s="64"/>
      <c r="G223" s="64"/>
      <c r="H223" s="64"/>
      <c r="I223" s="64"/>
      <c r="J223" s="64"/>
      <c r="K223" s="64"/>
      <c r="L223" s="64"/>
      <c r="M223" s="64"/>
    </row>
    <row r="224" customFormat="false" ht="15.75" hidden="false" customHeight="true" outlineLevel="0" collapsed="false">
      <c r="A224" s="550"/>
      <c r="B224" s="550"/>
      <c r="C224" s="550"/>
      <c r="D224" s="64"/>
      <c r="E224" s="64"/>
      <c r="F224" s="64"/>
      <c r="G224" s="64"/>
      <c r="H224" s="64"/>
      <c r="I224" s="64"/>
      <c r="J224" s="64"/>
      <c r="K224" s="64"/>
      <c r="L224" s="64"/>
      <c r="M224" s="64"/>
    </row>
    <row r="225" customFormat="false" ht="15.75" hidden="false" customHeight="true" outlineLevel="0" collapsed="false">
      <c r="A225" s="550"/>
      <c r="B225" s="550"/>
      <c r="C225" s="550"/>
      <c r="D225" s="64"/>
      <c r="E225" s="64"/>
      <c r="F225" s="64"/>
      <c r="G225" s="64"/>
      <c r="H225" s="64"/>
      <c r="I225" s="64"/>
      <c r="J225" s="64"/>
      <c r="K225" s="64"/>
      <c r="L225" s="64"/>
      <c r="M225" s="64"/>
    </row>
    <row r="226" customFormat="false" ht="15.75" hidden="false" customHeight="true" outlineLevel="0" collapsed="false">
      <c r="A226" s="550"/>
      <c r="B226" s="550"/>
      <c r="C226" s="550"/>
      <c r="D226" s="64"/>
      <c r="E226" s="64"/>
      <c r="F226" s="64"/>
      <c r="G226" s="64"/>
      <c r="H226" s="64"/>
      <c r="I226" s="64"/>
      <c r="J226" s="64"/>
      <c r="K226" s="64"/>
      <c r="L226" s="64"/>
      <c r="M226" s="64"/>
    </row>
    <row r="227" customFormat="false" ht="15.75" hidden="false" customHeight="true" outlineLevel="0" collapsed="false">
      <c r="A227" s="550"/>
      <c r="B227" s="550"/>
      <c r="C227" s="550"/>
      <c r="D227" s="64"/>
      <c r="E227" s="64"/>
      <c r="F227" s="64"/>
      <c r="G227" s="64"/>
      <c r="H227" s="64"/>
      <c r="I227" s="64"/>
      <c r="J227" s="64"/>
      <c r="K227" s="64"/>
      <c r="L227" s="64"/>
      <c r="M227" s="64"/>
    </row>
    <row r="228" customFormat="false" ht="15.75" hidden="false" customHeight="true" outlineLevel="0" collapsed="false">
      <c r="A228" s="550"/>
      <c r="B228" s="550"/>
      <c r="C228" s="550"/>
      <c r="D228" s="64"/>
      <c r="E228" s="64"/>
      <c r="F228" s="64"/>
      <c r="G228" s="64"/>
      <c r="H228" s="64"/>
      <c r="I228" s="64"/>
      <c r="J228" s="64"/>
      <c r="K228" s="64"/>
      <c r="L228" s="64"/>
      <c r="M228" s="64"/>
    </row>
    <row r="229" customFormat="false" ht="15.75" hidden="false" customHeight="true" outlineLevel="0" collapsed="false">
      <c r="A229" s="550"/>
      <c r="B229" s="550"/>
      <c r="C229" s="550"/>
      <c r="D229" s="64"/>
      <c r="E229" s="64"/>
      <c r="F229" s="64"/>
      <c r="G229" s="64"/>
      <c r="H229" s="64"/>
      <c r="I229" s="64"/>
      <c r="J229" s="64"/>
      <c r="K229" s="64"/>
      <c r="L229" s="64"/>
      <c r="M229" s="64"/>
    </row>
    <row r="230" customFormat="false" ht="15.75" hidden="false" customHeight="true" outlineLevel="0" collapsed="false">
      <c r="A230" s="550"/>
      <c r="B230" s="550"/>
      <c r="C230" s="550"/>
      <c r="D230" s="64"/>
      <c r="E230" s="64"/>
      <c r="F230" s="64"/>
      <c r="G230" s="64"/>
      <c r="H230" s="64"/>
      <c r="I230" s="64"/>
      <c r="J230" s="64"/>
      <c r="K230" s="64"/>
      <c r="L230" s="64"/>
      <c r="M230" s="64"/>
    </row>
    <row r="231" customFormat="false" ht="15.75" hidden="false" customHeight="true" outlineLevel="0" collapsed="false">
      <c r="A231" s="550"/>
      <c r="B231" s="550"/>
      <c r="C231" s="550"/>
      <c r="D231" s="64"/>
      <c r="E231" s="64"/>
      <c r="F231" s="64"/>
      <c r="G231" s="64"/>
      <c r="H231" s="64"/>
      <c r="I231" s="64"/>
      <c r="J231" s="64"/>
      <c r="K231" s="64"/>
      <c r="L231" s="64"/>
      <c r="M231" s="64"/>
    </row>
    <row r="232" customFormat="false" ht="15.75" hidden="false" customHeight="true" outlineLevel="0" collapsed="false">
      <c r="A232" s="550"/>
      <c r="B232" s="550"/>
      <c r="C232" s="550"/>
      <c r="D232" s="64"/>
      <c r="E232" s="64"/>
      <c r="F232" s="64"/>
      <c r="G232" s="64"/>
      <c r="H232" s="64"/>
      <c r="I232" s="64"/>
      <c r="J232" s="64"/>
      <c r="K232" s="64"/>
      <c r="L232" s="64"/>
      <c r="M232" s="64"/>
    </row>
    <row r="233" customFormat="false" ht="15.75" hidden="false" customHeight="true" outlineLevel="0" collapsed="false">
      <c r="A233" s="550"/>
      <c r="B233" s="550"/>
      <c r="C233" s="550"/>
      <c r="D233" s="64"/>
      <c r="E233" s="64"/>
      <c r="F233" s="64"/>
      <c r="G233" s="64"/>
      <c r="H233" s="64"/>
      <c r="I233" s="64"/>
      <c r="J233" s="64"/>
      <c r="K233" s="64"/>
      <c r="L233" s="64"/>
      <c r="M233" s="64"/>
    </row>
    <row r="234" customFormat="false" ht="15.75" hidden="false" customHeight="true" outlineLevel="0" collapsed="false">
      <c r="A234" s="550"/>
      <c r="B234" s="550"/>
      <c r="C234" s="550"/>
      <c r="D234" s="64"/>
      <c r="E234" s="64"/>
      <c r="F234" s="64"/>
      <c r="G234" s="64"/>
      <c r="H234" s="64"/>
      <c r="I234" s="64"/>
      <c r="J234" s="64"/>
      <c r="K234" s="64"/>
      <c r="L234" s="64"/>
      <c r="M234" s="64"/>
    </row>
    <row r="235" customFormat="false" ht="15.75" hidden="false" customHeight="true" outlineLevel="0" collapsed="false">
      <c r="A235" s="550"/>
      <c r="B235" s="550"/>
      <c r="C235" s="550"/>
      <c r="D235" s="64"/>
      <c r="E235" s="64"/>
      <c r="F235" s="64"/>
      <c r="G235" s="64"/>
      <c r="H235" s="64"/>
      <c r="I235" s="64"/>
      <c r="J235" s="64"/>
      <c r="K235" s="64"/>
      <c r="L235" s="64"/>
      <c r="M235" s="64"/>
    </row>
    <row r="236" customFormat="false" ht="15.75" hidden="false" customHeight="true" outlineLevel="0" collapsed="false">
      <c r="A236" s="550"/>
      <c r="B236" s="550"/>
      <c r="C236" s="550"/>
      <c r="D236" s="64"/>
      <c r="E236" s="64"/>
      <c r="F236" s="64"/>
      <c r="G236" s="64"/>
      <c r="H236" s="64"/>
      <c r="I236" s="64"/>
      <c r="J236" s="64"/>
      <c r="K236" s="64"/>
      <c r="L236" s="64"/>
      <c r="M236" s="64"/>
    </row>
    <row r="237" customFormat="false" ht="15.75" hidden="false" customHeight="true" outlineLevel="0" collapsed="false">
      <c r="A237" s="550"/>
      <c r="B237" s="550"/>
      <c r="C237" s="550"/>
      <c r="D237" s="64"/>
      <c r="E237" s="64"/>
      <c r="F237" s="64"/>
      <c r="G237" s="64"/>
      <c r="H237" s="64"/>
      <c r="I237" s="64"/>
      <c r="J237" s="64"/>
      <c r="K237" s="64"/>
      <c r="L237" s="64"/>
      <c r="M237" s="64"/>
    </row>
    <row r="238" customFormat="false" ht="15.75" hidden="false" customHeight="true" outlineLevel="0" collapsed="false">
      <c r="A238" s="550"/>
      <c r="B238" s="550"/>
      <c r="C238" s="550"/>
      <c r="D238" s="64"/>
      <c r="E238" s="64"/>
      <c r="F238" s="64"/>
      <c r="G238" s="64"/>
      <c r="H238" s="64"/>
      <c r="I238" s="64"/>
      <c r="J238" s="64"/>
      <c r="K238" s="64"/>
      <c r="L238" s="64"/>
      <c r="M238" s="64"/>
    </row>
    <row r="239" customFormat="false" ht="15.75" hidden="false" customHeight="true" outlineLevel="0" collapsed="false">
      <c r="A239" s="550"/>
      <c r="B239" s="550"/>
      <c r="C239" s="550"/>
      <c r="D239" s="64"/>
      <c r="E239" s="64"/>
      <c r="F239" s="64"/>
      <c r="G239" s="64"/>
      <c r="H239" s="64"/>
      <c r="I239" s="64"/>
      <c r="J239" s="64"/>
      <c r="K239" s="64"/>
      <c r="L239" s="64"/>
      <c r="M239" s="64"/>
    </row>
    <row r="240" customFormat="false" ht="15.75" hidden="false" customHeight="true" outlineLevel="0" collapsed="false">
      <c r="A240" s="550"/>
      <c r="B240" s="550"/>
      <c r="C240" s="550"/>
      <c r="D240" s="64"/>
      <c r="E240" s="64"/>
      <c r="F240" s="64"/>
      <c r="G240" s="64"/>
      <c r="H240" s="64"/>
      <c r="I240" s="64"/>
      <c r="J240" s="64"/>
      <c r="K240" s="64"/>
      <c r="L240" s="64"/>
      <c r="M240" s="64"/>
    </row>
    <row r="241" customFormat="false" ht="15.75" hidden="false" customHeight="true" outlineLevel="0" collapsed="false">
      <c r="A241" s="550"/>
      <c r="B241" s="550"/>
      <c r="C241" s="550"/>
      <c r="D241" s="64"/>
      <c r="E241" s="64"/>
      <c r="F241" s="64"/>
      <c r="G241" s="64"/>
      <c r="H241" s="64"/>
      <c r="I241" s="64"/>
      <c r="J241" s="64"/>
      <c r="K241" s="64"/>
      <c r="L241" s="64"/>
      <c r="M241" s="64"/>
    </row>
    <row r="242" customFormat="false" ht="15.75" hidden="false" customHeight="true" outlineLevel="0" collapsed="false">
      <c r="A242" s="550"/>
      <c r="B242" s="550"/>
      <c r="C242" s="550"/>
      <c r="D242" s="64"/>
      <c r="E242" s="64"/>
      <c r="F242" s="64"/>
      <c r="G242" s="64"/>
      <c r="H242" s="64"/>
      <c r="I242" s="64"/>
      <c r="J242" s="64"/>
      <c r="K242" s="64"/>
      <c r="L242" s="64"/>
      <c r="M242" s="64"/>
    </row>
    <row r="243" customFormat="false" ht="15.75" hidden="false" customHeight="true" outlineLevel="0" collapsed="false">
      <c r="A243" s="550"/>
      <c r="B243" s="550"/>
      <c r="C243" s="550"/>
      <c r="D243" s="64"/>
      <c r="E243" s="64"/>
      <c r="F243" s="64"/>
      <c r="G243" s="64"/>
      <c r="H243" s="64"/>
      <c r="I243" s="64"/>
      <c r="J243" s="64"/>
      <c r="K243" s="64"/>
      <c r="L243" s="64"/>
      <c r="M243" s="64"/>
    </row>
    <row r="244" customFormat="false" ht="15.75" hidden="false" customHeight="true" outlineLevel="0" collapsed="false">
      <c r="A244" s="550"/>
      <c r="B244" s="550"/>
      <c r="C244" s="550"/>
      <c r="D244" s="64"/>
      <c r="E244" s="64"/>
      <c r="F244" s="64"/>
      <c r="G244" s="64"/>
      <c r="H244" s="64"/>
      <c r="I244" s="64"/>
      <c r="J244" s="64"/>
      <c r="K244" s="64"/>
      <c r="L244" s="64"/>
      <c r="M244" s="64"/>
    </row>
    <row r="245" customFormat="false" ht="15.75" hidden="false" customHeight="true" outlineLevel="0" collapsed="false">
      <c r="A245" s="550"/>
      <c r="B245" s="550"/>
      <c r="C245" s="550"/>
      <c r="D245" s="64"/>
      <c r="E245" s="64"/>
      <c r="F245" s="64"/>
      <c r="G245" s="64"/>
      <c r="H245" s="64"/>
      <c r="I245" s="64"/>
      <c r="J245" s="64"/>
      <c r="K245" s="64"/>
      <c r="L245" s="64"/>
      <c r="M245" s="64"/>
    </row>
    <row r="246" customFormat="false" ht="15.75" hidden="false" customHeight="true" outlineLevel="0" collapsed="false">
      <c r="A246" s="550"/>
      <c r="B246" s="550"/>
      <c r="C246" s="550"/>
      <c r="D246" s="64"/>
      <c r="E246" s="64"/>
      <c r="F246" s="64"/>
      <c r="G246" s="64"/>
      <c r="H246" s="64"/>
      <c r="I246" s="64"/>
      <c r="J246" s="64"/>
      <c r="K246" s="64"/>
      <c r="L246" s="64"/>
      <c r="M246" s="64"/>
    </row>
    <row r="247" customFormat="false" ht="15.75" hidden="false" customHeight="true" outlineLevel="0" collapsed="false">
      <c r="A247" s="550"/>
      <c r="B247" s="550"/>
      <c r="C247" s="550"/>
      <c r="D247" s="64"/>
      <c r="E247" s="64"/>
      <c r="F247" s="64"/>
      <c r="G247" s="64"/>
      <c r="H247" s="64"/>
      <c r="I247" s="64"/>
      <c r="J247" s="64"/>
      <c r="K247" s="64"/>
      <c r="L247" s="64"/>
      <c r="M247" s="64"/>
    </row>
    <row r="248" customFormat="false" ht="15.75" hidden="false" customHeight="true" outlineLevel="0" collapsed="false">
      <c r="A248" s="550"/>
      <c r="B248" s="550"/>
      <c r="C248" s="550"/>
      <c r="D248" s="64"/>
      <c r="E248" s="64"/>
      <c r="F248" s="64"/>
      <c r="G248" s="64"/>
      <c r="H248" s="64"/>
      <c r="I248" s="64"/>
      <c r="J248" s="64"/>
      <c r="K248" s="64"/>
      <c r="L248" s="64"/>
      <c r="M248" s="64"/>
    </row>
    <row r="249" customFormat="false" ht="15.75" hidden="false" customHeight="true" outlineLevel="0" collapsed="false">
      <c r="A249" s="550"/>
      <c r="B249" s="550"/>
      <c r="C249" s="550"/>
      <c r="D249" s="64"/>
      <c r="E249" s="64"/>
      <c r="F249" s="64"/>
      <c r="G249" s="64"/>
      <c r="H249" s="64"/>
      <c r="I249" s="64"/>
      <c r="J249" s="64"/>
      <c r="K249" s="64"/>
      <c r="L249" s="64"/>
      <c r="M249" s="64"/>
    </row>
    <row r="250" customFormat="false" ht="15.75" hidden="false" customHeight="true" outlineLevel="0" collapsed="false">
      <c r="A250" s="550"/>
      <c r="B250" s="550"/>
      <c r="C250" s="550"/>
      <c r="D250" s="64"/>
      <c r="E250" s="64"/>
      <c r="F250" s="64"/>
      <c r="G250" s="64"/>
      <c r="H250" s="64"/>
      <c r="I250" s="64"/>
      <c r="J250" s="64"/>
      <c r="K250" s="64"/>
      <c r="L250" s="64"/>
      <c r="M250" s="64"/>
    </row>
    <row r="251" customFormat="false" ht="15.75" hidden="false" customHeight="true" outlineLevel="0" collapsed="false">
      <c r="A251" s="550"/>
      <c r="B251" s="550"/>
      <c r="C251" s="550"/>
      <c r="D251" s="64"/>
      <c r="E251" s="64"/>
      <c r="F251" s="64"/>
      <c r="G251" s="64"/>
      <c r="H251" s="64"/>
      <c r="I251" s="64"/>
      <c r="J251" s="64"/>
      <c r="K251" s="64"/>
      <c r="L251" s="64"/>
      <c r="M251" s="64"/>
    </row>
    <row r="252" customFormat="false" ht="15.75" hidden="false" customHeight="true" outlineLevel="0" collapsed="false">
      <c r="A252" s="550"/>
      <c r="B252" s="550"/>
      <c r="C252" s="550"/>
      <c r="D252" s="64"/>
      <c r="E252" s="64"/>
      <c r="F252" s="64"/>
      <c r="G252" s="64"/>
      <c r="H252" s="64"/>
      <c r="I252" s="64"/>
      <c r="J252" s="64"/>
      <c r="K252" s="64"/>
      <c r="L252" s="64"/>
      <c r="M252" s="64"/>
    </row>
    <row r="253" customFormat="false" ht="15.75" hidden="false" customHeight="true" outlineLevel="0" collapsed="false">
      <c r="A253" s="550"/>
      <c r="B253" s="550"/>
      <c r="C253" s="550"/>
      <c r="D253" s="64"/>
      <c r="E253" s="64"/>
      <c r="F253" s="64"/>
      <c r="G253" s="64"/>
      <c r="H253" s="64"/>
      <c r="I253" s="64"/>
      <c r="J253" s="64"/>
      <c r="K253" s="64"/>
      <c r="L253" s="64"/>
      <c r="M253" s="64"/>
    </row>
    <row r="254" customFormat="false" ht="15.75" hidden="false" customHeight="true" outlineLevel="0" collapsed="false">
      <c r="A254" s="550"/>
      <c r="B254" s="550"/>
      <c r="C254" s="550"/>
      <c r="D254" s="64"/>
      <c r="E254" s="64"/>
      <c r="F254" s="64"/>
      <c r="G254" s="64"/>
      <c r="H254" s="64"/>
      <c r="I254" s="64"/>
      <c r="J254" s="64"/>
      <c r="K254" s="64"/>
      <c r="L254" s="64"/>
      <c r="M254" s="64"/>
    </row>
    <row r="255" customFormat="false" ht="15.75" hidden="false" customHeight="true" outlineLevel="0" collapsed="false">
      <c r="A255" s="550"/>
      <c r="B255" s="550"/>
      <c r="C255" s="550"/>
      <c r="D255" s="64"/>
      <c r="E255" s="64"/>
      <c r="F255" s="64"/>
      <c r="G255" s="64"/>
      <c r="H255" s="64"/>
      <c r="I255" s="64"/>
      <c r="J255" s="64"/>
      <c r="K255" s="64"/>
      <c r="L255" s="64"/>
      <c r="M255" s="64"/>
    </row>
    <row r="256" customFormat="false" ht="15.75" hidden="false" customHeight="true" outlineLevel="0" collapsed="false">
      <c r="A256" s="550"/>
      <c r="B256" s="550"/>
      <c r="C256" s="550"/>
      <c r="D256" s="64"/>
      <c r="E256" s="64"/>
      <c r="F256" s="64"/>
      <c r="G256" s="64"/>
      <c r="H256" s="64"/>
      <c r="I256" s="64"/>
      <c r="J256" s="64"/>
      <c r="K256" s="64"/>
      <c r="L256" s="64"/>
      <c r="M256" s="64"/>
    </row>
    <row r="257" customFormat="false" ht="15.75" hidden="false" customHeight="true" outlineLevel="0" collapsed="false">
      <c r="A257" s="550"/>
      <c r="B257" s="550"/>
      <c r="C257" s="550"/>
      <c r="D257" s="64"/>
      <c r="E257" s="64"/>
      <c r="F257" s="64"/>
      <c r="G257" s="64"/>
      <c r="H257" s="64"/>
      <c r="I257" s="64"/>
      <c r="J257" s="64"/>
      <c r="K257" s="64"/>
      <c r="L257" s="64"/>
      <c r="M257" s="64"/>
    </row>
    <row r="258" customFormat="false" ht="15.75" hidden="false" customHeight="true" outlineLevel="0" collapsed="false">
      <c r="A258" s="550"/>
      <c r="B258" s="550"/>
      <c r="C258" s="550"/>
      <c r="D258" s="64"/>
      <c r="E258" s="64"/>
      <c r="F258" s="64"/>
      <c r="G258" s="64"/>
      <c r="H258" s="64"/>
      <c r="I258" s="64"/>
      <c r="J258" s="64"/>
      <c r="K258" s="64"/>
      <c r="L258" s="64"/>
      <c r="M258" s="64"/>
    </row>
    <row r="259" customFormat="false" ht="15.75" hidden="false" customHeight="true" outlineLevel="0" collapsed="false">
      <c r="A259" s="550"/>
      <c r="B259" s="550"/>
      <c r="C259" s="550"/>
      <c r="D259" s="64"/>
      <c r="E259" s="64"/>
      <c r="F259" s="64"/>
      <c r="G259" s="64"/>
      <c r="H259" s="64"/>
      <c r="I259" s="64"/>
      <c r="J259" s="64"/>
      <c r="K259" s="64"/>
      <c r="L259" s="64"/>
      <c r="M259" s="64"/>
    </row>
    <row r="260" customFormat="false" ht="15.75" hidden="false" customHeight="true" outlineLevel="0" collapsed="false">
      <c r="A260" s="550"/>
      <c r="B260" s="550"/>
      <c r="C260" s="550"/>
      <c r="D260" s="64"/>
      <c r="E260" s="64"/>
      <c r="F260" s="64"/>
      <c r="G260" s="64"/>
      <c r="H260" s="64"/>
      <c r="I260" s="64"/>
      <c r="J260" s="64"/>
      <c r="K260" s="64"/>
      <c r="L260" s="64"/>
      <c r="M260" s="64"/>
    </row>
    <row r="261" customFormat="false" ht="15.75" hidden="false" customHeight="true" outlineLevel="0" collapsed="false">
      <c r="A261" s="550"/>
      <c r="B261" s="550"/>
      <c r="C261" s="550"/>
      <c r="D261" s="64"/>
      <c r="E261" s="64"/>
      <c r="F261" s="64"/>
      <c r="G261" s="64"/>
      <c r="H261" s="64"/>
      <c r="I261" s="64"/>
      <c r="J261" s="64"/>
      <c r="K261" s="64"/>
      <c r="L261" s="64"/>
      <c r="M261" s="64"/>
    </row>
    <row r="262" customFormat="false" ht="15.75" hidden="false" customHeight="true" outlineLevel="0" collapsed="false">
      <c r="A262" s="550"/>
      <c r="B262" s="550"/>
      <c r="C262" s="550"/>
      <c r="D262" s="64"/>
      <c r="E262" s="64"/>
      <c r="F262" s="64"/>
      <c r="G262" s="64"/>
      <c r="H262" s="64"/>
      <c r="I262" s="64"/>
      <c r="J262" s="64"/>
      <c r="K262" s="64"/>
      <c r="L262" s="64"/>
      <c r="M262" s="64"/>
    </row>
    <row r="263" customFormat="false" ht="15.75" hidden="false" customHeight="true" outlineLevel="0" collapsed="false">
      <c r="A263" s="550"/>
      <c r="B263" s="550"/>
      <c r="C263" s="550"/>
      <c r="D263" s="64"/>
      <c r="E263" s="64"/>
      <c r="F263" s="64"/>
      <c r="G263" s="64"/>
      <c r="H263" s="64"/>
      <c r="I263" s="64"/>
      <c r="J263" s="64"/>
      <c r="K263" s="64"/>
      <c r="L263" s="64"/>
      <c r="M263" s="64"/>
    </row>
    <row r="264" customFormat="false" ht="15.75" hidden="false" customHeight="true" outlineLevel="0" collapsed="false">
      <c r="A264" s="550"/>
      <c r="B264" s="550"/>
      <c r="C264" s="550"/>
      <c r="D264" s="64"/>
      <c r="E264" s="64"/>
      <c r="F264" s="64"/>
      <c r="G264" s="64"/>
      <c r="H264" s="64"/>
      <c r="I264" s="64"/>
      <c r="J264" s="64"/>
      <c r="K264" s="64"/>
      <c r="L264" s="64"/>
      <c r="M264" s="64"/>
    </row>
    <row r="265" customFormat="false" ht="15.75" hidden="false" customHeight="true" outlineLevel="0" collapsed="false">
      <c r="A265" s="550"/>
      <c r="B265" s="550"/>
      <c r="C265" s="550"/>
      <c r="D265" s="64"/>
      <c r="E265" s="64"/>
      <c r="F265" s="64"/>
      <c r="G265" s="64"/>
      <c r="H265" s="64"/>
      <c r="I265" s="64"/>
      <c r="J265" s="64"/>
      <c r="K265" s="64"/>
      <c r="L265" s="64"/>
      <c r="M265" s="64"/>
    </row>
    <row r="266" customFormat="false" ht="15.75" hidden="false" customHeight="true" outlineLevel="0" collapsed="false">
      <c r="A266" s="550"/>
      <c r="B266" s="550"/>
      <c r="C266" s="550"/>
      <c r="D266" s="64"/>
      <c r="E266" s="64"/>
      <c r="F266" s="64"/>
      <c r="G266" s="64"/>
      <c r="H266" s="64"/>
      <c r="I266" s="64"/>
      <c r="J266" s="64"/>
      <c r="K266" s="64"/>
      <c r="L266" s="64"/>
      <c r="M266" s="64"/>
    </row>
    <row r="267" customFormat="false" ht="15.75" hidden="false" customHeight="true" outlineLevel="0" collapsed="false">
      <c r="A267" s="550"/>
      <c r="B267" s="550"/>
      <c r="C267" s="550"/>
      <c r="D267" s="64"/>
      <c r="E267" s="64"/>
      <c r="F267" s="64"/>
      <c r="G267" s="64"/>
      <c r="H267" s="64"/>
      <c r="I267" s="64"/>
      <c r="J267" s="64"/>
      <c r="K267" s="64"/>
      <c r="L267" s="64"/>
      <c r="M267" s="64"/>
    </row>
    <row r="268" customFormat="false" ht="15.75" hidden="false" customHeight="true" outlineLevel="0" collapsed="false">
      <c r="A268" s="550"/>
      <c r="B268" s="550"/>
      <c r="C268" s="550"/>
      <c r="D268" s="64"/>
      <c r="E268" s="64"/>
      <c r="F268" s="64"/>
      <c r="G268" s="64"/>
      <c r="H268" s="64"/>
      <c r="I268" s="64"/>
      <c r="J268" s="64"/>
      <c r="K268" s="64"/>
      <c r="L268" s="64"/>
      <c r="M268" s="64"/>
    </row>
    <row r="269" customFormat="false" ht="15.75" hidden="false" customHeight="true" outlineLevel="0" collapsed="false">
      <c r="A269" s="550"/>
      <c r="B269" s="550"/>
      <c r="C269" s="550"/>
      <c r="D269" s="64"/>
      <c r="E269" s="64"/>
      <c r="F269" s="64"/>
      <c r="G269" s="64"/>
      <c r="H269" s="64"/>
      <c r="I269" s="64"/>
      <c r="J269" s="64"/>
      <c r="K269" s="64"/>
      <c r="L269" s="64"/>
      <c r="M269" s="64"/>
    </row>
    <row r="270" customFormat="false" ht="15.75" hidden="false" customHeight="true" outlineLevel="0" collapsed="false">
      <c r="A270" s="550"/>
      <c r="B270" s="550"/>
      <c r="C270" s="550"/>
      <c r="D270" s="64"/>
      <c r="E270" s="64"/>
      <c r="F270" s="64"/>
      <c r="G270" s="64"/>
      <c r="H270" s="64"/>
      <c r="I270" s="64"/>
      <c r="J270" s="64"/>
      <c r="K270" s="64"/>
      <c r="L270" s="64"/>
      <c r="M270" s="64"/>
    </row>
    <row r="271" customFormat="false" ht="15.75" hidden="false" customHeight="true" outlineLevel="0" collapsed="false">
      <c r="A271" s="550"/>
      <c r="B271" s="550"/>
      <c r="C271" s="550"/>
      <c r="D271" s="64"/>
      <c r="E271" s="64"/>
      <c r="F271" s="64"/>
      <c r="G271" s="64"/>
      <c r="H271" s="64"/>
      <c r="I271" s="64"/>
      <c r="J271" s="64"/>
      <c r="K271" s="64"/>
      <c r="L271" s="64"/>
      <c r="M271" s="64"/>
    </row>
    <row r="272" customFormat="false" ht="15.75" hidden="false" customHeight="true" outlineLevel="0" collapsed="false">
      <c r="A272" s="550"/>
      <c r="B272" s="550"/>
      <c r="C272" s="550"/>
      <c r="D272" s="64"/>
      <c r="E272" s="64"/>
      <c r="F272" s="64"/>
      <c r="G272" s="64"/>
      <c r="H272" s="64"/>
      <c r="I272" s="64"/>
      <c r="J272" s="64"/>
      <c r="K272" s="64"/>
      <c r="L272" s="64"/>
      <c r="M272" s="64"/>
    </row>
    <row r="273" customFormat="false" ht="15.75" hidden="false" customHeight="true" outlineLevel="0" collapsed="false">
      <c r="A273" s="550"/>
      <c r="B273" s="550"/>
      <c r="C273" s="550"/>
      <c r="D273" s="64"/>
      <c r="E273" s="64"/>
      <c r="F273" s="64"/>
      <c r="G273" s="64"/>
      <c r="H273" s="64"/>
      <c r="I273" s="64"/>
      <c r="J273" s="64"/>
      <c r="K273" s="64"/>
      <c r="L273" s="64"/>
      <c r="M273" s="64"/>
    </row>
    <row r="274" customFormat="false" ht="15.75" hidden="false" customHeight="true" outlineLevel="0" collapsed="false">
      <c r="A274" s="550"/>
      <c r="B274" s="550"/>
      <c r="C274" s="550"/>
      <c r="D274" s="64"/>
      <c r="E274" s="64"/>
      <c r="F274" s="64"/>
      <c r="G274" s="64"/>
      <c r="H274" s="64"/>
      <c r="I274" s="64"/>
      <c r="J274" s="64"/>
      <c r="K274" s="64"/>
      <c r="L274" s="64"/>
      <c r="M274" s="64"/>
    </row>
    <row r="275" customFormat="false" ht="15.75" hidden="false" customHeight="true" outlineLevel="0" collapsed="false">
      <c r="A275" s="550"/>
      <c r="B275" s="550"/>
      <c r="C275" s="550"/>
      <c r="D275" s="64"/>
      <c r="E275" s="64"/>
      <c r="F275" s="64"/>
      <c r="G275" s="64"/>
      <c r="H275" s="64"/>
      <c r="I275" s="64"/>
      <c r="J275" s="64"/>
      <c r="K275" s="64"/>
      <c r="L275" s="64"/>
      <c r="M275" s="64"/>
    </row>
    <row r="276" customFormat="false" ht="15.75" hidden="false" customHeight="true" outlineLevel="0" collapsed="false">
      <c r="A276" s="550"/>
      <c r="B276" s="550"/>
      <c r="C276" s="550"/>
      <c r="D276" s="64"/>
      <c r="E276" s="64"/>
      <c r="F276" s="64"/>
      <c r="G276" s="64"/>
      <c r="H276" s="64"/>
      <c r="I276" s="64"/>
      <c r="J276" s="64"/>
      <c r="K276" s="64"/>
      <c r="L276" s="64"/>
      <c r="M276" s="64"/>
    </row>
    <row r="277" customFormat="false" ht="15.75" hidden="false" customHeight="true" outlineLevel="0" collapsed="false">
      <c r="A277" s="550"/>
      <c r="B277" s="550"/>
      <c r="C277" s="550"/>
      <c r="D277" s="64"/>
      <c r="E277" s="64"/>
      <c r="F277" s="64"/>
      <c r="G277" s="64"/>
      <c r="H277" s="64"/>
      <c r="I277" s="64"/>
      <c r="J277" s="64"/>
      <c r="K277" s="64"/>
      <c r="L277" s="64"/>
      <c r="M277" s="64"/>
    </row>
    <row r="278" customFormat="false" ht="15.75" hidden="false" customHeight="true" outlineLevel="0" collapsed="false">
      <c r="A278" s="550"/>
      <c r="B278" s="550"/>
      <c r="C278" s="550"/>
      <c r="D278" s="64"/>
      <c r="E278" s="64"/>
      <c r="F278" s="64"/>
      <c r="G278" s="64"/>
      <c r="H278" s="64"/>
      <c r="I278" s="64"/>
      <c r="J278" s="64"/>
      <c r="K278" s="64"/>
      <c r="L278" s="64"/>
      <c r="M278" s="64"/>
    </row>
    <row r="279" customFormat="false" ht="15.75" hidden="false" customHeight="true" outlineLevel="0" collapsed="false">
      <c r="A279" s="550"/>
      <c r="B279" s="550"/>
      <c r="C279" s="550"/>
      <c r="D279" s="64"/>
      <c r="E279" s="64"/>
      <c r="F279" s="64"/>
      <c r="G279" s="64"/>
      <c r="H279" s="64"/>
      <c r="I279" s="64"/>
      <c r="J279" s="64"/>
      <c r="K279" s="64"/>
      <c r="L279" s="64"/>
      <c r="M279" s="64"/>
    </row>
    <row r="280" customFormat="false" ht="15.75" hidden="false" customHeight="true" outlineLevel="0" collapsed="false">
      <c r="A280" s="550"/>
      <c r="B280" s="550"/>
      <c r="C280" s="550"/>
      <c r="D280" s="64"/>
      <c r="E280" s="64"/>
      <c r="F280" s="64"/>
      <c r="G280" s="64"/>
      <c r="H280" s="64"/>
      <c r="I280" s="64"/>
      <c r="J280" s="64"/>
      <c r="K280" s="64"/>
      <c r="L280" s="64"/>
      <c r="M280" s="64"/>
    </row>
    <row r="281" customFormat="false" ht="15.75" hidden="false" customHeight="true" outlineLevel="0" collapsed="false">
      <c r="A281" s="550"/>
      <c r="B281" s="550"/>
      <c r="C281" s="550"/>
      <c r="D281" s="64"/>
      <c r="E281" s="64"/>
      <c r="F281" s="64"/>
      <c r="G281" s="64"/>
      <c r="H281" s="64"/>
      <c r="I281" s="64"/>
      <c r="J281" s="64"/>
      <c r="K281" s="64"/>
      <c r="L281" s="64"/>
      <c r="M281" s="64"/>
    </row>
    <row r="282" customFormat="false" ht="15.75" hidden="false" customHeight="true" outlineLevel="0" collapsed="false">
      <c r="A282" s="550"/>
      <c r="B282" s="550"/>
      <c r="C282" s="550"/>
      <c r="D282" s="64"/>
      <c r="E282" s="64"/>
      <c r="F282" s="64"/>
      <c r="G282" s="64"/>
      <c r="H282" s="64"/>
      <c r="I282" s="64"/>
      <c r="J282" s="64"/>
      <c r="K282" s="64"/>
      <c r="L282" s="64"/>
      <c r="M282" s="64"/>
    </row>
    <row r="283" customFormat="false" ht="15.75" hidden="false" customHeight="true" outlineLevel="0" collapsed="false">
      <c r="A283" s="550"/>
      <c r="B283" s="550"/>
      <c r="C283" s="550"/>
      <c r="D283" s="64"/>
      <c r="E283" s="64"/>
      <c r="F283" s="64"/>
      <c r="G283" s="64"/>
      <c r="H283" s="64"/>
      <c r="I283" s="64"/>
      <c r="J283" s="64"/>
      <c r="K283" s="64"/>
      <c r="L283" s="64"/>
      <c r="M283" s="64"/>
    </row>
    <row r="284" customFormat="false" ht="15.75" hidden="false" customHeight="true" outlineLevel="0" collapsed="false">
      <c r="A284" s="550"/>
      <c r="B284" s="550"/>
      <c r="C284" s="550"/>
      <c r="D284" s="64"/>
      <c r="E284" s="64"/>
      <c r="F284" s="64"/>
      <c r="G284" s="64"/>
      <c r="H284" s="64"/>
      <c r="I284" s="64"/>
      <c r="J284" s="64"/>
      <c r="K284" s="64"/>
      <c r="L284" s="64"/>
      <c r="M284" s="64"/>
    </row>
    <row r="285" customFormat="false" ht="15.75" hidden="false" customHeight="true" outlineLevel="0" collapsed="false">
      <c r="A285" s="550"/>
      <c r="B285" s="550"/>
      <c r="C285" s="550"/>
      <c r="D285" s="64"/>
      <c r="E285" s="64"/>
      <c r="F285" s="64"/>
      <c r="G285" s="64"/>
      <c r="H285" s="64"/>
      <c r="I285" s="64"/>
      <c r="J285" s="64"/>
      <c r="K285" s="64"/>
      <c r="L285" s="64"/>
      <c r="M285" s="64"/>
    </row>
    <row r="286" customFormat="false" ht="15.75" hidden="false" customHeight="true" outlineLevel="0" collapsed="false">
      <c r="A286" s="550"/>
      <c r="B286" s="550"/>
      <c r="C286" s="550"/>
      <c r="D286" s="64"/>
      <c r="E286" s="64"/>
      <c r="F286" s="64"/>
      <c r="G286" s="64"/>
      <c r="H286" s="64"/>
      <c r="I286" s="64"/>
      <c r="J286" s="64"/>
      <c r="K286" s="64"/>
      <c r="L286" s="64"/>
      <c r="M286" s="64"/>
    </row>
    <row r="287" customFormat="false" ht="15.75" hidden="false" customHeight="true" outlineLevel="0" collapsed="false">
      <c r="A287" s="550"/>
      <c r="B287" s="550"/>
      <c r="C287" s="550"/>
      <c r="D287" s="64"/>
      <c r="E287" s="64"/>
      <c r="F287" s="64"/>
      <c r="G287" s="64"/>
      <c r="H287" s="64"/>
      <c r="I287" s="64"/>
      <c r="J287" s="64"/>
      <c r="K287" s="64"/>
      <c r="L287" s="64"/>
      <c r="M287" s="64"/>
    </row>
    <row r="288" customFormat="false" ht="15.75" hidden="false" customHeight="true" outlineLevel="0" collapsed="false">
      <c r="A288" s="550"/>
      <c r="B288" s="550"/>
      <c r="C288" s="550"/>
      <c r="D288" s="64"/>
      <c r="E288" s="64"/>
      <c r="F288" s="64"/>
      <c r="G288" s="64"/>
      <c r="H288" s="64"/>
      <c r="I288" s="64"/>
      <c r="J288" s="64"/>
      <c r="K288" s="64"/>
      <c r="L288" s="64"/>
      <c r="M288" s="64"/>
    </row>
    <row r="289" customFormat="false" ht="15.75" hidden="false" customHeight="true" outlineLevel="0" collapsed="false">
      <c r="A289" s="550"/>
      <c r="B289" s="550"/>
      <c r="C289" s="550"/>
      <c r="D289" s="64"/>
      <c r="E289" s="64"/>
      <c r="F289" s="64"/>
      <c r="G289" s="64"/>
      <c r="H289" s="64"/>
      <c r="I289" s="64"/>
      <c r="J289" s="64"/>
      <c r="K289" s="64"/>
      <c r="L289" s="64"/>
      <c r="M289" s="64"/>
    </row>
    <row r="290" customFormat="false" ht="15.75" hidden="false" customHeight="true" outlineLevel="0" collapsed="false">
      <c r="A290" s="550"/>
      <c r="B290" s="550"/>
      <c r="C290" s="550"/>
      <c r="D290" s="64"/>
      <c r="E290" s="64"/>
      <c r="F290" s="64"/>
      <c r="G290" s="64"/>
      <c r="H290" s="64"/>
      <c r="I290" s="64"/>
      <c r="J290" s="64"/>
      <c r="K290" s="64"/>
      <c r="L290" s="64"/>
      <c r="M290" s="64"/>
    </row>
    <row r="291" customFormat="false" ht="15.75" hidden="false" customHeight="true" outlineLevel="0" collapsed="false">
      <c r="A291" s="550"/>
      <c r="B291" s="550"/>
      <c r="C291" s="550"/>
      <c r="D291" s="64"/>
      <c r="E291" s="64"/>
      <c r="F291" s="64"/>
      <c r="G291" s="64"/>
      <c r="H291" s="64"/>
      <c r="I291" s="64"/>
      <c r="J291" s="64"/>
      <c r="K291" s="64"/>
      <c r="L291" s="64"/>
      <c r="M291" s="64"/>
    </row>
    <row r="292" customFormat="false" ht="15.75" hidden="false" customHeight="true" outlineLevel="0" collapsed="false">
      <c r="A292" s="550"/>
      <c r="B292" s="550"/>
      <c r="C292" s="550"/>
      <c r="D292" s="64"/>
      <c r="E292" s="64"/>
      <c r="F292" s="64"/>
      <c r="G292" s="64"/>
      <c r="H292" s="64"/>
      <c r="I292" s="64"/>
      <c r="J292" s="64"/>
      <c r="K292" s="64"/>
      <c r="L292" s="64"/>
      <c r="M292" s="64"/>
    </row>
    <row r="293" customFormat="false" ht="15.75" hidden="false" customHeight="true" outlineLevel="0" collapsed="false">
      <c r="A293" s="550"/>
      <c r="B293" s="550"/>
      <c r="C293" s="550"/>
      <c r="D293" s="64"/>
      <c r="E293" s="64"/>
      <c r="F293" s="64"/>
      <c r="G293" s="64"/>
      <c r="H293" s="64"/>
      <c r="I293" s="64"/>
      <c r="J293" s="64"/>
      <c r="K293" s="64"/>
      <c r="L293" s="64"/>
      <c r="M293" s="64"/>
    </row>
    <row r="294" customFormat="false" ht="15.75" hidden="false" customHeight="true" outlineLevel="0" collapsed="false">
      <c r="A294" s="550"/>
      <c r="B294" s="550"/>
      <c r="C294" s="550"/>
      <c r="D294" s="64"/>
      <c r="E294" s="64"/>
      <c r="F294" s="64"/>
      <c r="G294" s="64"/>
      <c r="H294" s="64"/>
      <c r="I294" s="64"/>
      <c r="J294" s="64"/>
      <c r="K294" s="64"/>
      <c r="L294" s="64"/>
      <c r="M294" s="64"/>
    </row>
    <row r="295" customFormat="false" ht="15.75" hidden="false" customHeight="true" outlineLevel="0" collapsed="false">
      <c r="A295" s="550"/>
      <c r="B295" s="550"/>
      <c r="C295" s="550"/>
      <c r="D295" s="64"/>
      <c r="E295" s="64"/>
      <c r="F295" s="64"/>
      <c r="G295" s="64"/>
      <c r="H295" s="64"/>
      <c r="I295" s="64"/>
      <c r="J295" s="64"/>
      <c r="K295" s="64"/>
      <c r="L295" s="64"/>
      <c r="M295" s="64"/>
    </row>
    <row r="296" customFormat="false" ht="15.75" hidden="false" customHeight="true" outlineLevel="0" collapsed="false">
      <c r="A296" s="550"/>
      <c r="B296" s="550"/>
      <c r="C296" s="550"/>
      <c r="D296" s="64"/>
      <c r="E296" s="64"/>
      <c r="F296" s="64"/>
      <c r="G296" s="64"/>
      <c r="H296" s="64"/>
      <c r="I296" s="64"/>
      <c r="J296" s="64"/>
      <c r="K296" s="64"/>
      <c r="L296" s="64"/>
      <c r="M296" s="64"/>
    </row>
    <row r="297" customFormat="false" ht="15.75" hidden="false" customHeight="true" outlineLevel="0" collapsed="false">
      <c r="A297" s="550"/>
      <c r="B297" s="550"/>
      <c r="C297" s="550"/>
      <c r="D297" s="64"/>
      <c r="E297" s="64"/>
      <c r="F297" s="64"/>
      <c r="G297" s="64"/>
      <c r="H297" s="64"/>
      <c r="I297" s="64"/>
      <c r="J297" s="64"/>
      <c r="K297" s="64"/>
      <c r="L297" s="64"/>
      <c r="M297" s="64"/>
    </row>
    <row r="298" customFormat="false" ht="15.75" hidden="false" customHeight="true" outlineLevel="0" collapsed="false">
      <c r="A298" s="550"/>
      <c r="B298" s="550"/>
      <c r="C298" s="550"/>
      <c r="D298" s="64"/>
      <c r="E298" s="64"/>
      <c r="F298" s="64"/>
      <c r="G298" s="64"/>
      <c r="H298" s="64"/>
      <c r="I298" s="64"/>
      <c r="J298" s="64"/>
      <c r="K298" s="64"/>
      <c r="L298" s="64"/>
      <c r="M298" s="64"/>
    </row>
    <row r="299" customFormat="false" ht="15.75" hidden="false" customHeight="true" outlineLevel="0" collapsed="false">
      <c r="A299" s="550"/>
      <c r="B299" s="550"/>
      <c r="C299" s="550"/>
      <c r="D299" s="64"/>
      <c r="E299" s="64"/>
      <c r="F299" s="64"/>
      <c r="G299" s="64"/>
      <c r="H299" s="64"/>
      <c r="I299" s="64"/>
      <c r="J299" s="64"/>
      <c r="K299" s="64"/>
      <c r="L299" s="64"/>
      <c r="M299" s="64"/>
    </row>
    <row r="300" customFormat="false" ht="15.75" hidden="false" customHeight="true" outlineLevel="0" collapsed="false">
      <c r="A300" s="550"/>
      <c r="B300" s="550"/>
      <c r="C300" s="550"/>
      <c r="D300" s="64"/>
      <c r="E300" s="64"/>
      <c r="F300" s="64"/>
      <c r="G300" s="64"/>
      <c r="H300" s="64"/>
      <c r="I300" s="64"/>
      <c r="J300" s="64"/>
      <c r="K300" s="64"/>
      <c r="L300" s="64"/>
      <c r="M300" s="64"/>
    </row>
    <row r="301" customFormat="false" ht="15.75" hidden="false" customHeight="true" outlineLevel="0" collapsed="false">
      <c r="A301" s="550"/>
      <c r="B301" s="550"/>
      <c r="C301" s="550"/>
      <c r="D301" s="64"/>
      <c r="E301" s="64"/>
      <c r="F301" s="64"/>
      <c r="G301" s="64"/>
      <c r="H301" s="64"/>
      <c r="I301" s="64"/>
      <c r="J301" s="64"/>
      <c r="K301" s="64"/>
      <c r="L301" s="64"/>
      <c r="M301" s="64"/>
    </row>
    <row r="302" customFormat="false" ht="15.75" hidden="false" customHeight="true" outlineLevel="0" collapsed="false">
      <c r="A302" s="550"/>
      <c r="B302" s="550"/>
      <c r="C302" s="550"/>
      <c r="D302" s="64"/>
      <c r="E302" s="64"/>
      <c r="F302" s="64"/>
      <c r="G302" s="64"/>
      <c r="H302" s="64"/>
      <c r="I302" s="64"/>
      <c r="J302" s="64"/>
      <c r="K302" s="64"/>
      <c r="L302" s="64"/>
      <c r="M302" s="64"/>
    </row>
    <row r="303" customFormat="false" ht="15.75" hidden="false" customHeight="true" outlineLevel="0" collapsed="false">
      <c r="A303" s="550"/>
      <c r="B303" s="550"/>
      <c r="C303" s="550"/>
      <c r="D303" s="64"/>
      <c r="E303" s="64"/>
      <c r="F303" s="64"/>
      <c r="G303" s="64"/>
      <c r="H303" s="64"/>
      <c r="I303" s="64"/>
      <c r="J303" s="64"/>
      <c r="K303" s="64"/>
      <c r="L303" s="64"/>
      <c r="M303" s="64"/>
    </row>
    <row r="304" customFormat="false" ht="15.75" hidden="false" customHeight="true" outlineLevel="0" collapsed="false">
      <c r="A304" s="550"/>
      <c r="B304" s="550"/>
      <c r="C304" s="550"/>
      <c r="D304" s="64"/>
      <c r="E304" s="64"/>
      <c r="F304" s="64"/>
      <c r="G304" s="64"/>
      <c r="H304" s="64"/>
      <c r="I304" s="64"/>
      <c r="J304" s="64"/>
      <c r="K304" s="64"/>
      <c r="L304" s="64"/>
      <c r="M304" s="64"/>
    </row>
    <row r="305" customFormat="false" ht="15.75" hidden="false" customHeight="true" outlineLevel="0" collapsed="false">
      <c r="A305" s="550"/>
      <c r="B305" s="550"/>
      <c r="C305" s="550"/>
      <c r="D305" s="64"/>
      <c r="E305" s="64"/>
      <c r="F305" s="64"/>
      <c r="G305" s="64"/>
      <c r="H305" s="64"/>
      <c r="I305" s="64"/>
      <c r="J305" s="64"/>
      <c r="K305" s="64"/>
      <c r="L305" s="64"/>
      <c r="M305" s="64"/>
    </row>
    <row r="306" customFormat="false" ht="15.75" hidden="false" customHeight="true" outlineLevel="0" collapsed="false">
      <c r="A306" s="550"/>
      <c r="B306" s="550"/>
      <c r="C306" s="550"/>
      <c r="D306" s="64"/>
      <c r="E306" s="64"/>
      <c r="F306" s="64"/>
      <c r="G306" s="64"/>
      <c r="H306" s="64"/>
      <c r="I306" s="64"/>
      <c r="J306" s="64"/>
      <c r="K306" s="64"/>
      <c r="L306" s="64"/>
      <c r="M306" s="64"/>
    </row>
    <row r="307" customFormat="false" ht="15.75" hidden="false" customHeight="true" outlineLevel="0" collapsed="false">
      <c r="A307" s="550"/>
      <c r="B307" s="550"/>
      <c r="C307" s="550"/>
      <c r="D307" s="64"/>
      <c r="E307" s="64"/>
      <c r="F307" s="64"/>
      <c r="G307" s="64"/>
      <c r="H307" s="64"/>
      <c r="I307" s="64"/>
      <c r="J307" s="64"/>
      <c r="K307" s="64"/>
      <c r="L307" s="64"/>
      <c r="M307" s="64"/>
    </row>
    <row r="308" customFormat="false" ht="15.75" hidden="false" customHeight="true" outlineLevel="0" collapsed="false">
      <c r="A308" s="550"/>
      <c r="B308" s="550"/>
      <c r="C308" s="550"/>
      <c r="D308" s="64"/>
      <c r="E308" s="64"/>
      <c r="F308" s="64"/>
      <c r="G308" s="64"/>
      <c r="H308" s="64"/>
      <c r="I308" s="64"/>
      <c r="J308" s="64"/>
      <c r="K308" s="64"/>
      <c r="L308" s="64"/>
      <c r="M308" s="64"/>
    </row>
    <row r="309" customFormat="false" ht="15.75" hidden="false" customHeight="true" outlineLevel="0" collapsed="false">
      <c r="A309" s="550"/>
      <c r="B309" s="550"/>
      <c r="C309" s="550"/>
      <c r="D309" s="64"/>
      <c r="E309" s="64"/>
      <c r="F309" s="64"/>
      <c r="G309" s="64"/>
      <c r="H309" s="64"/>
      <c r="I309" s="64"/>
      <c r="J309" s="64"/>
      <c r="K309" s="64"/>
      <c r="L309" s="64"/>
      <c r="M309" s="64"/>
    </row>
    <row r="310" customFormat="false" ht="15.75" hidden="false" customHeight="true" outlineLevel="0" collapsed="false">
      <c r="A310" s="550"/>
      <c r="B310" s="550"/>
      <c r="C310" s="550"/>
      <c r="D310" s="64"/>
      <c r="E310" s="64"/>
      <c r="F310" s="64"/>
      <c r="G310" s="64"/>
      <c r="H310" s="64"/>
      <c r="I310" s="64"/>
      <c r="J310" s="64"/>
      <c r="K310" s="64"/>
      <c r="L310" s="64"/>
      <c r="M310" s="64"/>
    </row>
    <row r="311" customFormat="false" ht="15.75" hidden="false" customHeight="true" outlineLevel="0" collapsed="false">
      <c r="A311" s="550"/>
      <c r="B311" s="550"/>
      <c r="C311" s="550"/>
      <c r="D311" s="64"/>
      <c r="E311" s="64"/>
      <c r="F311" s="64"/>
      <c r="G311" s="64"/>
      <c r="H311" s="64"/>
      <c r="I311" s="64"/>
      <c r="J311" s="64"/>
      <c r="K311" s="64"/>
      <c r="L311" s="64"/>
      <c r="M311" s="64"/>
    </row>
    <row r="312" customFormat="false" ht="15.75" hidden="false" customHeight="true" outlineLevel="0" collapsed="false">
      <c r="A312" s="550"/>
      <c r="B312" s="550"/>
      <c r="C312" s="550"/>
      <c r="D312" s="64"/>
      <c r="E312" s="64"/>
      <c r="F312" s="64"/>
      <c r="G312" s="64"/>
      <c r="H312" s="64"/>
      <c r="I312" s="64"/>
      <c r="J312" s="64"/>
      <c r="K312" s="64"/>
      <c r="L312" s="64"/>
      <c r="M312" s="64"/>
    </row>
    <row r="313" customFormat="false" ht="15.75" hidden="false" customHeight="true" outlineLevel="0" collapsed="false">
      <c r="A313" s="550"/>
      <c r="B313" s="550"/>
      <c r="C313" s="550"/>
      <c r="D313" s="64"/>
      <c r="E313" s="64"/>
      <c r="F313" s="64"/>
      <c r="G313" s="64"/>
      <c r="H313" s="64"/>
      <c r="I313" s="64"/>
      <c r="J313" s="64"/>
      <c r="K313" s="64"/>
      <c r="L313" s="64"/>
      <c r="M313" s="64"/>
    </row>
    <row r="314" customFormat="false" ht="15.75" hidden="false" customHeight="true" outlineLevel="0" collapsed="false">
      <c r="A314" s="550"/>
      <c r="B314" s="550"/>
      <c r="C314" s="550"/>
      <c r="D314" s="64"/>
      <c r="E314" s="64"/>
      <c r="F314" s="64"/>
      <c r="G314" s="64"/>
      <c r="H314" s="64"/>
      <c r="I314" s="64"/>
      <c r="J314" s="64"/>
      <c r="K314" s="64"/>
      <c r="L314" s="64"/>
      <c r="M314" s="64"/>
    </row>
    <row r="315" customFormat="false" ht="15.75" hidden="false" customHeight="true" outlineLevel="0" collapsed="false">
      <c r="A315" s="550"/>
      <c r="B315" s="550"/>
      <c r="C315" s="550"/>
      <c r="D315" s="64"/>
      <c r="E315" s="64"/>
      <c r="F315" s="64"/>
      <c r="G315" s="64"/>
      <c r="H315" s="64"/>
      <c r="I315" s="64"/>
      <c r="J315" s="64"/>
      <c r="K315" s="64"/>
      <c r="L315" s="64"/>
      <c r="M315" s="64"/>
    </row>
    <row r="316" customFormat="false" ht="15.75" hidden="false" customHeight="true" outlineLevel="0" collapsed="false">
      <c r="A316" s="550"/>
      <c r="B316" s="550"/>
      <c r="C316" s="550"/>
      <c r="D316" s="64"/>
      <c r="E316" s="64"/>
      <c r="F316" s="64"/>
      <c r="G316" s="64"/>
      <c r="H316" s="64"/>
      <c r="I316" s="64"/>
      <c r="J316" s="64"/>
      <c r="K316" s="64"/>
      <c r="L316" s="64"/>
      <c r="M316" s="64"/>
    </row>
    <row r="317" customFormat="false" ht="15.75" hidden="false" customHeight="true" outlineLevel="0" collapsed="false">
      <c r="A317" s="550"/>
      <c r="B317" s="550"/>
      <c r="C317" s="550"/>
      <c r="D317" s="64"/>
      <c r="E317" s="64"/>
      <c r="F317" s="64"/>
      <c r="G317" s="64"/>
      <c r="H317" s="64"/>
      <c r="I317" s="64"/>
      <c r="J317" s="64"/>
      <c r="K317" s="64"/>
      <c r="L317" s="64"/>
      <c r="M317" s="64"/>
    </row>
    <row r="318" customFormat="false" ht="15.75" hidden="false" customHeight="true" outlineLevel="0" collapsed="false">
      <c r="A318" s="550"/>
      <c r="B318" s="550"/>
      <c r="C318" s="550"/>
      <c r="D318" s="64"/>
      <c r="E318" s="64"/>
      <c r="F318" s="64"/>
      <c r="G318" s="64"/>
      <c r="H318" s="64"/>
      <c r="I318" s="64"/>
      <c r="J318" s="64"/>
      <c r="K318" s="64"/>
      <c r="L318" s="64"/>
      <c r="M318" s="64"/>
    </row>
    <row r="319" customFormat="false" ht="15.75" hidden="false" customHeight="true" outlineLevel="0" collapsed="false">
      <c r="A319" s="550"/>
      <c r="B319" s="550"/>
      <c r="C319" s="550"/>
      <c r="D319" s="64"/>
      <c r="E319" s="64"/>
      <c r="F319" s="64"/>
      <c r="G319" s="64"/>
      <c r="H319" s="64"/>
      <c r="I319" s="64"/>
      <c r="J319" s="64"/>
      <c r="K319" s="64"/>
      <c r="L319" s="64"/>
      <c r="M319" s="64"/>
    </row>
    <row r="320" customFormat="false" ht="15.75" hidden="false" customHeight="true" outlineLevel="0" collapsed="false">
      <c r="A320" s="550"/>
      <c r="B320" s="550"/>
      <c r="C320" s="550"/>
      <c r="D320" s="64"/>
      <c r="E320" s="64"/>
      <c r="F320" s="64"/>
      <c r="G320" s="64"/>
      <c r="H320" s="64"/>
      <c r="I320" s="64"/>
      <c r="J320" s="64"/>
      <c r="K320" s="64"/>
      <c r="L320" s="64"/>
      <c r="M320" s="64"/>
    </row>
    <row r="321" customFormat="false" ht="15.75" hidden="false" customHeight="true" outlineLevel="0" collapsed="false">
      <c r="A321" s="550"/>
      <c r="B321" s="550"/>
      <c r="C321" s="550"/>
      <c r="D321" s="64"/>
      <c r="E321" s="64"/>
      <c r="F321" s="64"/>
      <c r="G321" s="64"/>
      <c r="H321" s="64"/>
      <c r="I321" s="64"/>
      <c r="J321" s="64"/>
      <c r="K321" s="64"/>
      <c r="L321" s="64"/>
      <c r="M321" s="64"/>
    </row>
    <row r="322" customFormat="false" ht="15.75" hidden="false" customHeight="true" outlineLevel="0" collapsed="false">
      <c r="A322" s="550"/>
      <c r="B322" s="550"/>
      <c r="C322" s="550"/>
      <c r="D322" s="64"/>
      <c r="E322" s="64"/>
      <c r="F322" s="64"/>
      <c r="G322" s="64"/>
      <c r="H322" s="64"/>
      <c r="I322" s="64"/>
      <c r="J322" s="64"/>
      <c r="K322" s="64"/>
      <c r="L322" s="64"/>
      <c r="M322" s="64"/>
    </row>
    <row r="323" customFormat="false" ht="15.75" hidden="false" customHeight="true" outlineLevel="0" collapsed="false">
      <c r="A323" s="550"/>
      <c r="B323" s="550"/>
      <c r="C323" s="550"/>
      <c r="D323" s="64"/>
      <c r="E323" s="64"/>
      <c r="F323" s="64"/>
      <c r="G323" s="64"/>
      <c r="H323" s="64"/>
      <c r="I323" s="64"/>
      <c r="J323" s="64"/>
      <c r="K323" s="64"/>
      <c r="L323" s="64"/>
      <c r="M323" s="64"/>
    </row>
    <row r="324" customFormat="false" ht="15.75" hidden="false" customHeight="true" outlineLevel="0" collapsed="false">
      <c r="A324" s="550"/>
      <c r="B324" s="550"/>
      <c r="C324" s="550"/>
      <c r="D324" s="64"/>
      <c r="E324" s="64"/>
      <c r="F324" s="64"/>
      <c r="G324" s="64"/>
      <c r="H324" s="64"/>
      <c r="I324" s="64"/>
      <c r="J324" s="64"/>
      <c r="K324" s="64"/>
      <c r="L324" s="64"/>
      <c r="M324" s="64"/>
    </row>
    <row r="325" customFormat="false" ht="15.75" hidden="false" customHeight="true" outlineLevel="0" collapsed="false">
      <c r="A325" s="550"/>
      <c r="B325" s="550"/>
      <c r="C325" s="550"/>
      <c r="D325" s="64"/>
      <c r="E325" s="64"/>
      <c r="F325" s="64"/>
      <c r="G325" s="64"/>
      <c r="H325" s="64"/>
      <c r="I325" s="64"/>
      <c r="J325" s="64"/>
      <c r="K325" s="64"/>
      <c r="L325" s="64"/>
      <c r="M325" s="64"/>
    </row>
    <row r="326" customFormat="false" ht="15.75" hidden="false" customHeight="true" outlineLevel="0" collapsed="false">
      <c r="A326" s="550"/>
      <c r="B326" s="550"/>
      <c r="C326" s="550"/>
      <c r="D326" s="64"/>
      <c r="E326" s="64"/>
      <c r="F326" s="64"/>
      <c r="G326" s="64"/>
      <c r="H326" s="64"/>
      <c r="I326" s="64"/>
      <c r="J326" s="64"/>
      <c r="K326" s="64"/>
      <c r="L326" s="64"/>
      <c r="M326" s="64"/>
    </row>
    <row r="327" customFormat="false" ht="15.75" hidden="false" customHeight="true" outlineLevel="0" collapsed="false">
      <c r="A327" s="550"/>
      <c r="B327" s="550"/>
      <c r="C327" s="550"/>
      <c r="D327" s="64"/>
      <c r="E327" s="64"/>
      <c r="F327" s="64"/>
      <c r="G327" s="64"/>
      <c r="H327" s="64"/>
      <c r="I327" s="64"/>
      <c r="J327" s="64"/>
      <c r="K327" s="64"/>
      <c r="L327" s="64"/>
      <c r="M327" s="64"/>
    </row>
    <row r="328" customFormat="false" ht="15.75" hidden="false" customHeight="true" outlineLevel="0" collapsed="false">
      <c r="A328" s="550"/>
      <c r="B328" s="550"/>
      <c r="C328" s="550"/>
      <c r="D328" s="64"/>
      <c r="E328" s="64"/>
      <c r="F328" s="64"/>
      <c r="G328" s="64"/>
      <c r="H328" s="64"/>
      <c r="I328" s="64"/>
      <c r="J328" s="64"/>
      <c r="K328" s="64"/>
      <c r="L328" s="64"/>
      <c r="M328" s="64"/>
    </row>
    <row r="329" customFormat="false" ht="15.75" hidden="false" customHeight="true" outlineLevel="0" collapsed="false">
      <c r="A329" s="550"/>
      <c r="B329" s="550"/>
      <c r="C329" s="550"/>
      <c r="D329" s="64"/>
      <c r="E329" s="64"/>
      <c r="F329" s="64"/>
      <c r="G329" s="64"/>
      <c r="H329" s="64"/>
      <c r="I329" s="64"/>
      <c r="J329" s="64"/>
      <c r="K329" s="64"/>
      <c r="L329" s="64"/>
      <c r="M329" s="64"/>
    </row>
    <row r="330" customFormat="false" ht="15.75" hidden="false" customHeight="true" outlineLevel="0" collapsed="false">
      <c r="A330" s="550"/>
      <c r="B330" s="550"/>
      <c r="C330" s="550"/>
      <c r="D330" s="64"/>
      <c r="E330" s="64"/>
      <c r="F330" s="64"/>
      <c r="G330" s="64"/>
      <c r="H330" s="64"/>
      <c r="I330" s="64"/>
      <c r="J330" s="64"/>
      <c r="K330" s="64"/>
      <c r="L330" s="64"/>
      <c r="M330" s="64"/>
    </row>
    <row r="331" customFormat="false" ht="15.75" hidden="false" customHeight="true" outlineLevel="0" collapsed="false">
      <c r="A331" s="550"/>
      <c r="B331" s="550"/>
      <c r="C331" s="550"/>
      <c r="D331" s="64"/>
      <c r="E331" s="64"/>
      <c r="F331" s="64"/>
      <c r="G331" s="64"/>
      <c r="H331" s="64"/>
      <c r="I331" s="64"/>
      <c r="J331" s="64"/>
      <c r="K331" s="64"/>
      <c r="L331" s="64"/>
      <c r="M331" s="64"/>
    </row>
    <row r="332" customFormat="false" ht="15.75" hidden="false" customHeight="true" outlineLevel="0" collapsed="false">
      <c r="A332" s="550"/>
      <c r="B332" s="550"/>
      <c r="C332" s="550"/>
      <c r="D332" s="64"/>
      <c r="E332" s="64"/>
      <c r="F332" s="64"/>
      <c r="G332" s="64"/>
      <c r="H332" s="64"/>
      <c r="I332" s="64"/>
      <c r="J332" s="64"/>
      <c r="K332" s="64"/>
      <c r="L332" s="64"/>
      <c r="M332" s="64"/>
    </row>
    <row r="333" customFormat="false" ht="15.75" hidden="false" customHeight="true" outlineLevel="0" collapsed="false">
      <c r="A333" s="550"/>
      <c r="B333" s="550"/>
      <c r="C333" s="550"/>
      <c r="D333" s="64"/>
      <c r="E333" s="64"/>
      <c r="F333" s="64"/>
      <c r="G333" s="64"/>
      <c r="H333" s="64"/>
      <c r="I333" s="64"/>
      <c r="J333" s="64"/>
      <c r="K333" s="64"/>
      <c r="L333" s="64"/>
      <c r="M333" s="64"/>
    </row>
    <row r="334" customFormat="false" ht="15.75" hidden="false" customHeight="true" outlineLevel="0" collapsed="false">
      <c r="A334" s="550"/>
      <c r="B334" s="550"/>
      <c r="C334" s="550"/>
      <c r="D334" s="64"/>
      <c r="E334" s="64"/>
      <c r="F334" s="64"/>
      <c r="G334" s="64"/>
      <c r="H334" s="64"/>
      <c r="I334" s="64"/>
      <c r="J334" s="64"/>
      <c r="K334" s="64"/>
      <c r="L334" s="64"/>
      <c r="M334" s="64"/>
    </row>
    <row r="335" customFormat="false" ht="15.75" hidden="false" customHeight="true" outlineLevel="0" collapsed="false">
      <c r="A335" s="550"/>
      <c r="B335" s="550"/>
      <c r="C335" s="550"/>
      <c r="D335" s="64"/>
      <c r="E335" s="64"/>
      <c r="F335" s="64"/>
      <c r="G335" s="64"/>
      <c r="H335" s="64"/>
      <c r="I335" s="64"/>
      <c r="J335" s="64"/>
      <c r="K335" s="64"/>
      <c r="L335" s="64"/>
      <c r="M335" s="64"/>
    </row>
    <row r="336" customFormat="false" ht="15.75" hidden="false" customHeight="true" outlineLevel="0" collapsed="false">
      <c r="A336" s="550"/>
      <c r="B336" s="550"/>
      <c r="C336" s="550"/>
      <c r="D336" s="64"/>
      <c r="E336" s="64"/>
      <c r="F336" s="64"/>
      <c r="G336" s="64"/>
      <c r="H336" s="64"/>
      <c r="I336" s="64"/>
      <c r="J336" s="64"/>
      <c r="K336" s="64"/>
      <c r="L336" s="64"/>
      <c r="M336" s="64"/>
    </row>
    <row r="337" customFormat="false" ht="15.75" hidden="false" customHeight="true" outlineLevel="0" collapsed="false">
      <c r="A337" s="550"/>
      <c r="B337" s="550"/>
      <c r="C337" s="550"/>
      <c r="D337" s="64"/>
      <c r="E337" s="64"/>
      <c r="F337" s="64"/>
      <c r="G337" s="64"/>
      <c r="H337" s="64"/>
      <c r="I337" s="64"/>
      <c r="J337" s="64"/>
      <c r="K337" s="64"/>
      <c r="L337" s="64"/>
      <c r="M337" s="64"/>
    </row>
    <row r="338" customFormat="false" ht="15.75" hidden="false" customHeight="true" outlineLevel="0" collapsed="false">
      <c r="A338" s="550"/>
      <c r="B338" s="550"/>
      <c r="C338" s="550"/>
      <c r="D338" s="64"/>
      <c r="E338" s="64"/>
      <c r="F338" s="64"/>
      <c r="G338" s="64"/>
      <c r="H338" s="64"/>
      <c r="I338" s="64"/>
      <c r="J338" s="64"/>
      <c r="K338" s="64"/>
      <c r="L338" s="64"/>
      <c r="M338" s="64"/>
    </row>
    <row r="339" customFormat="false" ht="15.75" hidden="false" customHeight="true" outlineLevel="0" collapsed="false">
      <c r="A339" s="550"/>
      <c r="B339" s="550"/>
      <c r="C339" s="550"/>
      <c r="D339" s="64"/>
      <c r="E339" s="64"/>
      <c r="F339" s="64"/>
      <c r="G339" s="64"/>
      <c r="H339" s="64"/>
      <c r="I339" s="64"/>
      <c r="J339" s="64"/>
      <c r="K339" s="64"/>
      <c r="L339" s="64"/>
      <c r="M339" s="64"/>
    </row>
    <row r="340" customFormat="false" ht="15.75" hidden="false" customHeight="true" outlineLevel="0" collapsed="false">
      <c r="A340" s="550"/>
      <c r="B340" s="550"/>
      <c r="C340" s="550"/>
      <c r="D340" s="64"/>
      <c r="E340" s="64"/>
      <c r="F340" s="64"/>
      <c r="G340" s="64"/>
      <c r="H340" s="64"/>
      <c r="I340" s="64"/>
      <c r="J340" s="64"/>
      <c r="K340" s="64"/>
      <c r="L340" s="64"/>
      <c r="M340" s="64"/>
    </row>
    <row r="341" customFormat="false" ht="15.75" hidden="false" customHeight="true" outlineLevel="0" collapsed="false">
      <c r="A341" s="550"/>
      <c r="B341" s="550"/>
      <c r="C341" s="550"/>
      <c r="D341" s="64"/>
      <c r="E341" s="64"/>
      <c r="F341" s="64"/>
      <c r="G341" s="64"/>
      <c r="H341" s="64"/>
      <c r="I341" s="64"/>
      <c r="J341" s="64"/>
      <c r="K341" s="64"/>
      <c r="L341" s="64"/>
      <c r="M341" s="64"/>
    </row>
    <row r="342" customFormat="false" ht="15.75" hidden="false" customHeight="true" outlineLevel="0" collapsed="false">
      <c r="A342" s="550"/>
      <c r="B342" s="550"/>
      <c r="C342" s="550"/>
      <c r="D342" s="64"/>
      <c r="E342" s="64"/>
      <c r="F342" s="64"/>
      <c r="G342" s="64"/>
      <c r="H342" s="64"/>
      <c r="I342" s="64"/>
      <c r="J342" s="64"/>
      <c r="K342" s="64"/>
      <c r="L342" s="64"/>
      <c r="M342" s="64"/>
    </row>
    <row r="343" customFormat="false" ht="15.75" hidden="false" customHeight="true" outlineLevel="0" collapsed="false">
      <c r="A343" s="550"/>
      <c r="B343" s="550"/>
      <c r="C343" s="550"/>
      <c r="D343" s="64"/>
      <c r="E343" s="64"/>
      <c r="F343" s="64"/>
      <c r="G343" s="64"/>
      <c r="H343" s="64"/>
      <c r="I343" s="64"/>
      <c r="J343" s="64"/>
      <c r="K343" s="64"/>
      <c r="L343" s="64"/>
      <c r="M343" s="64"/>
    </row>
    <row r="344" customFormat="false" ht="15.75" hidden="false" customHeight="true" outlineLevel="0" collapsed="false">
      <c r="A344" s="550"/>
      <c r="B344" s="550"/>
      <c r="C344" s="550"/>
      <c r="D344" s="64"/>
      <c r="E344" s="64"/>
      <c r="F344" s="64"/>
      <c r="G344" s="64"/>
      <c r="H344" s="64"/>
      <c r="I344" s="64"/>
      <c r="J344" s="64"/>
      <c r="K344" s="64"/>
      <c r="L344" s="64"/>
      <c r="M344" s="64"/>
    </row>
    <row r="345" customFormat="false" ht="15.75" hidden="false" customHeight="true" outlineLevel="0" collapsed="false">
      <c r="A345" s="550"/>
      <c r="B345" s="550"/>
      <c r="C345" s="550"/>
      <c r="D345" s="64"/>
      <c r="E345" s="64"/>
      <c r="F345" s="64"/>
      <c r="G345" s="64"/>
      <c r="H345" s="64"/>
      <c r="I345" s="64"/>
      <c r="J345" s="64"/>
      <c r="K345" s="64"/>
      <c r="L345" s="64"/>
      <c r="M345" s="64"/>
    </row>
    <row r="346" customFormat="false" ht="15.75" hidden="false" customHeight="true" outlineLevel="0" collapsed="false">
      <c r="A346" s="550"/>
      <c r="B346" s="550"/>
      <c r="C346" s="550"/>
      <c r="D346" s="64"/>
      <c r="E346" s="64"/>
      <c r="F346" s="64"/>
      <c r="G346" s="64"/>
      <c r="H346" s="64"/>
      <c r="I346" s="64"/>
      <c r="J346" s="64"/>
      <c r="K346" s="64"/>
      <c r="L346" s="64"/>
      <c r="M346" s="64"/>
    </row>
    <row r="347" customFormat="false" ht="15.75" hidden="false" customHeight="true" outlineLevel="0" collapsed="false">
      <c r="A347" s="550"/>
      <c r="B347" s="550"/>
      <c r="C347" s="550"/>
      <c r="D347" s="64"/>
      <c r="E347" s="64"/>
      <c r="F347" s="64"/>
      <c r="G347" s="64"/>
      <c r="H347" s="64"/>
      <c r="I347" s="64"/>
      <c r="J347" s="64"/>
      <c r="K347" s="64"/>
      <c r="L347" s="64"/>
      <c r="M347" s="64"/>
    </row>
    <row r="348" customFormat="false" ht="15.75" hidden="false" customHeight="true" outlineLevel="0" collapsed="false">
      <c r="A348" s="550"/>
      <c r="B348" s="550"/>
      <c r="C348" s="550"/>
      <c r="D348" s="64"/>
      <c r="E348" s="64"/>
      <c r="F348" s="64"/>
      <c r="G348" s="64"/>
      <c r="H348" s="64"/>
      <c r="I348" s="64"/>
      <c r="J348" s="64"/>
      <c r="K348" s="64"/>
      <c r="L348" s="64"/>
      <c r="M348" s="64"/>
    </row>
    <row r="349" customFormat="false" ht="15.75" hidden="false" customHeight="true" outlineLevel="0" collapsed="false">
      <c r="A349" s="550"/>
      <c r="B349" s="550"/>
      <c r="C349" s="550"/>
      <c r="D349" s="64"/>
      <c r="E349" s="64"/>
      <c r="F349" s="64"/>
      <c r="G349" s="64"/>
      <c r="H349" s="64"/>
      <c r="I349" s="64"/>
      <c r="J349" s="64"/>
      <c r="K349" s="64"/>
      <c r="L349" s="64"/>
      <c r="M349" s="64"/>
    </row>
    <row r="350" customFormat="false" ht="15.75" hidden="false" customHeight="true" outlineLevel="0" collapsed="false">
      <c r="A350" s="550"/>
      <c r="B350" s="550"/>
      <c r="C350" s="550"/>
      <c r="D350" s="64"/>
      <c r="E350" s="64"/>
      <c r="F350" s="64"/>
      <c r="G350" s="64"/>
      <c r="H350" s="64"/>
      <c r="I350" s="64"/>
      <c r="J350" s="64"/>
      <c r="K350" s="64"/>
      <c r="L350" s="64"/>
      <c r="M350" s="64"/>
    </row>
    <row r="351" customFormat="false" ht="15.75" hidden="false" customHeight="true" outlineLevel="0" collapsed="false">
      <c r="A351" s="550"/>
      <c r="B351" s="550"/>
      <c r="C351" s="550"/>
      <c r="D351" s="64"/>
      <c r="E351" s="64"/>
      <c r="F351" s="64"/>
      <c r="G351" s="64"/>
      <c r="H351" s="64"/>
      <c r="I351" s="64"/>
      <c r="J351" s="64"/>
      <c r="K351" s="64"/>
      <c r="L351" s="64"/>
      <c r="M351" s="64"/>
    </row>
    <row r="352" customFormat="false" ht="15.75" hidden="false" customHeight="true" outlineLevel="0" collapsed="false">
      <c r="A352" s="550"/>
      <c r="B352" s="550"/>
      <c r="C352" s="550"/>
      <c r="D352" s="64"/>
      <c r="E352" s="64"/>
      <c r="F352" s="64"/>
      <c r="G352" s="64"/>
      <c r="H352" s="64"/>
      <c r="I352" s="64"/>
      <c r="J352" s="64"/>
      <c r="K352" s="64"/>
      <c r="L352" s="64"/>
      <c r="M352" s="64"/>
    </row>
    <row r="353" customFormat="false" ht="15.75" hidden="false" customHeight="true" outlineLevel="0" collapsed="false">
      <c r="A353" s="550"/>
      <c r="B353" s="550"/>
      <c r="C353" s="550"/>
      <c r="D353" s="64"/>
      <c r="E353" s="64"/>
      <c r="F353" s="64"/>
      <c r="G353" s="64"/>
      <c r="H353" s="64"/>
      <c r="I353" s="64"/>
      <c r="J353" s="64"/>
      <c r="K353" s="64"/>
      <c r="L353" s="64"/>
      <c r="M353" s="64"/>
    </row>
    <row r="354" customFormat="false" ht="15.75" hidden="false" customHeight="true" outlineLevel="0" collapsed="false">
      <c r="A354" s="550"/>
      <c r="B354" s="550"/>
      <c r="C354" s="550"/>
      <c r="D354" s="64"/>
      <c r="E354" s="64"/>
      <c r="F354" s="64"/>
      <c r="G354" s="64"/>
      <c r="H354" s="64"/>
      <c r="I354" s="64"/>
      <c r="J354" s="64"/>
      <c r="K354" s="64"/>
      <c r="L354" s="64"/>
      <c r="M354" s="64"/>
    </row>
    <row r="355" customFormat="false" ht="15.75" hidden="false" customHeight="true" outlineLevel="0" collapsed="false">
      <c r="A355" s="550"/>
      <c r="B355" s="550"/>
      <c r="C355" s="550"/>
      <c r="D355" s="64"/>
      <c r="E355" s="64"/>
      <c r="F355" s="64"/>
      <c r="G355" s="64"/>
      <c r="H355" s="64"/>
      <c r="I355" s="64"/>
      <c r="J355" s="64"/>
      <c r="K355" s="64"/>
      <c r="L355" s="64"/>
      <c r="M355" s="64"/>
    </row>
    <row r="356" customFormat="false" ht="15.75" hidden="false" customHeight="true" outlineLevel="0" collapsed="false">
      <c r="A356" s="550"/>
      <c r="B356" s="550"/>
      <c r="C356" s="550"/>
      <c r="D356" s="64"/>
      <c r="E356" s="64"/>
      <c r="F356" s="64"/>
      <c r="G356" s="64"/>
      <c r="H356" s="64"/>
      <c r="I356" s="64"/>
      <c r="J356" s="64"/>
      <c r="K356" s="64"/>
      <c r="L356" s="64"/>
      <c r="M356" s="64"/>
    </row>
    <row r="357" customFormat="false" ht="15.75" hidden="false" customHeight="true" outlineLevel="0" collapsed="false">
      <c r="A357" s="550"/>
      <c r="B357" s="550"/>
      <c r="C357" s="550"/>
      <c r="D357" s="64"/>
      <c r="E357" s="64"/>
      <c r="F357" s="64"/>
      <c r="G357" s="64"/>
      <c r="H357" s="64"/>
      <c r="I357" s="64"/>
      <c r="J357" s="64"/>
      <c r="K357" s="64"/>
      <c r="L357" s="64"/>
      <c r="M357" s="64"/>
    </row>
    <row r="358" customFormat="false" ht="15.75" hidden="false" customHeight="true" outlineLevel="0" collapsed="false">
      <c r="A358" s="550"/>
      <c r="B358" s="550"/>
      <c r="C358" s="550"/>
      <c r="D358" s="64"/>
      <c r="E358" s="64"/>
      <c r="F358" s="64"/>
      <c r="G358" s="64"/>
      <c r="H358" s="64"/>
      <c r="I358" s="64"/>
      <c r="J358" s="64"/>
      <c r="K358" s="64"/>
      <c r="L358" s="64"/>
      <c r="M358" s="64"/>
    </row>
    <row r="359" customFormat="false" ht="15.75" hidden="false" customHeight="true" outlineLevel="0" collapsed="false">
      <c r="A359" s="550"/>
      <c r="B359" s="550"/>
      <c r="C359" s="550"/>
      <c r="D359" s="64"/>
      <c r="E359" s="64"/>
      <c r="F359" s="64"/>
      <c r="G359" s="64"/>
      <c r="H359" s="64"/>
      <c r="I359" s="64"/>
      <c r="J359" s="64"/>
      <c r="K359" s="64"/>
      <c r="L359" s="64"/>
      <c r="M359" s="64"/>
    </row>
    <row r="360" customFormat="false" ht="15.75" hidden="false" customHeight="true" outlineLevel="0" collapsed="false">
      <c r="A360" s="550"/>
      <c r="B360" s="550"/>
      <c r="C360" s="550"/>
      <c r="D360" s="64"/>
      <c r="E360" s="64"/>
      <c r="F360" s="64"/>
      <c r="G360" s="64"/>
      <c r="H360" s="64"/>
      <c r="I360" s="64"/>
      <c r="J360" s="64"/>
      <c r="K360" s="64"/>
      <c r="L360" s="64"/>
      <c r="M360" s="64"/>
    </row>
    <row r="361" customFormat="false" ht="15.75" hidden="false" customHeight="true" outlineLevel="0" collapsed="false">
      <c r="A361" s="550"/>
      <c r="B361" s="550"/>
      <c r="C361" s="550"/>
      <c r="D361" s="64"/>
      <c r="E361" s="64"/>
      <c r="F361" s="64"/>
      <c r="G361" s="64"/>
      <c r="H361" s="64"/>
      <c r="I361" s="64"/>
      <c r="J361" s="64"/>
      <c r="K361" s="64"/>
      <c r="L361" s="64"/>
      <c r="M361" s="64"/>
    </row>
    <row r="362" customFormat="false" ht="15.75" hidden="false" customHeight="true" outlineLevel="0" collapsed="false">
      <c r="A362" s="550"/>
      <c r="B362" s="550"/>
      <c r="C362" s="550"/>
      <c r="D362" s="64"/>
      <c r="E362" s="64"/>
      <c r="F362" s="64"/>
      <c r="G362" s="64"/>
      <c r="H362" s="64"/>
      <c r="I362" s="64"/>
      <c r="J362" s="64"/>
      <c r="K362" s="64"/>
      <c r="L362" s="64"/>
      <c r="M362" s="64"/>
    </row>
    <row r="363" customFormat="false" ht="15.75" hidden="false" customHeight="true" outlineLevel="0" collapsed="false">
      <c r="A363" s="550"/>
      <c r="B363" s="550"/>
      <c r="C363" s="550"/>
      <c r="D363" s="64"/>
      <c r="E363" s="64"/>
      <c r="F363" s="64"/>
      <c r="G363" s="64"/>
      <c r="H363" s="64"/>
      <c r="I363" s="64"/>
      <c r="J363" s="64"/>
      <c r="K363" s="64"/>
      <c r="L363" s="64"/>
      <c r="M363" s="64"/>
    </row>
    <row r="364" customFormat="false" ht="15.75" hidden="false" customHeight="true" outlineLevel="0" collapsed="false">
      <c r="A364" s="550"/>
      <c r="B364" s="550"/>
      <c r="C364" s="550"/>
      <c r="D364" s="64"/>
      <c r="E364" s="64"/>
      <c r="F364" s="64"/>
      <c r="G364" s="64"/>
      <c r="H364" s="64"/>
      <c r="I364" s="64"/>
      <c r="J364" s="64"/>
      <c r="K364" s="64"/>
      <c r="L364" s="64"/>
      <c r="M364" s="64"/>
    </row>
    <row r="365" customFormat="false" ht="15.75" hidden="false" customHeight="true" outlineLevel="0" collapsed="false">
      <c r="A365" s="550"/>
      <c r="B365" s="550"/>
      <c r="C365" s="550"/>
      <c r="D365" s="64"/>
      <c r="E365" s="64"/>
      <c r="F365" s="64"/>
      <c r="G365" s="64"/>
      <c r="H365" s="64"/>
      <c r="I365" s="64"/>
      <c r="J365" s="64"/>
      <c r="K365" s="64"/>
      <c r="L365" s="64"/>
      <c r="M365" s="64"/>
    </row>
    <row r="366" customFormat="false" ht="15.75" hidden="false" customHeight="true" outlineLevel="0" collapsed="false">
      <c r="A366" s="550"/>
      <c r="B366" s="550"/>
      <c r="C366" s="550"/>
      <c r="D366" s="64"/>
      <c r="E366" s="64"/>
      <c r="F366" s="64"/>
      <c r="G366" s="64"/>
      <c r="H366" s="64"/>
      <c r="I366" s="64"/>
      <c r="J366" s="64"/>
      <c r="K366" s="64"/>
      <c r="L366" s="64"/>
      <c r="M366" s="64"/>
    </row>
    <row r="367" customFormat="false" ht="15.75" hidden="false" customHeight="true" outlineLevel="0" collapsed="false">
      <c r="A367" s="550"/>
      <c r="B367" s="550"/>
      <c r="C367" s="550"/>
      <c r="D367" s="64"/>
      <c r="E367" s="64"/>
      <c r="F367" s="64"/>
      <c r="G367" s="64"/>
      <c r="H367" s="64"/>
      <c r="I367" s="64"/>
      <c r="J367" s="64"/>
      <c r="K367" s="64"/>
      <c r="L367" s="64"/>
      <c r="M367" s="64"/>
    </row>
    <row r="368" customFormat="false" ht="15.75" hidden="false" customHeight="true" outlineLevel="0" collapsed="false">
      <c r="A368" s="550"/>
      <c r="B368" s="550"/>
      <c r="C368" s="550"/>
      <c r="D368" s="64"/>
      <c r="E368" s="64"/>
      <c r="F368" s="64"/>
      <c r="G368" s="64"/>
      <c r="H368" s="64"/>
      <c r="I368" s="64"/>
      <c r="J368" s="64"/>
      <c r="K368" s="64"/>
      <c r="L368" s="64"/>
      <c r="M368" s="64"/>
    </row>
    <row r="369" customFormat="false" ht="15.75" hidden="false" customHeight="true" outlineLevel="0" collapsed="false">
      <c r="A369" s="550"/>
      <c r="B369" s="550"/>
      <c r="C369" s="550"/>
      <c r="D369" s="64"/>
      <c r="E369" s="64"/>
      <c r="F369" s="64"/>
      <c r="G369" s="64"/>
      <c r="H369" s="64"/>
      <c r="I369" s="64"/>
      <c r="J369" s="64"/>
      <c r="K369" s="64"/>
      <c r="L369" s="64"/>
      <c r="M369" s="64"/>
    </row>
    <row r="370" customFormat="false" ht="15.75" hidden="false" customHeight="true" outlineLevel="0" collapsed="false">
      <c r="A370" s="550"/>
      <c r="B370" s="550"/>
      <c r="C370" s="550"/>
      <c r="D370" s="64"/>
      <c r="E370" s="64"/>
      <c r="F370" s="64"/>
      <c r="G370" s="64"/>
      <c r="H370" s="64"/>
      <c r="I370" s="64"/>
      <c r="J370" s="64"/>
      <c r="K370" s="64"/>
      <c r="L370" s="64"/>
      <c r="M370" s="64"/>
    </row>
    <row r="371" customFormat="false" ht="15.75" hidden="false" customHeight="true" outlineLevel="0" collapsed="false">
      <c r="A371" s="550"/>
      <c r="B371" s="550"/>
      <c r="C371" s="550"/>
      <c r="D371" s="64"/>
      <c r="E371" s="64"/>
      <c r="F371" s="64"/>
      <c r="G371" s="64"/>
      <c r="H371" s="64"/>
      <c r="I371" s="64"/>
      <c r="J371" s="64"/>
      <c r="K371" s="64"/>
      <c r="L371" s="64"/>
      <c r="M371" s="64"/>
    </row>
    <row r="372" customFormat="false" ht="15.75" hidden="false" customHeight="true" outlineLevel="0" collapsed="false">
      <c r="A372" s="550"/>
      <c r="B372" s="550"/>
      <c r="C372" s="550"/>
      <c r="D372" s="64"/>
      <c r="E372" s="64"/>
      <c r="F372" s="64"/>
      <c r="G372" s="64"/>
      <c r="H372" s="64"/>
      <c r="I372" s="64"/>
      <c r="J372" s="64"/>
      <c r="K372" s="64"/>
      <c r="L372" s="64"/>
      <c r="M372" s="64"/>
    </row>
    <row r="373" customFormat="false" ht="15.75" hidden="false" customHeight="true" outlineLevel="0" collapsed="false">
      <c r="A373" s="550"/>
      <c r="B373" s="550"/>
      <c r="C373" s="550"/>
      <c r="D373" s="64"/>
      <c r="E373" s="64"/>
      <c r="F373" s="64"/>
      <c r="G373" s="64"/>
      <c r="H373" s="64"/>
      <c r="I373" s="64"/>
      <c r="J373" s="64"/>
      <c r="K373" s="64"/>
      <c r="L373" s="64"/>
      <c r="M373" s="64"/>
    </row>
    <row r="374" customFormat="false" ht="15.75" hidden="false" customHeight="true" outlineLevel="0" collapsed="false">
      <c r="A374" s="550"/>
      <c r="B374" s="550"/>
      <c r="C374" s="550"/>
      <c r="D374" s="64"/>
      <c r="E374" s="64"/>
      <c r="F374" s="64"/>
      <c r="G374" s="64"/>
      <c r="H374" s="64"/>
      <c r="I374" s="64"/>
      <c r="J374" s="64"/>
      <c r="K374" s="64"/>
      <c r="L374" s="64"/>
      <c r="M374" s="64"/>
    </row>
    <row r="375" customFormat="false" ht="15.75" hidden="false" customHeight="true" outlineLevel="0" collapsed="false">
      <c r="A375" s="550"/>
      <c r="B375" s="550"/>
      <c r="C375" s="550"/>
      <c r="D375" s="64"/>
      <c r="E375" s="64"/>
      <c r="F375" s="64"/>
      <c r="G375" s="64"/>
      <c r="H375" s="64"/>
      <c r="I375" s="64"/>
      <c r="J375" s="64"/>
      <c r="K375" s="64"/>
      <c r="L375" s="64"/>
      <c r="M375" s="64"/>
    </row>
    <row r="376" customFormat="false" ht="15.75" hidden="false" customHeight="true" outlineLevel="0" collapsed="false">
      <c r="A376" s="550"/>
      <c r="B376" s="550"/>
      <c r="C376" s="550"/>
      <c r="D376" s="64"/>
      <c r="E376" s="64"/>
      <c r="F376" s="64"/>
      <c r="G376" s="64"/>
      <c r="H376" s="64"/>
      <c r="I376" s="64"/>
      <c r="J376" s="64"/>
      <c r="K376" s="64"/>
      <c r="L376" s="64"/>
      <c r="M376" s="64"/>
    </row>
    <row r="377" customFormat="false" ht="15.75" hidden="false" customHeight="true" outlineLevel="0" collapsed="false">
      <c r="A377" s="550"/>
      <c r="B377" s="550"/>
      <c r="C377" s="550"/>
      <c r="D377" s="64"/>
      <c r="E377" s="64"/>
      <c r="F377" s="64"/>
      <c r="G377" s="64"/>
      <c r="H377" s="64"/>
      <c r="I377" s="64"/>
      <c r="J377" s="64"/>
      <c r="K377" s="64"/>
      <c r="L377" s="64"/>
      <c r="M377" s="64"/>
    </row>
    <row r="378" customFormat="false" ht="15.75" hidden="false" customHeight="true" outlineLevel="0" collapsed="false">
      <c r="A378" s="550"/>
      <c r="B378" s="550"/>
      <c r="C378" s="550"/>
      <c r="D378" s="64"/>
      <c r="E378" s="64"/>
      <c r="F378" s="64"/>
      <c r="G378" s="64"/>
      <c r="H378" s="64"/>
      <c r="I378" s="64"/>
      <c r="J378" s="64"/>
      <c r="K378" s="64"/>
      <c r="L378" s="64"/>
      <c r="M378" s="64"/>
    </row>
    <row r="379" customFormat="false" ht="15.75" hidden="false" customHeight="true" outlineLevel="0" collapsed="false">
      <c r="A379" s="550"/>
      <c r="B379" s="550"/>
      <c r="C379" s="550"/>
      <c r="D379" s="64"/>
      <c r="E379" s="64"/>
      <c r="F379" s="64"/>
      <c r="G379" s="64"/>
      <c r="H379" s="64"/>
      <c r="I379" s="64"/>
      <c r="J379" s="64"/>
      <c r="K379" s="64"/>
      <c r="L379" s="64"/>
      <c r="M379" s="64"/>
    </row>
    <row r="380" customFormat="false" ht="15.75" hidden="false" customHeight="true" outlineLevel="0" collapsed="false">
      <c r="A380" s="550"/>
      <c r="B380" s="550"/>
      <c r="C380" s="550"/>
      <c r="D380" s="64"/>
      <c r="E380" s="64"/>
      <c r="F380" s="64"/>
      <c r="G380" s="64"/>
      <c r="H380" s="64"/>
      <c r="I380" s="64"/>
      <c r="J380" s="64"/>
      <c r="K380" s="64"/>
      <c r="L380" s="64"/>
      <c r="M380" s="64"/>
    </row>
    <row r="381" customFormat="false" ht="15.75" hidden="false" customHeight="true" outlineLevel="0" collapsed="false">
      <c r="A381" s="550"/>
      <c r="B381" s="550"/>
      <c r="C381" s="550"/>
      <c r="D381" s="64"/>
      <c r="E381" s="64"/>
      <c r="F381" s="64"/>
      <c r="G381" s="64"/>
      <c r="H381" s="64"/>
      <c r="I381" s="64"/>
      <c r="J381" s="64"/>
      <c r="K381" s="64"/>
      <c r="L381" s="64"/>
      <c r="M381" s="64"/>
    </row>
    <row r="382" customFormat="false" ht="15.75" hidden="false" customHeight="true" outlineLevel="0" collapsed="false">
      <c r="A382" s="550"/>
      <c r="B382" s="550"/>
      <c r="C382" s="550"/>
      <c r="D382" s="64"/>
      <c r="E382" s="64"/>
      <c r="F382" s="64"/>
      <c r="G382" s="64"/>
      <c r="H382" s="64"/>
      <c r="I382" s="64"/>
      <c r="J382" s="64"/>
      <c r="K382" s="64"/>
      <c r="L382" s="64"/>
      <c r="M382" s="64"/>
    </row>
    <row r="383" customFormat="false" ht="15.75" hidden="false" customHeight="true" outlineLevel="0" collapsed="false">
      <c r="A383" s="550"/>
      <c r="B383" s="550"/>
      <c r="C383" s="550"/>
      <c r="D383" s="64"/>
      <c r="E383" s="64"/>
      <c r="F383" s="64"/>
      <c r="G383" s="64"/>
      <c r="H383" s="64"/>
      <c r="I383" s="64"/>
      <c r="J383" s="64"/>
      <c r="K383" s="64"/>
      <c r="L383" s="64"/>
      <c r="M383" s="64"/>
    </row>
    <row r="384" customFormat="false" ht="15.75" hidden="false" customHeight="true" outlineLevel="0" collapsed="false">
      <c r="A384" s="550"/>
      <c r="B384" s="550"/>
      <c r="C384" s="550"/>
      <c r="D384" s="64"/>
      <c r="E384" s="64"/>
      <c r="F384" s="64"/>
      <c r="G384" s="64"/>
      <c r="H384" s="64"/>
      <c r="I384" s="64"/>
      <c r="J384" s="64"/>
      <c r="K384" s="64"/>
      <c r="L384" s="64"/>
      <c r="M384" s="64"/>
    </row>
    <row r="385" customFormat="false" ht="15.75" hidden="false" customHeight="true" outlineLevel="0" collapsed="false">
      <c r="A385" s="550"/>
      <c r="B385" s="550"/>
      <c r="C385" s="550"/>
      <c r="D385" s="64"/>
      <c r="E385" s="64"/>
      <c r="F385" s="64"/>
      <c r="G385" s="64"/>
      <c r="H385" s="64"/>
      <c r="I385" s="64"/>
      <c r="J385" s="64"/>
      <c r="K385" s="64"/>
      <c r="L385" s="64"/>
      <c r="M385" s="64"/>
    </row>
    <row r="386" customFormat="false" ht="15.75" hidden="false" customHeight="true" outlineLevel="0" collapsed="false">
      <c r="A386" s="550"/>
      <c r="B386" s="550"/>
      <c r="C386" s="550"/>
      <c r="D386" s="64"/>
      <c r="E386" s="64"/>
      <c r="F386" s="64"/>
      <c r="G386" s="64"/>
      <c r="H386" s="64"/>
      <c r="I386" s="64"/>
      <c r="J386" s="64"/>
      <c r="K386" s="64"/>
      <c r="L386" s="64"/>
      <c r="M386" s="64"/>
    </row>
    <row r="387" customFormat="false" ht="15.75" hidden="false" customHeight="true" outlineLevel="0" collapsed="false">
      <c r="A387" s="550"/>
      <c r="B387" s="550"/>
      <c r="C387" s="550"/>
      <c r="D387" s="64"/>
      <c r="E387" s="64"/>
      <c r="F387" s="64"/>
      <c r="G387" s="64"/>
      <c r="H387" s="64"/>
      <c r="I387" s="64"/>
      <c r="J387" s="64"/>
      <c r="K387" s="64"/>
      <c r="L387" s="64"/>
      <c r="M387" s="64"/>
    </row>
    <row r="388" customFormat="false" ht="15.75" hidden="false" customHeight="true" outlineLevel="0" collapsed="false">
      <c r="A388" s="550"/>
      <c r="B388" s="550"/>
      <c r="C388" s="550"/>
      <c r="D388" s="64"/>
      <c r="E388" s="64"/>
      <c r="F388" s="64"/>
      <c r="G388" s="64"/>
      <c r="H388" s="64"/>
      <c r="I388" s="64"/>
      <c r="J388" s="64"/>
      <c r="K388" s="64"/>
      <c r="L388" s="64"/>
      <c r="M388" s="64"/>
    </row>
    <row r="389" customFormat="false" ht="15.75" hidden="false" customHeight="true" outlineLevel="0" collapsed="false">
      <c r="A389" s="550"/>
      <c r="B389" s="550"/>
      <c r="C389" s="550"/>
      <c r="D389" s="64"/>
      <c r="E389" s="64"/>
      <c r="F389" s="64"/>
      <c r="G389" s="64"/>
      <c r="H389" s="64"/>
      <c r="I389" s="64"/>
      <c r="J389" s="64"/>
      <c r="K389" s="64"/>
      <c r="L389" s="64"/>
      <c r="M389" s="64"/>
    </row>
    <row r="390" customFormat="false" ht="15.75" hidden="false" customHeight="true" outlineLevel="0" collapsed="false">
      <c r="A390" s="550"/>
      <c r="B390" s="550"/>
      <c r="C390" s="550"/>
      <c r="D390" s="64"/>
      <c r="E390" s="64"/>
      <c r="F390" s="64"/>
      <c r="G390" s="64"/>
      <c r="H390" s="64"/>
      <c r="I390" s="64"/>
      <c r="J390" s="64"/>
      <c r="K390" s="64"/>
      <c r="L390" s="64"/>
      <c r="M390" s="64"/>
    </row>
    <row r="391" customFormat="false" ht="15.75" hidden="false" customHeight="true" outlineLevel="0" collapsed="false">
      <c r="A391" s="550"/>
      <c r="B391" s="550"/>
      <c r="C391" s="550"/>
      <c r="D391" s="64"/>
      <c r="E391" s="64"/>
      <c r="F391" s="64"/>
      <c r="G391" s="64"/>
      <c r="H391" s="64"/>
      <c r="I391" s="64"/>
      <c r="J391" s="64"/>
      <c r="K391" s="64"/>
      <c r="L391" s="64"/>
      <c r="M391" s="64"/>
    </row>
    <row r="392" customFormat="false" ht="15.75" hidden="false" customHeight="true" outlineLevel="0" collapsed="false">
      <c r="A392" s="550"/>
      <c r="B392" s="550"/>
      <c r="C392" s="550"/>
      <c r="D392" s="64"/>
      <c r="E392" s="64"/>
      <c r="F392" s="64"/>
      <c r="G392" s="64"/>
      <c r="H392" s="64"/>
      <c r="I392" s="64"/>
      <c r="J392" s="64"/>
      <c r="K392" s="64"/>
      <c r="L392" s="64"/>
      <c r="M392" s="64"/>
    </row>
    <row r="393" customFormat="false" ht="15.75" hidden="false" customHeight="true" outlineLevel="0" collapsed="false">
      <c r="A393" s="550"/>
      <c r="B393" s="550"/>
      <c r="C393" s="550"/>
      <c r="D393" s="64"/>
      <c r="E393" s="64"/>
      <c r="F393" s="64"/>
      <c r="G393" s="64"/>
      <c r="H393" s="64"/>
      <c r="I393" s="64"/>
      <c r="J393" s="64"/>
      <c r="K393" s="64"/>
      <c r="L393" s="64"/>
      <c r="M393" s="64"/>
    </row>
    <row r="394" customFormat="false" ht="15.75" hidden="false" customHeight="true" outlineLevel="0" collapsed="false">
      <c r="A394" s="550"/>
      <c r="B394" s="550"/>
      <c r="C394" s="550"/>
      <c r="D394" s="64"/>
      <c r="E394" s="64"/>
      <c r="F394" s="64"/>
      <c r="G394" s="64"/>
      <c r="H394" s="64"/>
      <c r="I394" s="64"/>
      <c r="J394" s="64"/>
      <c r="K394" s="64"/>
      <c r="L394" s="64"/>
      <c r="M394" s="64"/>
    </row>
    <row r="395" customFormat="false" ht="15.75" hidden="false" customHeight="true" outlineLevel="0" collapsed="false">
      <c r="A395" s="550"/>
      <c r="B395" s="550"/>
      <c r="C395" s="550"/>
      <c r="D395" s="64"/>
      <c r="E395" s="64"/>
      <c r="F395" s="64"/>
      <c r="G395" s="64"/>
      <c r="H395" s="64"/>
      <c r="I395" s="64"/>
      <c r="J395" s="64"/>
      <c r="K395" s="64"/>
      <c r="L395" s="64"/>
      <c r="M395" s="64"/>
    </row>
    <row r="396" customFormat="false" ht="15.75" hidden="false" customHeight="true" outlineLevel="0" collapsed="false">
      <c r="A396" s="550"/>
      <c r="B396" s="550"/>
      <c r="C396" s="550"/>
      <c r="D396" s="64"/>
      <c r="E396" s="64"/>
      <c r="F396" s="64"/>
      <c r="G396" s="64"/>
      <c r="H396" s="64"/>
      <c r="I396" s="64"/>
      <c r="J396" s="64"/>
      <c r="K396" s="64"/>
      <c r="L396" s="64"/>
      <c r="M396" s="64"/>
    </row>
    <row r="397" customFormat="false" ht="15.75" hidden="false" customHeight="true" outlineLevel="0" collapsed="false">
      <c r="A397" s="550"/>
      <c r="B397" s="550"/>
      <c r="C397" s="550"/>
      <c r="D397" s="64"/>
      <c r="E397" s="64"/>
      <c r="F397" s="64"/>
      <c r="G397" s="64"/>
      <c r="H397" s="64"/>
      <c r="I397" s="64"/>
      <c r="J397" s="64"/>
      <c r="K397" s="64"/>
      <c r="L397" s="64"/>
      <c r="M397" s="64"/>
    </row>
    <row r="398" customFormat="false" ht="15.75" hidden="false" customHeight="true" outlineLevel="0" collapsed="false">
      <c r="A398" s="550"/>
      <c r="B398" s="550"/>
      <c r="C398" s="550"/>
      <c r="D398" s="64"/>
      <c r="E398" s="64"/>
      <c r="F398" s="64"/>
      <c r="G398" s="64"/>
      <c r="H398" s="64"/>
      <c r="I398" s="64"/>
      <c r="J398" s="64"/>
      <c r="K398" s="64"/>
      <c r="L398" s="64"/>
      <c r="M398" s="64"/>
    </row>
    <row r="399" customFormat="false" ht="15.75" hidden="false" customHeight="true" outlineLevel="0" collapsed="false">
      <c r="A399" s="550"/>
      <c r="B399" s="550"/>
      <c r="C399" s="550"/>
      <c r="D399" s="64"/>
      <c r="E399" s="64"/>
      <c r="F399" s="64"/>
      <c r="G399" s="64"/>
      <c r="H399" s="64"/>
      <c r="I399" s="64"/>
      <c r="J399" s="64"/>
      <c r="K399" s="64"/>
      <c r="L399" s="64"/>
      <c r="M399" s="64"/>
    </row>
    <row r="400" customFormat="false" ht="15.75" hidden="false" customHeight="true" outlineLevel="0" collapsed="false">
      <c r="A400" s="550"/>
      <c r="B400" s="550"/>
      <c r="C400" s="550"/>
      <c r="D400" s="64"/>
      <c r="E400" s="64"/>
      <c r="F400" s="64"/>
      <c r="G400" s="64"/>
      <c r="H400" s="64"/>
      <c r="I400" s="64"/>
      <c r="J400" s="64"/>
      <c r="K400" s="64"/>
      <c r="L400" s="64"/>
      <c r="M400" s="64"/>
    </row>
    <row r="401" customFormat="false" ht="15.75" hidden="false" customHeight="true" outlineLevel="0" collapsed="false">
      <c r="A401" s="550"/>
      <c r="B401" s="550"/>
      <c r="C401" s="550"/>
      <c r="D401" s="64"/>
      <c r="E401" s="64"/>
      <c r="F401" s="64"/>
      <c r="G401" s="64"/>
      <c r="H401" s="64"/>
      <c r="I401" s="64"/>
      <c r="J401" s="64"/>
      <c r="K401" s="64"/>
      <c r="L401" s="64"/>
      <c r="M401" s="64"/>
    </row>
    <row r="402" customFormat="false" ht="15.75" hidden="false" customHeight="true" outlineLevel="0" collapsed="false">
      <c r="A402" s="550"/>
      <c r="B402" s="550"/>
      <c r="C402" s="550"/>
      <c r="D402" s="64"/>
      <c r="E402" s="64"/>
      <c r="F402" s="64"/>
      <c r="G402" s="64"/>
      <c r="H402" s="64"/>
      <c r="I402" s="64"/>
      <c r="J402" s="64"/>
      <c r="K402" s="64"/>
      <c r="L402" s="64"/>
      <c r="M402" s="64"/>
    </row>
    <row r="403" customFormat="false" ht="15.75" hidden="false" customHeight="true" outlineLevel="0" collapsed="false">
      <c r="A403" s="550"/>
      <c r="B403" s="550"/>
      <c r="C403" s="550"/>
      <c r="D403" s="64"/>
      <c r="E403" s="64"/>
      <c r="F403" s="64"/>
      <c r="G403" s="64"/>
      <c r="H403" s="64"/>
      <c r="I403" s="64"/>
      <c r="J403" s="64"/>
      <c r="K403" s="64"/>
      <c r="L403" s="64"/>
      <c r="M403" s="64"/>
    </row>
    <row r="404" customFormat="false" ht="15.75" hidden="false" customHeight="true" outlineLevel="0" collapsed="false">
      <c r="A404" s="550"/>
      <c r="B404" s="550"/>
      <c r="C404" s="550"/>
      <c r="D404" s="64"/>
      <c r="E404" s="64"/>
      <c r="F404" s="64"/>
      <c r="G404" s="64"/>
      <c r="H404" s="64"/>
      <c r="I404" s="64"/>
      <c r="J404" s="64"/>
      <c r="K404" s="64"/>
      <c r="L404" s="64"/>
      <c r="M404" s="64"/>
    </row>
    <row r="405" customFormat="false" ht="15.75" hidden="false" customHeight="true" outlineLevel="0" collapsed="false">
      <c r="A405" s="550"/>
      <c r="B405" s="550"/>
      <c r="C405" s="550"/>
      <c r="D405" s="64"/>
      <c r="E405" s="64"/>
      <c r="F405" s="64"/>
      <c r="G405" s="64"/>
      <c r="H405" s="64"/>
      <c r="I405" s="64"/>
      <c r="J405" s="64"/>
      <c r="K405" s="64"/>
      <c r="L405" s="64"/>
      <c r="M405" s="64"/>
    </row>
    <row r="406" customFormat="false" ht="15.75" hidden="false" customHeight="true" outlineLevel="0" collapsed="false">
      <c r="A406" s="550"/>
      <c r="B406" s="550"/>
      <c r="C406" s="550"/>
      <c r="D406" s="64"/>
      <c r="E406" s="64"/>
      <c r="F406" s="64"/>
      <c r="G406" s="64"/>
      <c r="H406" s="64"/>
      <c r="I406" s="64"/>
      <c r="J406" s="64"/>
      <c r="K406" s="64"/>
      <c r="L406" s="64"/>
      <c r="M406" s="64"/>
    </row>
    <row r="407" customFormat="false" ht="15.75" hidden="false" customHeight="true" outlineLevel="0" collapsed="false">
      <c r="A407" s="550"/>
      <c r="B407" s="550"/>
      <c r="C407" s="550"/>
      <c r="D407" s="64"/>
      <c r="E407" s="64"/>
      <c r="F407" s="64"/>
      <c r="G407" s="64"/>
      <c r="H407" s="64"/>
      <c r="I407" s="64"/>
      <c r="J407" s="64"/>
      <c r="K407" s="64"/>
      <c r="L407" s="64"/>
      <c r="M407" s="64"/>
    </row>
    <row r="408" customFormat="false" ht="15.75" hidden="false" customHeight="true" outlineLevel="0" collapsed="false">
      <c r="A408" s="550"/>
      <c r="B408" s="550"/>
      <c r="C408" s="550"/>
      <c r="D408" s="64"/>
      <c r="E408" s="64"/>
      <c r="F408" s="64"/>
      <c r="G408" s="64"/>
      <c r="H408" s="64"/>
      <c r="I408" s="64"/>
      <c r="J408" s="64"/>
      <c r="K408" s="64"/>
      <c r="L408" s="64"/>
      <c r="M408" s="64"/>
    </row>
    <row r="409" customFormat="false" ht="15.75" hidden="false" customHeight="true" outlineLevel="0" collapsed="false">
      <c r="A409" s="550"/>
      <c r="B409" s="550"/>
      <c r="C409" s="550"/>
      <c r="D409" s="64"/>
      <c r="E409" s="64"/>
      <c r="F409" s="64"/>
      <c r="G409" s="64"/>
      <c r="H409" s="64"/>
      <c r="I409" s="64"/>
      <c r="J409" s="64"/>
      <c r="K409" s="64"/>
      <c r="L409" s="64"/>
      <c r="M409" s="64"/>
    </row>
    <row r="410" customFormat="false" ht="15.75" hidden="false" customHeight="true" outlineLevel="0" collapsed="false">
      <c r="A410" s="550"/>
      <c r="B410" s="550"/>
      <c r="C410" s="550"/>
      <c r="D410" s="64"/>
      <c r="E410" s="64"/>
      <c r="F410" s="64"/>
      <c r="G410" s="64"/>
      <c r="H410" s="64"/>
      <c r="I410" s="64"/>
      <c r="J410" s="64"/>
      <c r="K410" s="64"/>
      <c r="L410" s="64"/>
      <c r="M410" s="64"/>
    </row>
    <row r="411" customFormat="false" ht="15.75" hidden="false" customHeight="true" outlineLevel="0" collapsed="false">
      <c r="A411" s="550"/>
      <c r="B411" s="550"/>
      <c r="C411" s="550"/>
      <c r="D411" s="64"/>
      <c r="E411" s="64"/>
      <c r="F411" s="64"/>
      <c r="G411" s="64"/>
      <c r="H411" s="64"/>
      <c r="I411" s="64"/>
      <c r="J411" s="64"/>
      <c r="K411" s="64"/>
      <c r="L411" s="64"/>
      <c r="M411" s="64"/>
    </row>
    <row r="412" customFormat="false" ht="15.75" hidden="false" customHeight="true" outlineLevel="0" collapsed="false">
      <c r="A412" s="550"/>
      <c r="B412" s="550"/>
      <c r="C412" s="550"/>
      <c r="D412" s="64"/>
      <c r="E412" s="64"/>
      <c r="F412" s="64"/>
      <c r="G412" s="64"/>
      <c r="H412" s="64"/>
      <c r="I412" s="64"/>
      <c r="J412" s="64"/>
      <c r="K412" s="64"/>
      <c r="L412" s="64"/>
      <c r="M412" s="64"/>
    </row>
    <row r="413" customFormat="false" ht="15.75" hidden="false" customHeight="true" outlineLevel="0" collapsed="false">
      <c r="A413" s="550"/>
      <c r="B413" s="550"/>
      <c r="C413" s="550"/>
      <c r="D413" s="64"/>
      <c r="E413" s="64"/>
      <c r="F413" s="64"/>
      <c r="G413" s="64"/>
      <c r="H413" s="64"/>
      <c r="I413" s="64"/>
      <c r="J413" s="64"/>
      <c r="K413" s="64"/>
      <c r="L413" s="64"/>
      <c r="M413" s="64"/>
    </row>
    <row r="414" customFormat="false" ht="15.75" hidden="false" customHeight="true" outlineLevel="0" collapsed="false">
      <c r="A414" s="550"/>
      <c r="B414" s="550"/>
      <c r="C414" s="550"/>
      <c r="D414" s="64"/>
      <c r="E414" s="64"/>
      <c r="F414" s="64"/>
      <c r="G414" s="64"/>
      <c r="H414" s="64"/>
      <c r="I414" s="64"/>
      <c r="J414" s="64"/>
      <c r="K414" s="64"/>
      <c r="L414" s="64"/>
      <c r="M414" s="64"/>
    </row>
    <row r="415" customFormat="false" ht="15.75" hidden="false" customHeight="true" outlineLevel="0" collapsed="false">
      <c r="A415" s="550"/>
      <c r="B415" s="550"/>
      <c r="C415" s="550"/>
      <c r="D415" s="64"/>
      <c r="E415" s="64"/>
      <c r="F415" s="64"/>
      <c r="G415" s="64"/>
      <c r="H415" s="64"/>
      <c r="I415" s="64"/>
      <c r="J415" s="64"/>
      <c r="K415" s="64"/>
      <c r="L415" s="64"/>
      <c r="M415" s="64"/>
    </row>
    <row r="416" customFormat="false" ht="15.75" hidden="false" customHeight="true" outlineLevel="0" collapsed="false">
      <c r="A416" s="550"/>
      <c r="B416" s="550"/>
      <c r="C416" s="550"/>
      <c r="D416" s="64"/>
      <c r="E416" s="64"/>
      <c r="F416" s="64"/>
      <c r="G416" s="64"/>
      <c r="H416" s="64"/>
      <c r="I416" s="64"/>
      <c r="J416" s="64"/>
      <c r="K416" s="64"/>
      <c r="L416" s="64"/>
      <c r="M416" s="64"/>
    </row>
    <row r="417" customFormat="false" ht="15.75" hidden="false" customHeight="true" outlineLevel="0" collapsed="false">
      <c r="A417" s="550"/>
      <c r="B417" s="550"/>
      <c r="C417" s="550"/>
      <c r="D417" s="64"/>
      <c r="E417" s="64"/>
      <c r="F417" s="64"/>
      <c r="G417" s="64"/>
      <c r="H417" s="64"/>
      <c r="I417" s="64"/>
      <c r="J417" s="64"/>
      <c r="K417" s="64"/>
      <c r="L417" s="64"/>
      <c r="M417" s="64"/>
    </row>
    <row r="418" customFormat="false" ht="15.75" hidden="false" customHeight="true" outlineLevel="0" collapsed="false">
      <c r="A418" s="550"/>
      <c r="B418" s="550"/>
      <c r="C418" s="550"/>
      <c r="D418" s="64"/>
      <c r="E418" s="64"/>
      <c r="F418" s="64"/>
      <c r="G418" s="64"/>
      <c r="H418" s="64"/>
      <c r="I418" s="64"/>
      <c r="J418" s="64"/>
      <c r="K418" s="64"/>
      <c r="L418" s="64"/>
      <c r="M418" s="64"/>
    </row>
    <row r="419" customFormat="false" ht="15.75" hidden="false" customHeight="true" outlineLevel="0" collapsed="false">
      <c r="A419" s="550"/>
      <c r="B419" s="550"/>
      <c r="C419" s="550"/>
      <c r="D419" s="64"/>
      <c r="E419" s="64"/>
      <c r="F419" s="64"/>
      <c r="G419" s="64"/>
      <c r="H419" s="64"/>
      <c r="I419" s="64"/>
      <c r="J419" s="64"/>
      <c r="K419" s="64"/>
      <c r="L419" s="64"/>
      <c r="M419" s="64"/>
    </row>
    <row r="420" customFormat="false" ht="15.75" hidden="false" customHeight="true" outlineLevel="0" collapsed="false">
      <c r="A420" s="550"/>
      <c r="B420" s="550"/>
      <c r="C420" s="550"/>
      <c r="D420" s="64"/>
      <c r="E420" s="64"/>
      <c r="F420" s="64"/>
      <c r="G420" s="64"/>
      <c r="H420" s="64"/>
      <c r="I420" s="64"/>
      <c r="J420" s="64"/>
      <c r="K420" s="64"/>
      <c r="L420" s="64"/>
      <c r="M420" s="64"/>
    </row>
    <row r="421" customFormat="false" ht="15.75" hidden="false" customHeight="true" outlineLevel="0" collapsed="false">
      <c r="A421" s="550"/>
      <c r="B421" s="550"/>
      <c r="C421" s="550"/>
      <c r="D421" s="64"/>
      <c r="E421" s="64"/>
      <c r="F421" s="64"/>
      <c r="G421" s="64"/>
      <c r="H421" s="64"/>
      <c r="I421" s="64"/>
      <c r="J421" s="64"/>
      <c r="K421" s="64"/>
      <c r="L421" s="64"/>
      <c r="M421" s="64"/>
    </row>
    <row r="422" customFormat="false" ht="15.75" hidden="false" customHeight="true" outlineLevel="0" collapsed="false">
      <c r="A422" s="550"/>
      <c r="B422" s="550"/>
      <c r="C422" s="550"/>
      <c r="D422" s="64"/>
      <c r="E422" s="64"/>
      <c r="F422" s="64"/>
      <c r="G422" s="64"/>
      <c r="H422" s="64"/>
      <c r="I422" s="64"/>
      <c r="J422" s="64"/>
      <c r="K422" s="64"/>
      <c r="L422" s="64"/>
      <c r="M422" s="64"/>
    </row>
    <row r="423" customFormat="false" ht="15.75" hidden="false" customHeight="true" outlineLevel="0" collapsed="false">
      <c r="A423" s="550"/>
      <c r="B423" s="550"/>
      <c r="C423" s="550"/>
      <c r="D423" s="64"/>
      <c r="E423" s="64"/>
      <c r="F423" s="64"/>
      <c r="G423" s="64"/>
      <c r="H423" s="64"/>
      <c r="I423" s="64"/>
      <c r="J423" s="64"/>
      <c r="K423" s="64"/>
      <c r="L423" s="64"/>
      <c r="M423" s="64"/>
    </row>
    <row r="424" customFormat="false" ht="15.75" hidden="false" customHeight="true" outlineLevel="0" collapsed="false">
      <c r="A424" s="550"/>
      <c r="B424" s="550"/>
      <c r="C424" s="550"/>
      <c r="D424" s="64"/>
      <c r="E424" s="64"/>
      <c r="F424" s="64"/>
      <c r="G424" s="64"/>
      <c r="H424" s="64"/>
      <c r="I424" s="64"/>
      <c r="J424" s="64"/>
      <c r="K424" s="64"/>
      <c r="L424" s="64"/>
      <c r="M424" s="64"/>
    </row>
    <row r="425" customFormat="false" ht="15.75" hidden="false" customHeight="true" outlineLevel="0" collapsed="false">
      <c r="A425" s="550"/>
      <c r="B425" s="550"/>
      <c r="C425" s="550"/>
      <c r="D425" s="64"/>
      <c r="E425" s="64"/>
      <c r="F425" s="64"/>
      <c r="G425" s="64"/>
      <c r="H425" s="64"/>
      <c r="I425" s="64"/>
      <c r="J425" s="64"/>
      <c r="K425" s="64"/>
      <c r="L425" s="64"/>
      <c r="M425" s="64"/>
    </row>
    <row r="426" customFormat="false" ht="15.75" hidden="false" customHeight="true" outlineLevel="0" collapsed="false">
      <c r="A426" s="550"/>
      <c r="B426" s="550"/>
      <c r="C426" s="550"/>
      <c r="D426" s="64"/>
      <c r="E426" s="64"/>
      <c r="F426" s="64"/>
      <c r="G426" s="64"/>
      <c r="H426" s="64"/>
      <c r="I426" s="64"/>
      <c r="J426" s="64"/>
      <c r="K426" s="64"/>
      <c r="L426" s="64"/>
      <c r="M426" s="64"/>
    </row>
    <row r="427" customFormat="false" ht="15.75" hidden="false" customHeight="true" outlineLevel="0" collapsed="false">
      <c r="A427" s="550"/>
      <c r="B427" s="550"/>
      <c r="C427" s="550"/>
      <c r="D427" s="64"/>
      <c r="E427" s="64"/>
      <c r="F427" s="64"/>
      <c r="G427" s="64"/>
      <c r="H427" s="64"/>
      <c r="I427" s="64"/>
      <c r="J427" s="64"/>
      <c r="K427" s="64"/>
      <c r="L427" s="64"/>
      <c r="M427" s="64"/>
    </row>
    <row r="428" customFormat="false" ht="15.75" hidden="false" customHeight="true" outlineLevel="0" collapsed="false">
      <c r="A428" s="550"/>
      <c r="B428" s="550"/>
      <c r="C428" s="550"/>
      <c r="D428" s="64"/>
      <c r="E428" s="64"/>
      <c r="F428" s="64"/>
      <c r="G428" s="64"/>
      <c r="H428" s="64"/>
      <c r="I428" s="64"/>
      <c r="J428" s="64"/>
      <c r="K428" s="64"/>
      <c r="L428" s="64"/>
      <c r="M428" s="64"/>
    </row>
    <row r="429" customFormat="false" ht="15.75" hidden="false" customHeight="true" outlineLevel="0" collapsed="false">
      <c r="A429" s="550"/>
      <c r="B429" s="550"/>
      <c r="C429" s="550"/>
      <c r="D429" s="64"/>
      <c r="E429" s="64"/>
      <c r="F429" s="64"/>
      <c r="G429" s="64"/>
      <c r="H429" s="64"/>
      <c r="I429" s="64"/>
      <c r="J429" s="64"/>
      <c r="K429" s="64"/>
      <c r="L429" s="64"/>
      <c r="M429" s="64"/>
    </row>
    <row r="430" customFormat="false" ht="15.75" hidden="false" customHeight="true" outlineLevel="0" collapsed="false">
      <c r="A430" s="550"/>
      <c r="B430" s="550"/>
      <c r="C430" s="550"/>
      <c r="D430" s="64"/>
      <c r="E430" s="64"/>
      <c r="F430" s="64"/>
      <c r="G430" s="64"/>
      <c r="H430" s="64"/>
      <c r="I430" s="64"/>
      <c r="J430" s="64"/>
      <c r="K430" s="64"/>
      <c r="L430" s="64"/>
      <c r="M430" s="64"/>
    </row>
    <row r="431" customFormat="false" ht="15.75" hidden="false" customHeight="true" outlineLevel="0" collapsed="false">
      <c r="A431" s="550"/>
      <c r="B431" s="550"/>
      <c r="C431" s="550"/>
      <c r="D431" s="64"/>
      <c r="E431" s="64"/>
      <c r="F431" s="64"/>
      <c r="G431" s="64"/>
      <c r="H431" s="64"/>
      <c r="I431" s="64"/>
      <c r="J431" s="64"/>
      <c r="K431" s="64"/>
      <c r="L431" s="64"/>
      <c r="M431" s="64"/>
    </row>
    <row r="432" customFormat="false" ht="15.75" hidden="false" customHeight="true" outlineLevel="0" collapsed="false">
      <c r="A432" s="550"/>
      <c r="B432" s="550"/>
      <c r="C432" s="550"/>
      <c r="D432" s="64"/>
      <c r="E432" s="64"/>
      <c r="F432" s="64"/>
      <c r="G432" s="64"/>
      <c r="H432" s="64"/>
      <c r="I432" s="64"/>
      <c r="J432" s="64"/>
      <c r="K432" s="64"/>
      <c r="L432" s="64"/>
      <c r="M432" s="64"/>
    </row>
    <row r="433" customFormat="false" ht="15.75" hidden="false" customHeight="true" outlineLevel="0" collapsed="false">
      <c r="A433" s="550"/>
      <c r="B433" s="550"/>
      <c r="C433" s="550"/>
      <c r="D433" s="64"/>
      <c r="E433" s="64"/>
      <c r="F433" s="64"/>
      <c r="G433" s="64"/>
      <c r="H433" s="64"/>
      <c r="I433" s="64"/>
      <c r="J433" s="64"/>
      <c r="K433" s="64"/>
      <c r="L433" s="64"/>
      <c r="M433" s="64"/>
    </row>
    <row r="434" customFormat="false" ht="15.75" hidden="false" customHeight="true" outlineLevel="0" collapsed="false">
      <c r="A434" s="550"/>
      <c r="B434" s="550"/>
      <c r="C434" s="550"/>
      <c r="D434" s="64"/>
      <c r="E434" s="64"/>
      <c r="F434" s="64"/>
      <c r="G434" s="64"/>
      <c r="H434" s="64"/>
      <c r="I434" s="64"/>
      <c r="J434" s="64"/>
      <c r="K434" s="64"/>
      <c r="L434" s="64"/>
      <c r="M434" s="64"/>
    </row>
    <row r="435" customFormat="false" ht="15.75" hidden="false" customHeight="true" outlineLevel="0" collapsed="false">
      <c r="A435" s="550"/>
      <c r="B435" s="550"/>
      <c r="C435" s="550"/>
      <c r="D435" s="64"/>
      <c r="E435" s="64"/>
      <c r="F435" s="64"/>
      <c r="G435" s="64"/>
      <c r="H435" s="64"/>
      <c r="I435" s="64"/>
      <c r="J435" s="64"/>
      <c r="K435" s="64"/>
      <c r="L435" s="64"/>
      <c r="M435" s="64"/>
    </row>
    <row r="436" customFormat="false" ht="15.75" hidden="false" customHeight="true" outlineLevel="0" collapsed="false">
      <c r="A436" s="550"/>
      <c r="B436" s="550"/>
      <c r="C436" s="550"/>
      <c r="D436" s="64"/>
      <c r="E436" s="64"/>
      <c r="F436" s="64"/>
      <c r="G436" s="64"/>
      <c r="H436" s="64"/>
      <c r="I436" s="64"/>
      <c r="J436" s="64"/>
      <c r="K436" s="64"/>
      <c r="L436" s="64"/>
      <c r="M436" s="64"/>
    </row>
    <row r="437" customFormat="false" ht="15.75" hidden="false" customHeight="true" outlineLevel="0" collapsed="false">
      <c r="A437" s="550"/>
      <c r="B437" s="550"/>
      <c r="C437" s="550"/>
      <c r="D437" s="64"/>
      <c r="E437" s="64"/>
      <c r="F437" s="64"/>
      <c r="G437" s="64"/>
      <c r="H437" s="64"/>
      <c r="I437" s="64"/>
      <c r="J437" s="64"/>
      <c r="K437" s="64"/>
      <c r="L437" s="64"/>
      <c r="M437" s="64"/>
    </row>
    <row r="438" customFormat="false" ht="15.75" hidden="false" customHeight="true" outlineLevel="0" collapsed="false">
      <c r="A438" s="550"/>
      <c r="B438" s="550"/>
      <c r="C438" s="550"/>
      <c r="D438" s="64"/>
      <c r="E438" s="64"/>
      <c r="F438" s="64"/>
      <c r="G438" s="64"/>
      <c r="H438" s="64"/>
      <c r="I438" s="64"/>
      <c r="J438" s="64"/>
      <c r="K438" s="64"/>
      <c r="L438" s="64"/>
      <c r="M438" s="64"/>
    </row>
    <row r="439" customFormat="false" ht="15.75" hidden="false" customHeight="true" outlineLevel="0" collapsed="false">
      <c r="A439" s="550"/>
      <c r="B439" s="550"/>
      <c r="C439" s="550"/>
      <c r="D439" s="64"/>
      <c r="E439" s="64"/>
      <c r="F439" s="64"/>
      <c r="G439" s="64"/>
      <c r="H439" s="64"/>
      <c r="I439" s="64"/>
      <c r="J439" s="64"/>
      <c r="K439" s="64"/>
      <c r="L439" s="64"/>
      <c r="M439" s="64"/>
    </row>
    <row r="440" customFormat="false" ht="15.75" hidden="false" customHeight="true" outlineLevel="0" collapsed="false">
      <c r="A440" s="550"/>
      <c r="B440" s="550"/>
      <c r="C440" s="550"/>
      <c r="D440" s="64"/>
      <c r="E440" s="64"/>
      <c r="F440" s="64"/>
      <c r="G440" s="64"/>
      <c r="H440" s="64"/>
      <c r="I440" s="64"/>
      <c r="J440" s="64"/>
      <c r="K440" s="64"/>
      <c r="L440" s="64"/>
      <c r="M440" s="64"/>
    </row>
    <row r="441" customFormat="false" ht="15.75" hidden="false" customHeight="true" outlineLevel="0" collapsed="false">
      <c r="A441" s="550"/>
      <c r="B441" s="550"/>
      <c r="C441" s="550"/>
      <c r="D441" s="64"/>
      <c r="E441" s="64"/>
      <c r="F441" s="64"/>
      <c r="G441" s="64"/>
      <c r="H441" s="64"/>
      <c r="I441" s="64"/>
      <c r="J441" s="64"/>
      <c r="K441" s="64"/>
      <c r="L441" s="64"/>
      <c r="M441" s="64"/>
    </row>
    <row r="442" customFormat="false" ht="15.75" hidden="false" customHeight="true" outlineLevel="0" collapsed="false">
      <c r="A442" s="550"/>
      <c r="B442" s="550"/>
      <c r="C442" s="550"/>
      <c r="D442" s="64"/>
      <c r="E442" s="64"/>
      <c r="F442" s="64"/>
      <c r="G442" s="64"/>
      <c r="H442" s="64"/>
      <c r="I442" s="64"/>
      <c r="J442" s="64"/>
      <c r="K442" s="64"/>
      <c r="L442" s="64"/>
      <c r="M442" s="64"/>
    </row>
    <row r="443" customFormat="false" ht="15.75" hidden="false" customHeight="true" outlineLevel="0" collapsed="false">
      <c r="A443" s="550"/>
      <c r="B443" s="550"/>
      <c r="C443" s="550"/>
      <c r="D443" s="64"/>
      <c r="E443" s="64"/>
      <c r="F443" s="64"/>
      <c r="G443" s="64"/>
      <c r="H443" s="64"/>
      <c r="I443" s="64"/>
      <c r="J443" s="64"/>
      <c r="K443" s="64"/>
      <c r="L443" s="64"/>
      <c r="M443" s="64"/>
    </row>
    <row r="444" customFormat="false" ht="15.75" hidden="false" customHeight="true" outlineLevel="0" collapsed="false">
      <c r="A444" s="550"/>
      <c r="B444" s="550"/>
      <c r="C444" s="550"/>
      <c r="D444" s="64"/>
      <c r="E444" s="64"/>
      <c r="F444" s="64"/>
      <c r="G444" s="64"/>
      <c r="H444" s="64"/>
      <c r="I444" s="64"/>
      <c r="J444" s="64"/>
      <c r="K444" s="64"/>
      <c r="L444" s="64"/>
      <c r="M444" s="64"/>
    </row>
    <row r="445" customFormat="false" ht="15.75" hidden="false" customHeight="true" outlineLevel="0" collapsed="false">
      <c r="A445" s="550"/>
      <c r="B445" s="550"/>
      <c r="C445" s="550"/>
      <c r="D445" s="64"/>
      <c r="E445" s="64"/>
      <c r="F445" s="64"/>
      <c r="G445" s="64"/>
      <c r="H445" s="64"/>
      <c r="I445" s="64"/>
      <c r="J445" s="64"/>
      <c r="K445" s="64"/>
      <c r="L445" s="64"/>
      <c r="M445" s="64"/>
    </row>
    <row r="446" customFormat="false" ht="15.75" hidden="false" customHeight="true" outlineLevel="0" collapsed="false">
      <c r="A446" s="550"/>
      <c r="B446" s="550"/>
      <c r="C446" s="550"/>
      <c r="D446" s="64"/>
      <c r="E446" s="64"/>
      <c r="F446" s="64"/>
      <c r="G446" s="64"/>
      <c r="H446" s="64"/>
      <c r="I446" s="64"/>
      <c r="J446" s="64"/>
      <c r="K446" s="64"/>
      <c r="L446" s="64"/>
      <c r="M446" s="64"/>
    </row>
    <row r="447" customFormat="false" ht="15.75" hidden="false" customHeight="true" outlineLevel="0" collapsed="false">
      <c r="A447" s="550"/>
      <c r="B447" s="550"/>
      <c r="C447" s="550"/>
      <c r="D447" s="64"/>
      <c r="E447" s="64"/>
      <c r="F447" s="64"/>
      <c r="G447" s="64"/>
      <c r="H447" s="64"/>
      <c r="I447" s="64"/>
      <c r="J447" s="64"/>
      <c r="K447" s="64"/>
      <c r="L447" s="64"/>
      <c r="M447" s="64"/>
    </row>
    <row r="448" customFormat="false" ht="15.75" hidden="false" customHeight="true" outlineLevel="0" collapsed="false">
      <c r="A448" s="550"/>
      <c r="B448" s="550"/>
      <c r="C448" s="550"/>
      <c r="D448" s="64"/>
      <c r="E448" s="64"/>
      <c r="F448" s="64"/>
      <c r="G448" s="64"/>
      <c r="H448" s="64"/>
      <c r="I448" s="64"/>
      <c r="J448" s="64"/>
      <c r="K448" s="64"/>
      <c r="L448" s="64"/>
      <c r="M448" s="64"/>
    </row>
    <row r="449" customFormat="false" ht="15.75" hidden="false" customHeight="true" outlineLevel="0" collapsed="false">
      <c r="A449" s="550"/>
      <c r="B449" s="550"/>
      <c r="C449" s="550"/>
      <c r="D449" s="64"/>
      <c r="E449" s="64"/>
      <c r="F449" s="64"/>
      <c r="G449" s="64"/>
      <c r="H449" s="64"/>
      <c r="I449" s="64"/>
      <c r="J449" s="64"/>
      <c r="K449" s="64"/>
      <c r="L449" s="64"/>
      <c r="M449" s="64"/>
    </row>
    <row r="450" customFormat="false" ht="15.75" hidden="false" customHeight="true" outlineLevel="0" collapsed="false">
      <c r="A450" s="550"/>
      <c r="B450" s="550"/>
      <c r="C450" s="550"/>
      <c r="D450" s="64"/>
      <c r="E450" s="64"/>
      <c r="F450" s="64"/>
      <c r="G450" s="64"/>
      <c r="H450" s="64"/>
      <c r="I450" s="64"/>
      <c r="J450" s="64"/>
      <c r="K450" s="64"/>
      <c r="L450" s="64"/>
      <c r="M450" s="64"/>
    </row>
    <row r="451" customFormat="false" ht="15.75" hidden="false" customHeight="true" outlineLevel="0" collapsed="false">
      <c r="A451" s="550"/>
      <c r="B451" s="550"/>
      <c r="C451" s="550"/>
      <c r="D451" s="64"/>
      <c r="E451" s="64"/>
      <c r="F451" s="64"/>
      <c r="G451" s="64"/>
      <c r="H451" s="64"/>
      <c r="I451" s="64"/>
      <c r="J451" s="64"/>
      <c r="K451" s="64"/>
      <c r="L451" s="64"/>
      <c r="M451" s="64"/>
    </row>
    <row r="452" customFormat="false" ht="15.75" hidden="false" customHeight="true" outlineLevel="0" collapsed="false">
      <c r="A452" s="550"/>
      <c r="B452" s="550"/>
      <c r="C452" s="550"/>
      <c r="D452" s="64"/>
      <c r="E452" s="64"/>
      <c r="F452" s="64"/>
      <c r="G452" s="64"/>
      <c r="H452" s="64"/>
      <c r="I452" s="64"/>
      <c r="J452" s="64"/>
      <c r="K452" s="64"/>
      <c r="L452" s="64"/>
      <c r="M452" s="64"/>
    </row>
    <row r="453" customFormat="false" ht="15.75" hidden="false" customHeight="true" outlineLevel="0" collapsed="false">
      <c r="A453" s="550"/>
      <c r="B453" s="550"/>
      <c r="C453" s="550"/>
      <c r="D453" s="64"/>
      <c r="E453" s="64"/>
      <c r="F453" s="64"/>
      <c r="G453" s="64"/>
      <c r="H453" s="64"/>
      <c r="I453" s="64"/>
      <c r="J453" s="64"/>
      <c r="K453" s="64"/>
      <c r="L453" s="64"/>
      <c r="M453" s="64"/>
    </row>
    <row r="454" customFormat="false" ht="15.75" hidden="false" customHeight="true" outlineLevel="0" collapsed="false">
      <c r="A454" s="550"/>
      <c r="B454" s="550"/>
      <c r="C454" s="550"/>
      <c r="D454" s="64"/>
      <c r="E454" s="64"/>
      <c r="F454" s="64"/>
      <c r="G454" s="64"/>
      <c r="H454" s="64"/>
      <c r="I454" s="64"/>
      <c r="J454" s="64"/>
      <c r="K454" s="64"/>
      <c r="L454" s="64"/>
      <c r="M454" s="64"/>
    </row>
    <row r="455" customFormat="false" ht="15.75" hidden="false" customHeight="true" outlineLevel="0" collapsed="false">
      <c r="A455" s="550"/>
      <c r="B455" s="550"/>
      <c r="C455" s="550"/>
      <c r="D455" s="64"/>
      <c r="E455" s="64"/>
      <c r="F455" s="64"/>
      <c r="G455" s="64"/>
      <c r="H455" s="64"/>
      <c r="I455" s="64"/>
      <c r="J455" s="64"/>
      <c r="K455" s="64"/>
      <c r="L455" s="64"/>
      <c r="M455" s="64"/>
    </row>
    <row r="456" customFormat="false" ht="15.75" hidden="false" customHeight="true" outlineLevel="0" collapsed="false">
      <c r="A456" s="550"/>
      <c r="B456" s="550"/>
      <c r="C456" s="550"/>
      <c r="D456" s="64"/>
      <c r="E456" s="64"/>
      <c r="F456" s="64"/>
      <c r="G456" s="64"/>
      <c r="H456" s="64"/>
      <c r="I456" s="64"/>
      <c r="J456" s="64"/>
      <c r="K456" s="64"/>
      <c r="L456" s="64"/>
      <c r="M456" s="64"/>
    </row>
    <row r="457" customFormat="false" ht="15.75" hidden="false" customHeight="true" outlineLevel="0" collapsed="false">
      <c r="A457" s="550"/>
      <c r="B457" s="550"/>
      <c r="C457" s="550"/>
      <c r="D457" s="64"/>
      <c r="E457" s="64"/>
      <c r="F457" s="64"/>
      <c r="G457" s="64"/>
      <c r="H457" s="64"/>
      <c r="I457" s="64"/>
      <c r="J457" s="64"/>
      <c r="K457" s="64"/>
      <c r="L457" s="64"/>
      <c r="M457" s="64"/>
    </row>
    <row r="458" customFormat="false" ht="15.75" hidden="false" customHeight="true" outlineLevel="0" collapsed="false">
      <c r="A458" s="550"/>
      <c r="B458" s="550"/>
      <c r="C458" s="550"/>
      <c r="D458" s="64"/>
      <c r="E458" s="64"/>
      <c r="F458" s="64"/>
      <c r="G458" s="64"/>
      <c r="H458" s="64"/>
      <c r="I458" s="64"/>
      <c r="J458" s="64"/>
      <c r="K458" s="64"/>
      <c r="L458" s="64"/>
      <c r="M458" s="64"/>
    </row>
    <row r="459" customFormat="false" ht="15.75" hidden="false" customHeight="true" outlineLevel="0" collapsed="false">
      <c r="A459" s="550"/>
      <c r="B459" s="550"/>
      <c r="C459" s="550"/>
      <c r="D459" s="64"/>
      <c r="E459" s="64"/>
      <c r="F459" s="64"/>
      <c r="G459" s="64"/>
      <c r="H459" s="64"/>
      <c r="I459" s="64"/>
      <c r="J459" s="64"/>
      <c r="K459" s="64"/>
      <c r="L459" s="64"/>
      <c r="M459" s="64"/>
    </row>
    <row r="460" customFormat="false" ht="15.75" hidden="false" customHeight="true" outlineLevel="0" collapsed="false">
      <c r="A460" s="550"/>
      <c r="B460" s="550"/>
      <c r="C460" s="550"/>
      <c r="D460" s="64"/>
      <c r="E460" s="64"/>
      <c r="F460" s="64"/>
      <c r="G460" s="64"/>
      <c r="H460" s="64"/>
      <c r="I460" s="64"/>
      <c r="J460" s="64"/>
      <c r="K460" s="64"/>
      <c r="L460" s="64"/>
      <c r="M460" s="64"/>
    </row>
    <row r="461" customFormat="false" ht="15.75" hidden="false" customHeight="true" outlineLevel="0" collapsed="false">
      <c r="A461" s="550"/>
      <c r="B461" s="550"/>
      <c r="C461" s="550"/>
      <c r="D461" s="64"/>
      <c r="E461" s="64"/>
      <c r="F461" s="64"/>
      <c r="G461" s="64"/>
      <c r="H461" s="64"/>
      <c r="I461" s="64"/>
      <c r="J461" s="64"/>
      <c r="K461" s="64"/>
      <c r="L461" s="64"/>
      <c r="M461" s="64"/>
    </row>
    <row r="462" customFormat="false" ht="15.75" hidden="false" customHeight="true" outlineLevel="0" collapsed="false">
      <c r="A462" s="550"/>
      <c r="B462" s="550"/>
      <c r="C462" s="550"/>
      <c r="D462" s="64"/>
      <c r="E462" s="64"/>
      <c r="F462" s="64"/>
      <c r="G462" s="64"/>
      <c r="H462" s="64"/>
      <c r="I462" s="64"/>
      <c r="J462" s="64"/>
      <c r="K462" s="64"/>
      <c r="L462" s="64"/>
      <c r="M462" s="64"/>
    </row>
    <row r="463" customFormat="false" ht="15.75" hidden="false" customHeight="true" outlineLevel="0" collapsed="false">
      <c r="A463" s="550"/>
      <c r="B463" s="550"/>
      <c r="C463" s="550"/>
      <c r="D463" s="64"/>
      <c r="E463" s="64"/>
      <c r="F463" s="64"/>
      <c r="G463" s="64"/>
      <c r="H463" s="64"/>
      <c r="I463" s="64"/>
      <c r="J463" s="64"/>
      <c r="K463" s="64"/>
      <c r="L463" s="64"/>
      <c r="M463" s="64"/>
    </row>
    <row r="464" customFormat="false" ht="15.75" hidden="false" customHeight="true" outlineLevel="0" collapsed="false">
      <c r="A464" s="550"/>
      <c r="B464" s="550"/>
      <c r="C464" s="550"/>
      <c r="D464" s="64"/>
      <c r="E464" s="64"/>
      <c r="F464" s="64"/>
      <c r="G464" s="64"/>
      <c r="H464" s="64"/>
      <c r="I464" s="64"/>
      <c r="J464" s="64"/>
      <c r="K464" s="64"/>
      <c r="L464" s="64"/>
      <c r="M464" s="64"/>
    </row>
    <row r="465" customFormat="false" ht="15.75" hidden="false" customHeight="true" outlineLevel="0" collapsed="false">
      <c r="A465" s="550"/>
      <c r="B465" s="550"/>
      <c r="C465" s="550"/>
      <c r="D465" s="64"/>
      <c r="E465" s="64"/>
      <c r="F465" s="64"/>
      <c r="G465" s="64"/>
      <c r="H465" s="64"/>
      <c r="I465" s="64"/>
      <c r="J465" s="64"/>
      <c r="K465" s="64"/>
      <c r="L465" s="64"/>
      <c r="M465" s="64"/>
    </row>
    <row r="466" customFormat="false" ht="15.75" hidden="false" customHeight="true" outlineLevel="0" collapsed="false">
      <c r="A466" s="550"/>
      <c r="B466" s="550"/>
      <c r="C466" s="550"/>
      <c r="D466" s="64"/>
      <c r="E466" s="64"/>
      <c r="F466" s="64"/>
      <c r="G466" s="64"/>
      <c r="H466" s="64"/>
      <c r="I466" s="64"/>
      <c r="J466" s="64"/>
      <c r="K466" s="64"/>
      <c r="L466" s="64"/>
      <c r="M466" s="64"/>
    </row>
    <row r="467" customFormat="false" ht="15.75" hidden="false" customHeight="true" outlineLevel="0" collapsed="false">
      <c r="A467" s="550"/>
      <c r="B467" s="550"/>
      <c r="C467" s="550"/>
      <c r="D467" s="64"/>
      <c r="E467" s="64"/>
      <c r="F467" s="64"/>
      <c r="G467" s="64"/>
      <c r="H467" s="64"/>
      <c r="I467" s="64"/>
      <c r="J467" s="64"/>
      <c r="K467" s="64"/>
      <c r="L467" s="64"/>
      <c r="M467" s="64"/>
    </row>
    <row r="468" customFormat="false" ht="15.75" hidden="false" customHeight="true" outlineLevel="0" collapsed="false">
      <c r="A468" s="550"/>
      <c r="B468" s="550"/>
      <c r="C468" s="550"/>
      <c r="D468" s="64"/>
      <c r="E468" s="64"/>
      <c r="F468" s="64"/>
      <c r="G468" s="64"/>
      <c r="H468" s="64"/>
      <c r="I468" s="64"/>
      <c r="J468" s="64"/>
      <c r="K468" s="64"/>
      <c r="L468" s="64"/>
      <c r="M468" s="64"/>
    </row>
    <row r="469" customFormat="false" ht="15.75" hidden="false" customHeight="true" outlineLevel="0" collapsed="false">
      <c r="A469" s="550"/>
      <c r="B469" s="550"/>
      <c r="C469" s="550"/>
      <c r="D469" s="64"/>
      <c r="E469" s="64"/>
      <c r="F469" s="64"/>
      <c r="G469" s="64"/>
      <c r="H469" s="64"/>
      <c r="I469" s="64"/>
      <c r="J469" s="64"/>
      <c r="K469" s="64"/>
      <c r="L469" s="64"/>
      <c r="M469" s="64"/>
    </row>
    <row r="470" customFormat="false" ht="15.75" hidden="false" customHeight="true" outlineLevel="0" collapsed="false">
      <c r="A470" s="550"/>
      <c r="B470" s="550"/>
      <c r="C470" s="550"/>
      <c r="D470" s="64"/>
      <c r="E470" s="64"/>
      <c r="F470" s="64"/>
      <c r="G470" s="64"/>
      <c r="H470" s="64"/>
      <c r="I470" s="64"/>
      <c r="J470" s="64"/>
      <c r="K470" s="64"/>
      <c r="L470" s="64"/>
      <c r="M470" s="64"/>
    </row>
    <row r="471" customFormat="false" ht="15.75" hidden="false" customHeight="true" outlineLevel="0" collapsed="false">
      <c r="A471" s="550"/>
      <c r="B471" s="550"/>
      <c r="C471" s="550"/>
      <c r="D471" s="64"/>
      <c r="E471" s="64"/>
      <c r="F471" s="64"/>
      <c r="G471" s="64"/>
      <c r="H471" s="64"/>
      <c r="I471" s="64"/>
      <c r="J471" s="64"/>
      <c r="K471" s="64"/>
      <c r="L471" s="64"/>
      <c r="M471" s="64"/>
    </row>
    <row r="472" customFormat="false" ht="15.75" hidden="false" customHeight="true" outlineLevel="0" collapsed="false">
      <c r="A472" s="550"/>
      <c r="B472" s="550"/>
      <c r="C472" s="550"/>
      <c r="D472" s="64"/>
      <c r="E472" s="64"/>
      <c r="F472" s="64"/>
      <c r="G472" s="64"/>
      <c r="H472" s="64"/>
      <c r="I472" s="64"/>
      <c r="J472" s="64"/>
      <c r="K472" s="64"/>
      <c r="L472" s="64"/>
      <c r="M472" s="64"/>
    </row>
    <row r="473" customFormat="false" ht="15.75" hidden="false" customHeight="true" outlineLevel="0" collapsed="false">
      <c r="A473" s="550"/>
      <c r="B473" s="550"/>
      <c r="C473" s="550"/>
      <c r="D473" s="64"/>
      <c r="E473" s="64"/>
      <c r="F473" s="64"/>
      <c r="G473" s="64"/>
      <c r="H473" s="64"/>
      <c r="I473" s="64"/>
      <c r="J473" s="64"/>
      <c r="K473" s="64"/>
      <c r="L473" s="64"/>
      <c r="M473" s="64"/>
    </row>
    <row r="474" customFormat="false" ht="15.75" hidden="false" customHeight="true" outlineLevel="0" collapsed="false">
      <c r="A474" s="550"/>
      <c r="B474" s="550"/>
      <c r="C474" s="550"/>
      <c r="D474" s="64"/>
      <c r="E474" s="64"/>
      <c r="F474" s="64"/>
      <c r="G474" s="64"/>
      <c r="H474" s="64"/>
      <c r="I474" s="64"/>
      <c r="J474" s="64"/>
      <c r="K474" s="64"/>
      <c r="L474" s="64"/>
      <c r="M474" s="64"/>
    </row>
    <row r="475" customFormat="false" ht="15.75" hidden="false" customHeight="true" outlineLevel="0" collapsed="false">
      <c r="A475" s="550"/>
      <c r="B475" s="550"/>
      <c r="C475" s="550"/>
      <c r="D475" s="64"/>
      <c r="E475" s="64"/>
      <c r="F475" s="64"/>
      <c r="G475" s="64"/>
      <c r="H475" s="64"/>
      <c r="I475" s="64"/>
      <c r="J475" s="64"/>
      <c r="K475" s="64"/>
      <c r="L475" s="64"/>
      <c r="M475" s="64"/>
    </row>
    <row r="476" customFormat="false" ht="15.75" hidden="false" customHeight="true" outlineLevel="0" collapsed="false">
      <c r="A476" s="550"/>
      <c r="B476" s="550"/>
      <c r="C476" s="550"/>
      <c r="D476" s="64"/>
      <c r="E476" s="64"/>
      <c r="F476" s="64"/>
      <c r="G476" s="64"/>
      <c r="H476" s="64"/>
      <c r="I476" s="64"/>
      <c r="J476" s="64"/>
      <c r="K476" s="64"/>
      <c r="L476" s="64"/>
      <c r="M476" s="64"/>
    </row>
    <row r="477" customFormat="false" ht="15.75" hidden="false" customHeight="true" outlineLevel="0" collapsed="false">
      <c r="A477" s="550"/>
      <c r="B477" s="550"/>
      <c r="C477" s="550"/>
      <c r="D477" s="64"/>
      <c r="E477" s="64"/>
      <c r="F477" s="64"/>
      <c r="G477" s="64"/>
      <c r="H477" s="64"/>
      <c r="I477" s="64"/>
      <c r="J477" s="64"/>
      <c r="K477" s="64"/>
      <c r="L477" s="64"/>
      <c r="M477" s="64"/>
    </row>
    <row r="478" customFormat="false" ht="15.75" hidden="false" customHeight="true" outlineLevel="0" collapsed="false">
      <c r="A478" s="550"/>
      <c r="B478" s="550"/>
      <c r="C478" s="550"/>
      <c r="D478" s="64"/>
      <c r="E478" s="64"/>
      <c r="F478" s="64"/>
      <c r="G478" s="64"/>
      <c r="H478" s="64"/>
      <c r="I478" s="64"/>
      <c r="J478" s="64"/>
      <c r="K478" s="64"/>
      <c r="L478" s="64"/>
      <c r="M478" s="64"/>
    </row>
    <row r="479" customFormat="false" ht="15.75" hidden="false" customHeight="true" outlineLevel="0" collapsed="false">
      <c r="A479" s="550"/>
      <c r="B479" s="550"/>
      <c r="C479" s="550"/>
      <c r="D479" s="64"/>
      <c r="E479" s="64"/>
      <c r="F479" s="64"/>
      <c r="G479" s="64"/>
      <c r="H479" s="64"/>
      <c r="I479" s="64"/>
      <c r="J479" s="64"/>
      <c r="K479" s="64"/>
      <c r="L479" s="64"/>
      <c r="M479" s="64"/>
    </row>
    <row r="480" customFormat="false" ht="15.75" hidden="false" customHeight="true" outlineLevel="0" collapsed="false">
      <c r="A480" s="550"/>
      <c r="B480" s="550"/>
      <c r="C480" s="550"/>
      <c r="D480" s="64"/>
      <c r="E480" s="64"/>
      <c r="F480" s="64"/>
      <c r="G480" s="64"/>
      <c r="H480" s="64"/>
      <c r="I480" s="64"/>
      <c r="J480" s="64"/>
      <c r="K480" s="64"/>
      <c r="L480" s="64"/>
      <c r="M480" s="64"/>
    </row>
    <row r="481" customFormat="false" ht="15.75" hidden="false" customHeight="true" outlineLevel="0" collapsed="false">
      <c r="A481" s="550"/>
      <c r="B481" s="550"/>
      <c r="C481" s="550"/>
      <c r="D481" s="64"/>
      <c r="E481" s="64"/>
      <c r="F481" s="64"/>
      <c r="G481" s="64"/>
      <c r="H481" s="64"/>
      <c r="I481" s="64"/>
      <c r="J481" s="64"/>
      <c r="K481" s="64"/>
      <c r="L481" s="64"/>
      <c r="M481" s="64"/>
    </row>
    <row r="482" customFormat="false" ht="15.75" hidden="false" customHeight="true" outlineLevel="0" collapsed="false">
      <c r="A482" s="550"/>
      <c r="B482" s="550"/>
      <c r="C482" s="550"/>
      <c r="D482" s="64"/>
      <c r="E482" s="64"/>
      <c r="F482" s="64"/>
      <c r="G482" s="64"/>
      <c r="H482" s="64"/>
      <c r="I482" s="64"/>
      <c r="J482" s="64"/>
      <c r="K482" s="64"/>
      <c r="L482" s="64"/>
      <c r="M482" s="64"/>
    </row>
    <row r="483" customFormat="false" ht="15.75" hidden="false" customHeight="true" outlineLevel="0" collapsed="false">
      <c r="A483" s="550"/>
      <c r="B483" s="550"/>
      <c r="C483" s="550"/>
      <c r="D483" s="64"/>
      <c r="E483" s="64"/>
      <c r="F483" s="64"/>
      <c r="G483" s="64"/>
      <c r="H483" s="64"/>
      <c r="I483" s="64"/>
      <c r="J483" s="64"/>
      <c r="K483" s="64"/>
      <c r="L483" s="64"/>
      <c r="M483" s="64"/>
    </row>
    <row r="484" customFormat="false" ht="15.75" hidden="false" customHeight="true" outlineLevel="0" collapsed="false">
      <c r="A484" s="550"/>
      <c r="B484" s="550"/>
      <c r="C484" s="550"/>
      <c r="D484" s="64"/>
      <c r="E484" s="64"/>
      <c r="F484" s="64"/>
      <c r="G484" s="64"/>
      <c r="H484" s="64"/>
      <c r="I484" s="64"/>
      <c r="J484" s="64"/>
      <c r="K484" s="64"/>
      <c r="L484" s="64"/>
      <c r="M484" s="64"/>
    </row>
    <row r="485" customFormat="false" ht="15.75" hidden="false" customHeight="true" outlineLevel="0" collapsed="false">
      <c r="A485" s="550"/>
      <c r="B485" s="550"/>
      <c r="C485" s="550"/>
      <c r="D485" s="64"/>
      <c r="E485" s="64"/>
      <c r="F485" s="64"/>
      <c r="G485" s="64"/>
      <c r="H485" s="64"/>
      <c r="I485" s="64"/>
      <c r="J485" s="64"/>
      <c r="K485" s="64"/>
      <c r="L485" s="64"/>
      <c r="M485" s="64"/>
    </row>
    <row r="486" customFormat="false" ht="15.75" hidden="false" customHeight="true" outlineLevel="0" collapsed="false">
      <c r="A486" s="550"/>
      <c r="B486" s="550"/>
      <c r="C486" s="550"/>
      <c r="D486" s="64"/>
      <c r="E486" s="64"/>
      <c r="F486" s="64"/>
      <c r="G486" s="64"/>
      <c r="H486" s="64"/>
      <c r="I486" s="64"/>
      <c r="J486" s="64"/>
      <c r="K486" s="64"/>
      <c r="L486" s="64"/>
      <c r="M486" s="64"/>
    </row>
    <row r="487" customFormat="false" ht="15.75" hidden="false" customHeight="true" outlineLevel="0" collapsed="false">
      <c r="A487" s="550"/>
      <c r="B487" s="550"/>
      <c r="C487" s="550"/>
      <c r="D487" s="64"/>
      <c r="E487" s="64"/>
      <c r="F487" s="64"/>
      <c r="G487" s="64"/>
      <c r="H487" s="64"/>
      <c r="I487" s="64"/>
      <c r="J487" s="64"/>
      <c r="K487" s="64"/>
      <c r="L487" s="64"/>
      <c r="M487" s="64"/>
    </row>
    <row r="488" customFormat="false" ht="15.75" hidden="false" customHeight="true" outlineLevel="0" collapsed="false">
      <c r="A488" s="550"/>
      <c r="B488" s="550"/>
      <c r="C488" s="550"/>
      <c r="D488" s="64"/>
      <c r="E488" s="64"/>
      <c r="F488" s="64"/>
      <c r="G488" s="64"/>
      <c r="H488" s="64"/>
      <c r="I488" s="64"/>
      <c r="J488" s="64"/>
      <c r="K488" s="64"/>
      <c r="L488" s="64"/>
      <c r="M488" s="64"/>
    </row>
    <row r="489" customFormat="false" ht="15.75" hidden="false" customHeight="true" outlineLevel="0" collapsed="false">
      <c r="A489" s="550"/>
      <c r="B489" s="550"/>
      <c r="C489" s="550"/>
      <c r="D489" s="64"/>
      <c r="E489" s="64"/>
      <c r="F489" s="64"/>
      <c r="G489" s="64"/>
      <c r="H489" s="64"/>
      <c r="I489" s="64"/>
      <c r="J489" s="64"/>
      <c r="K489" s="64"/>
      <c r="L489" s="64"/>
      <c r="M489" s="64"/>
    </row>
    <row r="490" customFormat="false" ht="15.75" hidden="false" customHeight="true" outlineLevel="0" collapsed="false">
      <c r="A490" s="550"/>
      <c r="B490" s="550"/>
      <c r="C490" s="550"/>
      <c r="D490" s="64"/>
      <c r="E490" s="64"/>
      <c r="F490" s="64"/>
      <c r="G490" s="64"/>
      <c r="H490" s="64"/>
      <c r="I490" s="64"/>
      <c r="J490" s="64"/>
      <c r="K490" s="64"/>
      <c r="L490" s="64"/>
      <c r="M490" s="64"/>
    </row>
    <row r="491" customFormat="false" ht="15.75" hidden="false" customHeight="true" outlineLevel="0" collapsed="false">
      <c r="A491" s="550"/>
      <c r="B491" s="550"/>
      <c r="C491" s="550"/>
      <c r="D491" s="64"/>
      <c r="E491" s="64"/>
      <c r="F491" s="64"/>
      <c r="G491" s="64"/>
      <c r="H491" s="64"/>
      <c r="I491" s="64"/>
      <c r="J491" s="64"/>
      <c r="K491" s="64"/>
      <c r="L491" s="64"/>
      <c r="M491" s="64"/>
    </row>
    <row r="492" customFormat="false" ht="15.75" hidden="false" customHeight="true" outlineLevel="0" collapsed="false">
      <c r="A492" s="550"/>
      <c r="B492" s="550"/>
      <c r="C492" s="550"/>
      <c r="D492" s="64"/>
      <c r="E492" s="64"/>
      <c r="F492" s="64"/>
      <c r="G492" s="64"/>
      <c r="H492" s="64"/>
      <c r="I492" s="64"/>
      <c r="J492" s="64"/>
      <c r="K492" s="64"/>
      <c r="L492" s="64"/>
      <c r="M492" s="64"/>
    </row>
    <row r="493" customFormat="false" ht="15.75" hidden="false" customHeight="true" outlineLevel="0" collapsed="false">
      <c r="A493" s="550"/>
      <c r="B493" s="550"/>
      <c r="C493" s="550"/>
      <c r="D493" s="64"/>
      <c r="E493" s="64"/>
      <c r="F493" s="64"/>
      <c r="G493" s="64"/>
      <c r="H493" s="64"/>
      <c r="I493" s="64"/>
      <c r="J493" s="64"/>
      <c r="K493" s="64"/>
      <c r="L493" s="64"/>
      <c r="M493" s="64"/>
    </row>
    <row r="494" customFormat="false" ht="15.75" hidden="false" customHeight="true" outlineLevel="0" collapsed="false">
      <c r="A494" s="550"/>
      <c r="B494" s="550"/>
      <c r="C494" s="550"/>
      <c r="D494" s="64"/>
      <c r="E494" s="64"/>
      <c r="F494" s="64"/>
      <c r="G494" s="64"/>
      <c r="H494" s="64"/>
      <c r="I494" s="64"/>
      <c r="J494" s="64"/>
      <c r="K494" s="64"/>
      <c r="L494" s="64"/>
      <c r="M494" s="64"/>
    </row>
    <row r="495" customFormat="false" ht="15.75" hidden="false" customHeight="true" outlineLevel="0" collapsed="false">
      <c r="A495" s="550"/>
      <c r="B495" s="550"/>
      <c r="C495" s="550"/>
      <c r="D495" s="64"/>
      <c r="E495" s="64"/>
      <c r="F495" s="64"/>
      <c r="G495" s="64"/>
      <c r="H495" s="64"/>
      <c r="I495" s="64"/>
      <c r="J495" s="64"/>
      <c r="K495" s="64"/>
      <c r="L495" s="64"/>
      <c r="M495" s="64"/>
    </row>
    <row r="496" customFormat="false" ht="15.75" hidden="false" customHeight="true" outlineLevel="0" collapsed="false">
      <c r="A496" s="550"/>
      <c r="B496" s="550"/>
      <c r="C496" s="550"/>
      <c r="D496" s="64"/>
      <c r="E496" s="64"/>
      <c r="F496" s="64"/>
      <c r="G496" s="64"/>
      <c r="H496" s="64"/>
      <c r="I496" s="64"/>
      <c r="J496" s="64"/>
      <c r="K496" s="64"/>
      <c r="L496" s="64"/>
      <c r="M496" s="64"/>
    </row>
    <row r="497" customFormat="false" ht="15.75" hidden="false" customHeight="true" outlineLevel="0" collapsed="false">
      <c r="A497" s="550"/>
      <c r="B497" s="550"/>
      <c r="C497" s="550"/>
      <c r="D497" s="64"/>
      <c r="E497" s="64"/>
      <c r="F497" s="64"/>
      <c r="G497" s="64"/>
      <c r="H497" s="64"/>
      <c r="I497" s="64"/>
      <c r="J497" s="64"/>
      <c r="K497" s="64"/>
      <c r="L497" s="64"/>
      <c r="M497" s="64"/>
    </row>
    <row r="498" customFormat="false" ht="15.75" hidden="false" customHeight="true" outlineLevel="0" collapsed="false">
      <c r="A498" s="550"/>
      <c r="B498" s="550"/>
      <c r="C498" s="550"/>
      <c r="D498" s="64"/>
      <c r="E498" s="64"/>
      <c r="F498" s="64"/>
      <c r="G498" s="64"/>
      <c r="H498" s="64"/>
      <c r="I498" s="64"/>
      <c r="J498" s="64"/>
      <c r="K498" s="64"/>
      <c r="L498" s="64"/>
      <c r="M498" s="64"/>
    </row>
    <row r="499" customFormat="false" ht="15.75" hidden="false" customHeight="true" outlineLevel="0" collapsed="false">
      <c r="A499" s="550"/>
      <c r="B499" s="550"/>
      <c r="C499" s="550"/>
      <c r="D499" s="64"/>
      <c r="E499" s="64"/>
      <c r="F499" s="64"/>
      <c r="G499" s="64"/>
      <c r="H499" s="64"/>
      <c r="I499" s="64"/>
      <c r="J499" s="64"/>
      <c r="K499" s="64"/>
      <c r="L499" s="64"/>
      <c r="M499" s="64"/>
    </row>
    <row r="500" customFormat="false" ht="15.75" hidden="false" customHeight="true" outlineLevel="0" collapsed="false">
      <c r="A500" s="550"/>
      <c r="B500" s="550"/>
      <c r="C500" s="550"/>
      <c r="D500" s="64"/>
      <c r="E500" s="64"/>
      <c r="F500" s="64"/>
      <c r="G500" s="64"/>
      <c r="H500" s="64"/>
      <c r="I500" s="64"/>
      <c r="J500" s="64"/>
      <c r="K500" s="64"/>
      <c r="L500" s="64"/>
      <c r="M500" s="64"/>
    </row>
    <row r="501" customFormat="false" ht="15.75" hidden="false" customHeight="true" outlineLevel="0" collapsed="false">
      <c r="A501" s="550"/>
      <c r="B501" s="550"/>
      <c r="C501" s="550"/>
      <c r="D501" s="64"/>
      <c r="E501" s="64"/>
      <c r="F501" s="64"/>
      <c r="G501" s="64"/>
      <c r="H501" s="64"/>
      <c r="I501" s="64"/>
      <c r="J501" s="64"/>
      <c r="K501" s="64"/>
      <c r="L501" s="64"/>
      <c r="M501" s="64"/>
    </row>
    <row r="502" customFormat="false" ht="15.75" hidden="false" customHeight="true" outlineLevel="0" collapsed="false">
      <c r="A502" s="550"/>
      <c r="B502" s="550"/>
      <c r="C502" s="550"/>
      <c r="D502" s="64"/>
      <c r="E502" s="64"/>
      <c r="F502" s="64"/>
      <c r="G502" s="64"/>
      <c r="H502" s="64"/>
      <c r="I502" s="64"/>
      <c r="J502" s="64"/>
      <c r="K502" s="64"/>
      <c r="L502" s="64"/>
      <c r="M502" s="64"/>
    </row>
    <row r="503" customFormat="false" ht="15.75" hidden="false" customHeight="true" outlineLevel="0" collapsed="false">
      <c r="A503" s="550"/>
      <c r="B503" s="550"/>
      <c r="C503" s="550"/>
      <c r="D503" s="64"/>
      <c r="E503" s="64"/>
      <c r="F503" s="64"/>
      <c r="G503" s="64"/>
      <c r="H503" s="64"/>
      <c r="I503" s="64"/>
      <c r="J503" s="64"/>
      <c r="K503" s="64"/>
      <c r="L503" s="64"/>
      <c r="M503" s="64"/>
    </row>
    <row r="504" customFormat="false" ht="15.75" hidden="false" customHeight="true" outlineLevel="0" collapsed="false">
      <c r="A504" s="550"/>
      <c r="B504" s="550"/>
      <c r="C504" s="550"/>
      <c r="D504" s="64"/>
      <c r="E504" s="64"/>
      <c r="F504" s="64"/>
      <c r="G504" s="64"/>
      <c r="H504" s="64"/>
      <c r="I504" s="64"/>
      <c r="J504" s="64"/>
      <c r="K504" s="64"/>
      <c r="L504" s="64"/>
      <c r="M504" s="64"/>
    </row>
    <row r="505" customFormat="false" ht="15.75" hidden="false" customHeight="true" outlineLevel="0" collapsed="false">
      <c r="A505" s="550"/>
      <c r="B505" s="550"/>
      <c r="C505" s="550"/>
      <c r="D505" s="64"/>
      <c r="E505" s="64"/>
      <c r="F505" s="64"/>
      <c r="G505" s="64"/>
      <c r="H505" s="64"/>
      <c r="I505" s="64"/>
      <c r="J505" s="64"/>
      <c r="K505" s="64"/>
      <c r="L505" s="64"/>
      <c r="M505" s="64"/>
    </row>
    <row r="506" customFormat="false" ht="15.75" hidden="false" customHeight="true" outlineLevel="0" collapsed="false">
      <c r="A506" s="550"/>
      <c r="B506" s="550"/>
      <c r="C506" s="550"/>
      <c r="D506" s="64"/>
      <c r="E506" s="64"/>
      <c r="F506" s="64"/>
      <c r="G506" s="64"/>
      <c r="H506" s="64"/>
      <c r="I506" s="64"/>
      <c r="J506" s="64"/>
      <c r="K506" s="64"/>
      <c r="L506" s="64"/>
      <c r="M506" s="64"/>
    </row>
    <row r="507" customFormat="false" ht="15.75" hidden="false" customHeight="true" outlineLevel="0" collapsed="false">
      <c r="A507" s="550"/>
      <c r="B507" s="550"/>
      <c r="C507" s="550"/>
      <c r="D507" s="64"/>
      <c r="E507" s="64"/>
      <c r="F507" s="64"/>
      <c r="G507" s="64"/>
      <c r="H507" s="64"/>
      <c r="I507" s="64"/>
      <c r="J507" s="64"/>
      <c r="K507" s="64"/>
      <c r="L507" s="64"/>
      <c r="M507" s="64"/>
    </row>
    <row r="508" customFormat="false" ht="15.75" hidden="false" customHeight="true" outlineLevel="0" collapsed="false">
      <c r="A508" s="550"/>
      <c r="B508" s="550"/>
      <c r="C508" s="550"/>
      <c r="D508" s="64"/>
      <c r="E508" s="64"/>
      <c r="F508" s="64"/>
      <c r="G508" s="64"/>
      <c r="H508" s="64"/>
      <c r="I508" s="64"/>
      <c r="J508" s="64"/>
      <c r="K508" s="64"/>
      <c r="L508" s="64"/>
      <c r="M508" s="64"/>
    </row>
    <row r="509" customFormat="false" ht="15.75" hidden="false" customHeight="true" outlineLevel="0" collapsed="false">
      <c r="A509" s="550"/>
      <c r="B509" s="550"/>
      <c r="C509" s="550"/>
      <c r="D509" s="64"/>
      <c r="E509" s="64"/>
      <c r="F509" s="64"/>
      <c r="G509" s="64"/>
      <c r="H509" s="64"/>
      <c r="I509" s="64"/>
      <c r="J509" s="64"/>
      <c r="K509" s="64"/>
      <c r="L509" s="64"/>
      <c r="M509" s="64"/>
    </row>
    <row r="510" customFormat="false" ht="15.75" hidden="false" customHeight="true" outlineLevel="0" collapsed="false">
      <c r="A510" s="550"/>
      <c r="B510" s="550"/>
      <c r="C510" s="550"/>
      <c r="D510" s="64"/>
      <c r="E510" s="64"/>
      <c r="F510" s="64"/>
      <c r="G510" s="64"/>
      <c r="H510" s="64"/>
      <c r="I510" s="64"/>
      <c r="J510" s="64"/>
      <c r="K510" s="64"/>
      <c r="L510" s="64"/>
      <c r="M510" s="64"/>
    </row>
    <row r="511" customFormat="false" ht="15.75" hidden="false" customHeight="true" outlineLevel="0" collapsed="false">
      <c r="A511" s="550"/>
      <c r="B511" s="550"/>
      <c r="C511" s="550"/>
      <c r="D511" s="64"/>
      <c r="E511" s="64"/>
      <c r="F511" s="64"/>
      <c r="G511" s="64"/>
      <c r="H511" s="64"/>
      <c r="I511" s="64"/>
      <c r="J511" s="64"/>
      <c r="K511" s="64"/>
      <c r="L511" s="64"/>
      <c r="M511" s="64"/>
    </row>
    <row r="512" customFormat="false" ht="15.75" hidden="false" customHeight="true" outlineLevel="0" collapsed="false">
      <c r="A512" s="550"/>
      <c r="B512" s="550"/>
      <c r="C512" s="550"/>
      <c r="D512" s="64"/>
      <c r="E512" s="64"/>
      <c r="F512" s="64"/>
      <c r="G512" s="64"/>
      <c r="H512" s="64"/>
      <c r="I512" s="64"/>
      <c r="J512" s="64"/>
      <c r="K512" s="64"/>
      <c r="L512" s="64"/>
      <c r="M512" s="64"/>
    </row>
    <row r="513" customFormat="false" ht="15.75" hidden="false" customHeight="true" outlineLevel="0" collapsed="false">
      <c r="A513" s="550"/>
      <c r="B513" s="550"/>
      <c r="C513" s="550"/>
      <c r="D513" s="64"/>
      <c r="E513" s="64"/>
      <c r="F513" s="64"/>
      <c r="G513" s="64"/>
      <c r="H513" s="64"/>
      <c r="I513" s="64"/>
      <c r="J513" s="64"/>
      <c r="K513" s="64"/>
      <c r="L513" s="64"/>
      <c r="M513" s="64"/>
    </row>
    <row r="514" customFormat="false" ht="15.75" hidden="false" customHeight="true" outlineLevel="0" collapsed="false">
      <c r="A514" s="550"/>
      <c r="B514" s="550"/>
      <c r="C514" s="550"/>
      <c r="D514" s="64"/>
      <c r="E514" s="64"/>
      <c r="F514" s="64"/>
      <c r="G514" s="64"/>
      <c r="H514" s="64"/>
      <c r="I514" s="64"/>
      <c r="J514" s="64"/>
      <c r="K514" s="64"/>
      <c r="L514" s="64"/>
      <c r="M514" s="64"/>
    </row>
    <row r="515" customFormat="false" ht="15.75" hidden="false" customHeight="true" outlineLevel="0" collapsed="false">
      <c r="A515" s="550"/>
      <c r="B515" s="550"/>
      <c r="C515" s="550"/>
      <c r="D515" s="64"/>
      <c r="E515" s="64"/>
      <c r="F515" s="64"/>
      <c r="G515" s="64"/>
      <c r="H515" s="64"/>
      <c r="I515" s="64"/>
      <c r="J515" s="64"/>
      <c r="K515" s="64"/>
      <c r="L515" s="64"/>
      <c r="M515" s="64"/>
    </row>
    <row r="516" customFormat="false" ht="15.75" hidden="false" customHeight="true" outlineLevel="0" collapsed="false">
      <c r="A516" s="550"/>
      <c r="B516" s="550"/>
      <c r="C516" s="550"/>
      <c r="D516" s="64"/>
      <c r="E516" s="64"/>
      <c r="F516" s="64"/>
      <c r="G516" s="64"/>
      <c r="H516" s="64"/>
      <c r="I516" s="64"/>
      <c r="J516" s="64"/>
      <c r="K516" s="64"/>
      <c r="L516" s="64"/>
      <c r="M516" s="64"/>
    </row>
    <row r="517" customFormat="false" ht="15.75" hidden="false" customHeight="true" outlineLevel="0" collapsed="false">
      <c r="A517" s="550"/>
      <c r="B517" s="550"/>
      <c r="C517" s="550"/>
      <c r="D517" s="64"/>
      <c r="E517" s="64"/>
      <c r="F517" s="64"/>
      <c r="G517" s="64"/>
      <c r="H517" s="64"/>
      <c r="I517" s="64"/>
      <c r="J517" s="64"/>
      <c r="K517" s="64"/>
      <c r="L517" s="64"/>
      <c r="M517" s="64"/>
    </row>
    <row r="518" customFormat="false" ht="15.75" hidden="false" customHeight="true" outlineLevel="0" collapsed="false">
      <c r="A518" s="550"/>
      <c r="B518" s="550"/>
      <c r="C518" s="550"/>
      <c r="D518" s="64"/>
      <c r="E518" s="64"/>
      <c r="F518" s="64"/>
      <c r="G518" s="64"/>
      <c r="H518" s="64"/>
      <c r="I518" s="64"/>
      <c r="J518" s="64"/>
      <c r="K518" s="64"/>
      <c r="L518" s="64"/>
      <c r="M518" s="64"/>
    </row>
    <row r="519" customFormat="false" ht="15.75" hidden="false" customHeight="true" outlineLevel="0" collapsed="false">
      <c r="A519" s="550"/>
      <c r="B519" s="550"/>
      <c r="C519" s="550"/>
      <c r="D519" s="64"/>
      <c r="E519" s="64"/>
      <c r="F519" s="64"/>
      <c r="G519" s="64"/>
      <c r="H519" s="64"/>
      <c r="I519" s="64"/>
      <c r="J519" s="64"/>
      <c r="K519" s="64"/>
      <c r="L519" s="64"/>
      <c r="M519" s="64"/>
    </row>
    <row r="520" customFormat="false" ht="15.75" hidden="false" customHeight="true" outlineLevel="0" collapsed="false">
      <c r="A520" s="550"/>
      <c r="B520" s="550"/>
      <c r="C520" s="550"/>
      <c r="D520" s="64"/>
      <c r="E520" s="64"/>
      <c r="F520" s="64"/>
      <c r="G520" s="64"/>
      <c r="H520" s="64"/>
      <c r="I520" s="64"/>
      <c r="J520" s="64"/>
      <c r="K520" s="64"/>
      <c r="L520" s="64"/>
      <c r="M520" s="64"/>
    </row>
    <row r="521" customFormat="false" ht="15.75" hidden="false" customHeight="true" outlineLevel="0" collapsed="false">
      <c r="A521" s="550"/>
      <c r="B521" s="550"/>
      <c r="C521" s="550"/>
      <c r="D521" s="64"/>
      <c r="E521" s="64"/>
      <c r="F521" s="64"/>
      <c r="G521" s="64"/>
      <c r="H521" s="64"/>
      <c r="I521" s="64"/>
      <c r="J521" s="64"/>
      <c r="K521" s="64"/>
      <c r="L521" s="64"/>
      <c r="M521" s="64"/>
    </row>
    <row r="522" customFormat="false" ht="15.75" hidden="false" customHeight="true" outlineLevel="0" collapsed="false">
      <c r="A522" s="550"/>
      <c r="B522" s="550"/>
      <c r="C522" s="550"/>
      <c r="D522" s="64"/>
      <c r="E522" s="64"/>
      <c r="F522" s="64"/>
      <c r="G522" s="64"/>
      <c r="H522" s="64"/>
      <c r="I522" s="64"/>
      <c r="J522" s="64"/>
      <c r="K522" s="64"/>
      <c r="L522" s="64"/>
      <c r="M522" s="64"/>
    </row>
    <row r="523" customFormat="false" ht="15.75" hidden="false" customHeight="true" outlineLevel="0" collapsed="false">
      <c r="A523" s="550"/>
      <c r="B523" s="550"/>
      <c r="C523" s="550"/>
      <c r="D523" s="64"/>
      <c r="E523" s="64"/>
      <c r="F523" s="64"/>
      <c r="G523" s="64"/>
      <c r="H523" s="64"/>
      <c r="I523" s="64"/>
      <c r="J523" s="64"/>
      <c r="K523" s="64"/>
      <c r="L523" s="64"/>
      <c r="M523" s="64"/>
    </row>
    <row r="524" customFormat="false" ht="15.75" hidden="false" customHeight="true" outlineLevel="0" collapsed="false">
      <c r="A524" s="550"/>
      <c r="B524" s="550"/>
      <c r="C524" s="550"/>
      <c r="D524" s="64"/>
      <c r="E524" s="64"/>
      <c r="F524" s="64"/>
      <c r="G524" s="64"/>
      <c r="H524" s="64"/>
      <c r="I524" s="64"/>
      <c r="J524" s="64"/>
      <c r="K524" s="64"/>
      <c r="L524" s="64"/>
      <c r="M524" s="64"/>
    </row>
    <row r="525" customFormat="false" ht="15.75" hidden="false" customHeight="true" outlineLevel="0" collapsed="false">
      <c r="A525" s="550"/>
      <c r="B525" s="550"/>
      <c r="C525" s="550"/>
      <c r="D525" s="64"/>
      <c r="E525" s="64"/>
      <c r="F525" s="64"/>
      <c r="G525" s="64"/>
      <c r="H525" s="64"/>
      <c r="I525" s="64"/>
      <c r="J525" s="64"/>
      <c r="K525" s="64"/>
      <c r="L525" s="64"/>
      <c r="M525" s="64"/>
    </row>
    <row r="526" customFormat="false" ht="15.75" hidden="false" customHeight="true" outlineLevel="0" collapsed="false">
      <c r="A526" s="550"/>
      <c r="B526" s="550"/>
      <c r="C526" s="550"/>
      <c r="D526" s="64"/>
      <c r="E526" s="64"/>
      <c r="F526" s="64"/>
      <c r="G526" s="64"/>
      <c r="H526" s="64"/>
      <c r="I526" s="64"/>
      <c r="J526" s="64"/>
      <c r="K526" s="64"/>
      <c r="L526" s="64"/>
      <c r="M526" s="64"/>
    </row>
    <row r="527" customFormat="false" ht="15.75" hidden="false" customHeight="true" outlineLevel="0" collapsed="false">
      <c r="A527" s="550"/>
      <c r="B527" s="550"/>
      <c r="C527" s="550"/>
      <c r="D527" s="64"/>
      <c r="E527" s="64"/>
      <c r="F527" s="64"/>
      <c r="G527" s="64"/>
      <c r="H527" s="64"/>
      <c r="I527" s="64"/>
      <c r="J527" s="64"/>
      <c r="K527" s="64"/>
      <c r="L527" s="64"/>
      <c r="M527" s="64"/>
    </row>
    <row r="528" customFormat="false" ht="15.75" hidden="false" customHeight="true" outlineLevel="0" collapsed="false">
      <c r="A528" s="550"/>
      <c r="B528" s="550"/>
      <c r="C528" s="550"/>
      <c r="D528" s="64"/>
      <c r="E528" s="64"/>
      <c r="F528" s="64"/>
      <c r="G528" s="64"/>
      <c r="H528" s="64"/>
      <c r="I528" s="64"/>
      <c r="J528" s="64"/>
      <c r="K528" s="64"/>
      <c r="L528" s="64"/>
      <c r="M528" s="64"/>
    </row>
    <row r="529" customFormat="false" ht="15.75" hidden="false" customHeight="true" outlineLevel="0" collapsed="false">
      <c r="A529" s="550"/>
      <c r="B529" s="550"/>
      <c r="C529" s="550"/>
      <c r="D529" s="64"/>
      <c r="E529" s="64"/>
      <c r="F529" s="64"/>
      <c r="G529" s="64"/>
      <c r="H529" s="64"/>
      <c r="I529" s="64"/>
      <c r="J529" s="64"/>
      <c r="K529" s="64"/>
      <c r="L529" s="64"/>
      <c r="M529" s="64"/>
    </row>
    <row r="530" customFormat="false" ht="15.75" hidden="false" customHeight="true" outlineLevel="0" collapsed="false">
      <c r="A530" s="550"/>
      <c r="B530" s="550"/>
      <c r="C530" s="550"/>
      <c r="D530" s="64"/>
      <c r="E530" s="64"/>
      <c r="F530" s="64"/>
      <c r="G530" s="64"/>
      <c r="H530" s="64"/>
      <c r="I530" s="64"/>
      <c r="J530" s="64"/>
      <c r="K530" s="64"/>
      <c r="L530" s="64"/>
      <c r="M530" s="64"/>
    </row>
    <row r="531" customFormat="false" ht="15.75" hidden="false" customHeight="true" outlineLevel="0" collapsed="false">
      <c r="A531" s="550"/>
      <c r="B531" s="550"/>
      <c r="C531" s="550"/>
      <c r="D531" s="64"/>
      <c r="E531" s="64"/>
      <c r="F531" s="64"/>
      <c r="G531" s="64"/>
      <c r="H531" s="64"/>
      <c r="I531" s="64"/>
      <c r="J531" s="64"/>
      <c r="K531" s="64"/>
      <c r="L531" s="64"/>
      <c r="M531" s="64"/>
    </row>
    <row r="532" customFormat="false" ht="15.75" hidden="false" customHeight="true" outlineLevel="0" collapsed="false">
      <c r="A532" s="550"/>
      <c r="B532" s="550"/>
      <c r="C532" s="550"/>
      <c r="D532" s="64"/>
      <c r="E532" s="64"/>
      <c r="F532" s="64"/>
      <c r="G532" s="64"/>
      <c r="H532" s="64"/>
      <c r="I532" s="64"/>
      <c r="J532" s="64"/>
      <c r="K532" s="64"/>
      <c r="L532" s="64"/>
      <c r="M532" s="64"/>
    </row>
    <row r="533" customFormat="false" ht="15.75" hidden="false" customHeight="true" outlineLevel="0" collapsed="false">
      <c r="A533" s="550"/>
      <c r="B533" s="550"/>
      <c r="C533" s="550"/>
      <c r="D533" s="64"/>
      <c r="E533" s="64"/>
      <c r="F533" s="64"/>
      <c r="G533" s="64"/>
      <c r="H533" s="64"/>
      <c r="I533" s="64"/>
      <c r="J533" s="64"/>
      <c r="K533" s="64"/>
      <c r="L533" s="64"/>
      <c r="M533" s="64"/>
    </row>
    <row r="534" customFormat="false" ht="15.75" hidden="false" customHeight="true" outlineLevel="0" collapsed="false">
      <c r="A534" s="550"/>
      <c r="B534" s="550"/>
      <c r="C534" s="550"/>
      <c r="D534" s="64"/>
      <c r="E534" s="64"/>
      <c r="F534" s="64"/>
      <c r="G534" s="64"/>
      <c r="H534" s="64"/>
      <c r="I534" s="64"/>
      <c r="J534" s="64"/>
      <c r="K534" s="64"/>
      <c r="L534" s="64"/>
      <c r="M534" s="64"/>
    </row>
    <row r="535" customFormat="false" ht="15.75" hidden="false" customHeight="true" outlineLevel="0" collapsed="false">
      <c r="A535" s="550"/>
      <c r="B535" s="550"/>
      <c r="C535" s="550"/>
      <c r="D535" s="64"/>
      <c r="E535" s="64"/>
      <c r="F535" s="64"/>
      <c r="G535" s="64"/>
      <c r="H535" s="64"/>
      <c r="I535" s="64"/>
      <c r="J535" s="64"/>
      <c r="K535" s="64"/>
      <c r="L535" s="64"/>
      <c r="M535" s="64"/>
    </row>
    <row r="536" customFormat="false" ht="15.75" hidden="false" customHeight="true" outlineLevel="0" collapsed="false">
      <c r="A536" s="550"/>
      <c r="B536" s="550"/>
      <c r="C536" s="550"/>
      <c r="D536" s="64"/>
      <c r="E536" s="64"/>
      <c r="F536" s="64"/>
      <c r="G536" s="64"/>
      <c r="H536" s="64"/>
      <c r="I536" s="64"/>
      <c r="J536" s="64"/>
      <c r="K536" s="64"/>
      <c r="L536" s="64"/>
      <c r="M536" s="64"/>
    </row>
    <row r="537" customFormat="false" ht="15.75" hidden="false" customHeight="true" outlineLevel="0" collapsed="false">
      <c r="A537" s="550"/>
      <c r="B537" s="550"/>
      <c r="C537" s="550"/>
      <c r="D537" s="64"/>
      <c r="E537" s="64"/>
      <c r="F537" s="64"/>
      <c r="G537" s="64"/>
      <c r="H537" s="64"/>
      <c r="I537" s="64"/>
      <c r="J537" s="64"/>
      <c r="K537" s="64"/>
      <c r="L537" s="64"/>
      <c r="M537" s="64"/>
    </row>
    <row r="538" customFormat="false" ht="15.75" hidden="false" customHeight="true" outlineLevel="0" collapsed="false">
      <c r="A538" s="550"/>
      <c r="B538" s="550"/>
      <c r="C538" s="550"/>
      <c r="D538" s="64"/>
      <c r="E538" s="64"/>
      <c r="F538" s="64"/>
      <c r="G538" s="64"/>
      <c r="H538" s="64"/>
      <c r="I538" s="64"/>
      <c r="J538" s="64"/>
      <c r="K538" s="64"/>
      <c r="L538" s="64"/>
      <c r="M538" s="64"/>
    </row>
    <row r="539" customFormat="false" ht="15.75" hidden="false" customHeight="true" outlineLevel="0" collapsed="false">
      <c r="A539" s="550"/>
      <c r="B539" s="550"/>
      <c r="C539" s="550"/>
      <c r="D539" s="64"/>
      <c r="E539" s="64"/>
      <c r="F539" s="64"/>
      <c r="G539" s="64"/>
      <c r="H539" s="64"/>
      <c r="I539" s="64"/>
      <c r="J539" s="64"/>
      <c r="K539" s="64"/>
      <c r="L539" s="64"/>
      <c r="M539" s="64"/>
    </row>
    <row r="540" customFormat="false" ht="15.75" hidden="false" customHeight="true" outlineLevel="0" collapsed="false">
      <c r="A540" s="550"/>
      <c r="B540" s="550"/>
      <c r="C540" s="550"/>
      <c r="D540" s="64"/>
      <c r="E540" s="64"/>
      <c r="F540" s="64"/>
      <c r="G540" s="64"/>
      <c r="H540" s="64"/>
      <c r="I540" s="64"/>
      <c r="J540" s="64"/>
      <c r="K540" s="64"/>
      <c r="L540" s="64"/>
      <c r="M540" s="64"/>
    </row>
    <row r="541" customFormat="false" ht="15.75" hidden="false" customHeight="true" outlineLevel="0" collapsed="false">
      <c r="A541" s="550"/>
      <c r="B541" s="550"/>
      <c r="C541" s="550"/>
      <c r="D541" s="64"/>
      <c r="E541" s="64"/>
      <c r="F541" s="64"/>
      <c r="G541" s="64"/>
      <c r="H541" s="64"/>
      <c r="I541" s="64"/>
      <c r="J541" s="64"/>
      <c r="K541" s="64"/>
      <c r="L541" s="64"/>
      <c r="M541" s="64"/>
    </row>
    <row r="542" customFormat="false" ht="15.75" hidden="false" customHeight="true" outlineLevel="0" collapsed="false">
      <c r="A542" s="550"/>
      <c r="B542" s="550"/>
      <c r="C542" s="550"/>
      <c r="D542" s="64"/>
      <c r="E542" s="64"/>
      <c r="F542" s="64"/>
      <c r="G542" s="64"/>
      <c r="H542" s="64"/>
      <c r="I542" s="64"/>
      <c r="J542" s="64"/>
      <c r="K542" s="64"/>
      <c r="L542" s="64"/>
      <c r="M542" s="64"/>
    </row>
    <row r="543" customFormat="false" ht="15.75" hidden="false" customHeight="true" outlineLevel="0" collapsed="false">
      <c r="A543" s="550"/>
      <c r="B543" s="550"/>
      <c r="C543" s="550"/>
      <c r="D543" s="64"/>
      <c r="E543" s="64"/>
      <c r="F543" s="64"/>
      <c r="G543" s="64"/>
      <c r="H543" s="64"/>
      <c r="I543" s="64"/>
      <c r="J543" s="64"/>
      <c r="K543" s="64"/>
      <c r="L543" s="64"/>
      <c r="M543" s="64"/>
    </row>
    <row r="544" customFormat="false" ht="15.75" hidden="false" customHeight="true" outlineLevel="0" collapsed="false">
      <c r="A544" s="550"/>
      <c r="B544" s="550"/>
      <c r="C544" s="550"/>
      <c r="D544" s="64"/>
      <c r="E544" s="64"/>
      <c r="F544" s="64"/>
      <c r="G544" s="64"/>
      <c r="H544" s="64"/>
      <c r="I544" s="64"/>
      <c r="J544" s="64"/>
      <c r="K544" s="64"/>
      <c r="L544" s="64"/>
      <c r="M544" s="64"/>
    </row>
    <row r="545" customFormat="false" ht="15.75" hidden="false" customHeight="true" outlineLevel="0" collapsed="false">
      <c r="A545" s="550"/>
      <c r="B545" s="550"/>
      <c r="C545" s="550"/>
      <c r="D545" s="64"/>
      <c r="E545" s="64"/>
      <c r="F545" s="64"/>
      <c r="G545" s="64"/>
      <c r="H545" s="64"/>
      <c r="I545" s="64"/>
      <c r="J545" s="64"/>
      <c r="K545" s="64"/>
      <c r="L545" s="64"/>
      <c r="M545" s="64"/>
    </row>
    <row r="546" customFormat="false" ht="15.75" hidden="false" customHeight="true" outlineLevel="0" collapsed="false">
      <c r="A546" s="550"/>
      <c r="B546" s="550"/>
      <c r="C546" s="550"/>
      <c r="D546" s="64"/>
      <c r="E546" s="64"/>
      <c r="F546" s="64"/>
      <c r="G546" s="64"/>
      <c r="H546" s="64"/>
      <c r="I546" s="64"/>
      <c r="J546" s="64"/>
      <c r="K546" s="64"/>
      <c r="L546" s="64"/>
      <c r="M546" s="64"/>
    </row>
    <row r="547" customFormat="false" ht="15.75" hidden="false" customHeight="true" outlineLevel="0" collapsed="false">
      <c r="A547" s="550"/>
      <c r="B547" s="550"/>
      <c r="C547" s="550"/>
      <c r="D547" s="64"/>
      <c r="E547" s="64"/>
      <c r="F547" s="64"/>
      <c r="G547" s="64"/>
      <c r="H547" s="64"/>
      <c r="I547" s="64"/>
      <c r="J547" s="64"/>
      <c r="K547" s="64"/>
      <c r="L547" s="64"/>
      <c r="M547" s="64"/>
    </row>
    <row r="548" customFormat="false" ht="15.75" hidden="false" customHeight="true" outlineLevel="0" collapsed="false">
      <c r="A548" s="550"/>
      <c r="B548" s="550"/>
      <c r="C548" s="550"/>
      <c r="D548" s="64"/>
      <c r="E548" s="64"/>
      <c r="F548" s="64"/>
      <c r="G548" s="64"/>
      <c r="H548" s="64"/>
      <c r="I548" s="64"/>
      <c r="J548" s="64"/>
      <c r="K548" s="64"/>
      <c r="L548" s="64"/>
      <c r="M548" s="64"/>
    </row>
    <row r="549" customFormat="false" ht="15.75" hidden="false" customHeight="true" outlineLevel="0" collapsed="false">
      <c r="A549" s="550"/>
      <c r="B549" s="550"/>
      <c r="C549" s="550"/>
      <c r="D549" s="64"/>
      <c r="E549" s="64"/>
      <c r="F549" s="64"/>
      <c r="G549" s="64"/>
      <c r="H549" s="64"/>
      <c r="I549" s="64"/>
      <c r="J549" s="64"/>
      <c r="K549" s="64"/>
      <c r="L549" s="64"/>
      <c r="M549" s="64"/>
    </row>
    <row r="550" customFormat="false" ht="15.75" hidden="false" customHeight="true" outlineLevel="0" collapsed="false">
      <c r="A550" s="550"/>
      <c r="B550" s="550"/>
      <c r="C550" s="550"/>
      <c r="D550" s="64"/>
      <c r="E550" s="64"/>
      <c r="F550" s="64"/>
      <c r="G550" s="64"/>
      <c r="H550" s="64"/>
      <c r="I550" s="64"/>
      <c r="J550" s="64"/>
      <c r="K550" s="64"/>
      <c r="L550" s="64"/>
      <c r="M550" s="64"/>
    </row>
    <row r="551" customFormat="false" ht="15.75" hidden="false" customHeight="true" outlineLevel="0" collapsed="false">
      <c r="A551" s="550"/>
      <c r="B551" s="550"/>
      <c r="C551" s="550"/>
      <c r="D551" s="64"/>
      <c r="E551" s="64"/>
      <c r="F551" s="64"/>
      <c r="G551" s="64"/>
      <c r="H551" s="64"/>
      <c r="I551" s="64"/>
      <c r="J551" s="64"/>
      <c r="K551" s="64"/>
      <c r="L551" s="64"/>
      <c r="M551" s="64"/>
    </row>
    <row r="552" customFormat="false" ht="15.75" hidden="false" customHeight="true" outlineLevel="0" collapsed="false">
      <c r="A552" s="550"/>
      <c r="B552" s="550"/>
      <c r="C552" s="550"/>
      <c r="D552" s="64"/>
      <c r="E552" s="64"/>
      <c r="F552" s="64"/>
      <c r="G552" s="64"/>
      <c r="H552" s="64"/>
      <c r="I552" s="64"/>
      <c r="J552" s="64"/>
      <c r="K552" s="64"/>
      <c r="L552" s="64"/>
      <c r="M552" s="64"/>
    </row>
    <row r="553" customFormat="false" ht="15.75" hidden="false" customHeight="true" outlineLevel="0" collapsed="false">
      <c r="A553" s="550"/>
      <c r="B553" s="550"/>
      <c r="C553" s="550"/>
      <c r="D553" s="64"/>
      <c r="E553" s="64"/>
      <c r="F553" s="64"/>
      <c r="G553" s="64"/>
      <c r="H553" s="64"/>
      <c r="I553" s="64"/>
      <c r="J553" s="64"/>
      <c r="K553" s="64"/>
      <c r="L553" s="64"/>
      <c r="M553" s="64"/>
    </row>
    <row r="554" customFormat="false" ht="15.75" hidden="false" customHeight="true" outlineLevel="0" collapsed="false">
      <c r="A554" s="550"/>
      <c r="B554" s="550"/>
      <c r="C554" s="550"/>
      <c r="D554" s="64"/>
      <c r="E554" s="64"/>
      <c r="F554" s="64"/>
      <c r="G554" s="64"/>
      <c r="H554" s="64"/>
      <c r="I554" s="64"/>
      <c r="J554" s="64"/>
      <c r="K554" s="64"/>
      <c r="L554" s="64"/>
      <c r="M554" s="64"/>
    </row>
    <row r="555" customFormat="false" ht="15.75" hidden="false" customHeight="true" outlineLevel="0" collapsed="false">
      <c r="A555" s="550"/>
      <c r="B555" s="550"/>
      <c r="C555" s="550"/>
      <c r="D555" s="64"/>
      <c r="E555" s="64"/>
      <c r="F555" s="64"/>
      <c r="G555" s="64"/>
      <c r="H555" s="64"/>
      <c r="I555" s="64"/>
      <c r="J555" s="64"/>
      <c r="K555" s="64"/>
      <c r="L555" s="64"/>
      <c r="M555" s="64"/>
    </row>
    <row r="556" customFormat="false" ht="15.75" hidden="false" customHeight="true" outlineLevel="0" collapsed="false">
      <c r="A556" s="550"/>
      <c r="B556" s="550"/>
      <c r="C556" s="550"/>
      <c r="D556" s="64"/>
      <c r="E556" s="64"/>
      <c r="F556" s="64"/>
      <c r="G556" s="64"/>
      <c r="H556" s="64"/>
      <c r="I556" s="64"/>
      <c r="J556" s="64"/>
      <c r="K556" s="64"/>
      <c r="L556" s="64"/>
      <c r="M556" s="64"/>
    </row>
    <row r="557" customFormat="false" ht="15.75" hidden="false" customHeight="true" outlineLevel="0" collapsed="false">
      <c r="A557" s="550"/>
      <c r="B557" s="550"/>
      <c r="C557" s="550"/>
      <c r="D557" s="64"/>
      <c r="E557" s="64"/>
      <c r="F557" s="64"/>
      <c r="G557" s="64"/>
      <c r="H557" s="64"/>
      <c r="I557" s="64"/>
      <c r="J557" s="64"/>
      <c r="K557" s="64"/>
      <c r="L557" s="64"/>
      <c r="M557" s="64"/>
    </row>
    <row r="558" customFormat="false" ht="15.75" hidden="false" customHeight="true" outlineLevel="0" collapsed="false">
      <c r="A558" s="550"/>
      <c r="B558" s="550"/>
      <c r="C558" s="550"/>
      <c r="D558" s="64"/>
      <c r="E558" s="64"/>
      <c r="F558" s="64"/>
      <c r="G558" s="64"/>
      <c r="H558" s="64"/>
      <c r="I558" s="64"/>
      <c r="J558" s="64"/>
      <c r="K558" s="64"/>
      <c r="L558" s="64"/>
      <c r="M558" s="64"/>
    </row>
    <row r="559" customFormat="false" ht="15.75" hidden="false" customHeight="true" outlineLevel="0" collapsed="false">
      <c r="A559" s="550"/>
      <c r="B559" s="550"/>
      <c r="C559" s="550"/>
      <c r="D559" s="64"/>
      <c r="E559" s="64"/>
      <c r="F559" s="64"/>
      <c r="G559" s="64"/>
      <c r="H559" s="64"/>
      <c r="I559" s="64"/>
      <c r="J559" s="64"/>
      <c r="K559" s="64"/>
      <c r="L559" s="64"/>
      <c r="M559" s="64"/>
    </row>
    <row r="560" customFormat="false" ht="15.75" hidden="false" customHeight="true" outlineLevel="0" collapsed="false">
      <c r="A560" s="550"/>
      <c r="B560" s="550"/>
      <c r="C560" s="550"/>
      <c r="D560" s="64"/>
      <c r="E560" s="64"/>
      <c r="F560" s="64"/>
      <c r="G560" s="64"/>
      <c r="H560" s="64"/>
      <c r="I560" s="64"/>
      <c r="J560" s="64"/>
      <c r="K560" s="64"/>
      <c r="L560" s="64"/>
      <c r="M560" s="64"/>
    </row>
    <row r="561" customFormat="false" ht="15.75" hidden="false" customHeight="true" outlineLevel="0" collapsed="false">
      <c r="A561" s="550"/>
      <c r="B561" s="550"/>
      <c r="C561" s="550"/>
      <c r="D561" s="64"/>
      <c r="E561" s="64"/>
      <c r="F561" s="64"/>
      <c r="G561" s="64"/>
      <c r="H561" s="64"/>
      <c r="I561" s="64"/>
      <c r="J561" s="64"/>
      <c r="K561" s="64"/>
      <c r="L561" s="64"/>
      <c r="M561" s="64"/>
    </row>
    <row r="562" customFormat="false" ht="15.75" hidden="false" customHeight="true" outlineLevel="0" collapsed="false">
      <c r="A562" s="550"/>
      <c r="B562" s="550"/>
      <c r="C562" s="550"/>
      <c r="D562" s="64"/>
      <c r="E562" s="64"/>
      <c r="F562" s="64"/>
      <c r="G562" s="64"/>
      <c r="H562" s="64"/>
      <c r="I562" s="64"/>
      <c r="J562" s="64"/>
      <c r="K562" s="64"/>
      <c r="L562" s="64"/>
      <c r="M562" s="64"/>
    </row>
    <row r="563" customFormat="false" ht="15.75" hidden="false" customHeight="true" outlineLevel="0" collapsed="false">
      <c r="A563" s="550"/>
      <c r="B563" s="550"/>
      <c r="C563" s="550"/>
      <c r="D563" s="64"/>
      <c r="E563" s="64"/>
      <c r="F563" s="64"/>
      <c r="G563" s="64"/>
      <c r="H563" s="64"/>
      <c r="I563" s="64"/>
      <c r="J563" s="64"/>
      <c r="K563" s="64"/>
      <c r="L563" s="64"/>
      <c r="M563" s="64"/>
    </row>
    <row r="564" customFormat="false" ht="15.75" hidden="false" customHeight="true" outlineLevel="0" collapsed="false">
      <c r="A564" s="550"/>
      <c r="B564" s="550"/>
      <c r="C564" s="550"/>
      <c r="D564" s="64"/>
      <c r="E564" s="64"/>
      <c r="F564" s="64"/>
      <c r="G564" s="64"/>
      <c r="H564" s="64"/>
      <c r="I564" s="64"/>
      <c r="J564" s="64"/>
      <c r="K564" s="64"/>
      <c r="L564" s="64"/>
      <c r="M564" s="64"/>
    </row>
    <row r="565" customFormat="false" ht="15.75" hidden="false" customHeight="true" outlineLevel="0" collapsed="false">
      <c r="A565" s="550"/>
      <c r="B565" s="550"/>
      <c r="C565" s="550"/>
      <c r="D565" s="64"/>
      <c r="E565" s="64"/>
      <c r="F565" s="64"/>
      <c r="G565" s="64"/>
      <c r="H565" s="64"/>
      <c r="I565" s="64"/>
      <c r="J565" s="64"/>
      <c r="K565" s="64"/>
      <c r="L565" s="64"/>
      <c r="M565" s="64"/>
    </row>
    <row r="566" customFormat="false" ht="15.75" hidden="false" customHeight="true" outlineLevel="0" collapsed="false">
      <c r="A566" s="550"/>
      <c r="B566" s="550"/>
      <c r="C566" s="550"/>
      <c r="D566" s="64"/>
      <c r="E566" s="64"/>
      <c r="F566" s="64"/>
      <c r="G566" s="64"/>
      <c r="H566" s="64"/>
      <c r="I566" s="64"/>
      <c r="J566" s="64"/>
      <c r="K566" s="64"/>
      <c r="L566" s="64"/>
      <c r="M566" s="64"/>
    </row>
    <row r="567" customFormat="false" ht="15.75" hidden="false" customHeight="true" outlineLevel="0" collapsed="false">
      <c r="A567" s="550"/>
      <c r="B567" s="550"/>
      <c r="C567" s="550"/>
      <c r="D567" s="64"/>
      <c r="E567" s="64"/>
      <c r="F567" s="64"/>
      <c r="G567" s="64"/>
      <c r="H567" s="64"/>
      <c r="I567" s="64"/>
      <c r="J567" s="64"/>
      <c r="K567" s="64"/>
      <c r="L567" s="64"/>
      <c r="M567" s="64"/>
    </row>
    <row r="568" customFormat="false" ht="15.75" hidden="false" customHeight="true" outlineLevel="0" collapsed="false">
      <c r="A568" s="550"/>
      <c r="B568" s="550"/>
      <c r="C568" s="550"/>
      <c r="D568" s="64"/>
      <c r="E568" s="64"/>
      <c r="F568" s="64"/>
      <c r="G568" s="64"/>
      <c r="H568" s="64"/>
      <c r="I568" s="64"/>
      <c r="J568" s="64"/>
      <c r="K568" s="64"/>
      <c r="L568" s="64"/>
      <c r="M568" s="64"/>
    </row>
    <row r="569" customFormat="false" ht="15.75" hidden="false" customHeight="true" outlineLevel="0" collapsed="false">
      <c r="A569" s="550"/>
      <c r="B569" s="550"/>
      <c r="C569" s="550"/>
      <c r="D569" s="64"/>
      <c r="E569" s="64"/>
      <c r="F569" s="64"/>
      <c r="G569" s="64"/>
      <c r="H569" s="64"/>
      <c r="I569" s="64"/>
      <c r="J569" s="64"/>
      <c r="K569" s="64"/>
      <c r="L569" s="64"/>
      <c r="M569" s="64"/>
    </row>
    <row r="570" customFormat="false" ht="15.75" hidden="false" customHeight="true" outlineLevel="0" collapsed="false">
      <c r="A570" s="550"/>
      <c r="B570" s="550"/>
      <c r="C570" s="550"/>
      <c r="D570" s="64"/>
      <c r="E570" s="64"/>
      <c r="F570" s="64"/>
      <c r="G570" s="64"/>
      <c r="H570" s="64"/>
      <c r="I570" s="64"/>
      <c r="J570" s="64"/>
      <c r="K570" s="64"/>
      <c r="L570" s="64"/>
      <c r="M570" s="64"/>
    </row>
    <row r="571" customFormat="false" ht="15.75" hidden="false" customHeight="true" outlineLevel="0" collapsed="false">
      <c r="A571" s="550"/>
      <c r="B571" s="550"/>
      <c r="C571" s="550"/>
      <c r="D571" s="64"/>
      <c r="E571" s="64"/>
      <c r="F571" s="64"/>
      <c r="G571" s="64"/>
      <c r="H571" s="64"/>
      <c r="I571" s="64"/>
      <c r="J571" s="64"/>
      <c r="K571" s="64"/>
      <c r="L571" s="64"/>
      <c r="M571" s="64"/>
    </row>
    <row r="572" customFormat="false" ht="15.75" hidden="false" customHeight="true" outlineLevel="0" collapsed="false">
      <c r="A572" s="550"/>
      <c r="B572" s="550"/>
      <c r="C572" s="550"/>
      <c r="D572" s="64"/>
      <c r="E572" s="64"/>
      <c r="F572" s="64"/>
      <c r="G572" s="64"/>
      <c r="H572" s="64"/>
      <c r="I572" s="64"/>
      <c r="J572" s="64"/>
      <c r="K572" s="64"/>
      <c r="L572" s="64"/>
      <c r="M572" s="64"/>
    </row>
    <row r="573" customFormat="false" ht="15.75" hidden="false" customHeight="true" outlineLevel="0" collapsed="false">
      <c r="A573" s="550"/>
      <c r="B573" s="550"/>
      <c r="C573" s="550"/>
      <c r="D573" s="64"/>
      <c r="E573" s="64"/>
      <c r="F573" s="64"/>
      <c r="G573" s="64"/>
      <c r="H573" s="64"/>
      <c r="I573" s="64"/>
      <c r="J573" s="64"/>
      <c r="K573" s="64"/>
      <c r="L573" s="64"/>
      <c r="M573" s="64"/>
    </row>
    <row r="574" customFormat="false" ht="15.75" hidden="false" customHeight="true" outlineLevel="0" collapsed="false">
      <c r="A574" s="550"/>
      <c r="B574" s="550"/>
      <c r="C574" s="550"/>
      <c r="D574" s="64"/>
      <c r="E574" s="64"/>
      <c r="F574" s="64"/>
      <c r="G574" s="64"/>
      <c r="H574" s="64"/>
      <c r="I574" s="64"/>
      <c r="J574" s="64"/>
      <c r="K574" s="64"/>
      <c r="L574" s="64"/>
      <c r="M574" s="64"/>
    </row>
    <row r="575" customFormat="false" ht="15.75" hidden="false" customHeight="true" outlineLevel="0" collapsed="false">
      <c r="A575" s="550"/>
      <c r="B575" s="550"/>
      <c r="C575" s="550"/>
      <c r="D575" s="64"/>
      <c r="E575" s="64"/>
      <c r="F575" s="64"/>
      <c r="G575" s="64"/>
      <c r="H575" s="64"/>
      <c r="I575" s="64"/>
      <c r="J575" s="64"/>
      <c r="K575" s="64"/>
      <c r="L575" s="64"/>
      <c r="M575" s="64"/>
    </row>
    <row r="576" customFormat="false" ht="15.75" hidden="false" customHeight="true" outlineLevel="0" collapsed="false">
      <c r="A576" s="550"/>
      <c r="B576" s="550"/>
      <c r="C576" s="550"/>
      <c r="D576" s="64"/>
      <c r="E576" s="64"/>
      <c r="F576" s="64"/>
      <c r="G576" s="64"/>
      <c r="H576" s="64"/>
      <c r="I576" s="64"/>
      <c r="J576" s="64"/>
      <c r="K576" s="64"/>
      <c r="L576" s="64"/>
      <c r="M576" s="64"/>
    </row>
    <row r="577" customFormat="false" ht="15.75" hidden="false" customHeight="true" outlineLevel="0" collapsed="false">
      <c r="A577" s="550"/>
      <c r="B577" s="550"/>
      <c r="C577" s="550"/>
      <c r="D577" s="64"/>
      <c r="E577" s="64"/>
      <c r="F577" s="64"/>
      <c r="G577" s="64"/>
      <c r="H577" s="64"/>
      <c r="I577" s="64"/>
      <c r="J577" s="64"/>
      <c r="K577" s="64"/>
      <c r="L577" s="64"/>
      <c r="M577" s="64"/>
    </row>
    <row r="578" customFormat="false" ht="15.75" hidden="false" customHeight="true" outlineLevel="0" collapsed="false">
      <c r="A578" s="550"/>
      <c r="B578" s="550"/>
      <c r="C578" s="550"/>
      <c r="D578" s="64"/>
      <c r="E578" s="64"/>
      <c r="F578" s="64"/>
      <c r="G578" s="64"/>
      <c r="H578" s="64"/>
      <c r="I578" s="64"/>
      <c r="J578" s="64"/>
      <c r="K578" s="64"/>
      <c r="L578" s="64"/>
      <c r="M578" s="64"/>
    </row>
    <row r="579" customFormat="false" ht="15.75" hidden="false" customHeight="true" outlineLevel="0" collapsed="false">
      <c r="A579" s="550"/>
      <c r="B579" s="550"/>
      <c r="C579" s="550"/>
      <c r="D579" s="64"/>
      <c r="E579" s="64"/>
      <c r="F579" s="64"/>
      <c r="G579" s="64"/>
      <c r="H579" s="64"/>
      <c r="I579" s="64"/>
      <c r="J579" s="64"/>
      <c r="K579" s="64"/>
      <c r="L579" s="64"/>
      <c r="M579" s="64"/>
    </row>
    <row r="580" customFormat="false" ht="15.75" hidden="false" customHeight="true" outlineLevel="0" collapsed="false">
      <c r="A580" s="550"/>
      <c r="B580" s="550"/>
      <c r="C580" s="550"/>
      <c r="D580" s="64"/>
      <c r="E580" s="64"/>
      <c r="F580" s="64"/>
      <c r="G580" s="64"/>
      <c r="H580" s="64"/>
      <c r="I580" s="64"/>
      <c r="J580" s="64"/>
      <c r="K580" s="64"/>
      <c r="L580" s="64"/>
      <c r="M580" s="64"/>
    </row>
    <row r="581" customFormat="false" ht="15.75" hidden="false" customHeight="true" outlineLevel="0" collapsed="false">
      <c r="A581" s="550"/>
      <c r="B581" s="550"/>
      <c r="C581" s="550"/>
      <c r="D581" s="64"/>
      <c r="E581" s="64"/>
      <c r="F581" s="64"/>
      <c r="G581" s="64"/>
      <c r="H581" s="64"/>
      <c r="I581" s="64"/>
      <c r="J581" s="64"/>
      <c r="K581" s="64"/>
      <c r="L581" s="64"/>
      <c r="M581" s="64"/>
    </row>
    <row r="582" customFormat="false" ht="15.75" hidden="false" customHeight="true" outlineLevel="0" collapsed="false">
      <c r="A582" s="550"/>
      <c r="B582" s="550"/>
      <c r="C582" s="550"/>
      <c r="D582" s="64"/>
      <c r="E582" s="64"/>
      <c r="F582" s="64"/>
      <c r="G582" s="64"/>
      <c r="H582" s="64"/>
      <c r="I582" s="64"/>
      <c r="J582" s="64"/>
      <c r="K582" s="64"/>
      <c r="L582" s="64"/>
      <c r="M582" s="64"/>
    </row>
    <row r="583" customFormat="false" ht="15.75" hidden="false" customHeight="true" outlineLevel="0" collapsed="false">
      <c r="A583" s="550"/>
      <c r="B583" s="550"/>
      <c r="C583" s="550"/>
      <c r="D583" s="64"/>
      <c r="E583" s="64"/>
      <c r="F583" s="64"/>
      <c r="G583" s="64"/>
      <c r="H583" s="64"/>
      <c r="I583" s="64"/>
      <c r="J583" s="64"/>
      <c r="K583" s="64"/>
      <c r="L583" s="64"/>
      <c r="M583" s="64"/>
    </row>
    <row r="584" customFormat="false" ht="15.75" hidden="false" customHeight="true" outlineLevel="0" collapsed="false">
      <c r="A584" s="550"/>
      <c r="B584" s="550"/>
      <c r="C584" s="550"/>
      <c r="D584" s="64"/>
      <c r="E584" s="64"/>
      <c r="F584" s="64"/>
      <c r="G584" s="64"/>
      <c r="H584" s="64"/>
      <c r="I584" s="64"/>
      <c r="J584" s="64"/>
      <c r="K584" s="64"/>
      <c r="L584" s="64"/>
      <c r="M584" s="64"/>
    </row>
    <row r="585" customFormat="false" ht="15.75" hidden="false" customHeight="true" outlineLevel="0" collapsed="false">
      <c r="A585" s="550"/>
      <c r="B585" s="550"/>
      <c r="C585" s="550"/>
      <c r="D585" s="64"/>
      <c r="E585" s="64"/>
      <c r="F585" s="64"/>
      <c r="G585" s="64"/>
      <c r="H585" s="64"/>
      <c r="I585" s="64"/>
      <c r="J585" s="64"/>
      <c r="K585" s="64"/>
      <c r="L585" s="64"/>
      <c r="M585" s="64"/>
    </row>
    <row r="586" customFormat="false" ht="15.75" hidden="false" customHeight="true" outlineLevel="0" collapsed="false">
      <c r="A586" s="550"/>
      <c r="B586" s="550"/>
      <c r="C586" s="550"/>
      <c r="D586" s="64"/>
      <c r="E586" s="64"/>
      <c r="F586" s="64"/>
      <c r="G586" s="64"/>
      <c r="H586" s="64"/>
      <c r="I586" s="64"/>
      <c r="J586" s="64"/>
      <c r="K586" s="64"/>
      <c r="L586" s="64"/>
      <c r="M586" s="64"/>
    </row>
    <row r="587" customFormat="false" ht="15.75" hidden="false" customHeight="true" outlineLevel="0" collapsed="false">
      <c r="A587" s="550"/>
      <c r="B587" s="550"/>
      <c r="C587" s="550"/>
      <c r="D587" s="64"/>
      <c r="E587" s="64"/>
      <c r="F587" s="64"/>
      <c r="G587" s="64"/>
      <c r="H587" s="64"/>
      <c r="I587" s="64"/>
      <c r="J587" s="64"/>
      <c r="K587" s="64"/>
      <c r="L587" s="64"/>
      <c r="M587" s="64"/>
    </row>
    <row r="588" customFormat="false" ht="15.75" hidden="false" customHeight="true" outlineLevel="0" collapsed="false">
      <c r="A588" s="550"/>
      <c r="B588" s="550"/>
      <c r="C588" s="550"/>
      <c r="D588" s="64"/>
      <c r="E588" s="64"/>
      <c r="F588" s="64"/>
      <c r="G588" s="64"/>
      <c r="H588" s="64"/>
      <c r="I588" s="64"/>
      <c r="J588" s="64"/>
      <c r="K588" s="64"/>
      <c r="L588" s="64"/>
      <c r="M588" s="64"/>
    </row>
    <row r="589" customFormat="false" ht="15.75" hidden="false" customHeight="true" outlineLevel="0" collapsed="false">
      <c r="A589" s="550"/>
      <c r="B589" s="550"/>
      <c r="C589" s="550"/>
      <c r="D589" s="64"/>
      <c r="E589" s="64"/>
      <c r="F589" s="64"/>
      <c r="G589" s="64"/>
      <c r="H589" s="64"/>
      <c r="I589" s="64"/>
      <c r="J589" s="64"/>
      <c r="K589" s="64"/>
      <c r="L589" s="64"/>
      <c r="M589" s="64"/>
    </row>
    <row r="590" customFormat="false" ht="15.75" hidden="false" customHeight="true" outlineLevel="0" collapsed="false">
      <c r="A590" s="550"/>
      <c r="B590" s="550"/>
      <c r="C590" s="550"/>
      <c r="D590" s="64"/>
      <c r="E590" s="64"/>
      <c r="F590" s="64"/>
      <c r="G590" s="64"/>
      <c r="H590" s="64"/>
      <c r="I590" s="64"/>
      <c r="J590" s="64"/>
      <c r="K590" s="64"/>
      <c r="L590" s="64"/>
      <c r="M590" s="64"/>
    </row>
    <row r="591" customFormat="false" ht="15.75" hidden="false" customHeight="true" outlineLevel="0" collapsed="false">
      <c r="A591" s="550"/>
      <c r="B591" s="550"/>
      <c r="C591" s="550"/>
      <c r="D591" s="64"/>
      <c r="E591" s="64"/>
      <c r="F591" s="64"/>
      <c r="G591" s="64"/>
      <c r="H591" s="64"/>
      <c r="I591" s="64"/>
      <c r="J591" s="64"/>
      <c r="K591" s="64"/>
      <c r="L591" s="64"/>
      <c r="M591" s="64"/>
    </row>
    <row r="592" customFormat="false" ht="15.75" hidden="false" customHeight="true" outlineLevel="0" collapsed="false">
      <c r="A592" s="550"/>
      <c r="B592" s="550"/>
      <c r="C592" s="550"/>
      <c r="D592" s="64"/>
      <c r="E592" s="64"/>
      <c r="F592" s="64"/>
      <c r="G592" s="64"/>
      <c r="H592" s="64"/>
      <c r="I592" s="64"/>
      <c r="J592" s="64"/>
      <c r="K592" s="64"/>
      <c r="L592" s="64"/>
      <c r="M592" s="64"/>
    </row>
    <row r="593" customFormat="false" ht="15.75" hidden="false" customHeight="true" outlineLevel="0" collapsed="false">
      <c r="A593" s="550"/>
      <c r="B593" s="550"/>
      <c r="C593" s="550"/>
      <c r="D593" s="64"/>
      <c r="E593" s="64"/>
      <c r="F593" s="64"/>
      <c r="G593" s="64"/>
      <c r="H593" s="64"/>
      <c r="I593" s="64"/>
      <c r="J593" s="64"/>
      <c r="K593" s="64"/>
      <c r="L593" s="64"/>
      <c r="M593" s="64"/>
    </row>
    <row r="594" customFormat="false" ht="15.75" hidden="false" customHeight="true" outlineLevel="0" collapsed="false">
      <c r="A594" s="550"/>
      <c r="B594" s="550"/>
      <c r="C594" s="550"/>
      <c r="D594" s="64"/>
      <c r="E594" s="64"/>
      <c r="F594" s="64"/>
      <c r="G594" s="64"/>
      <c r="H594" s="64"/>
      <c r="I594" s="64"/>
      <c r="J594" s="64"/>
      <c r="K594" s="64"/>
      <c r="L594" s="64"/>
      <c r="M594" s="64"/>
    </row>
    <row r="595" customFormat="false" ht="15.75" hidden="false" customHeight="true" outlineLevel="0" collapsed="false">
      <c r="A595" s="550"/>
      <c r="B595" s="550"/>
      <c r="C595" s="550"/>
      <c r="D595" s="64"/>
      <c r="E595" s="64"/>
      <c r="F595" s="64"/>
      <c r="G595" s="64"/>
      <c r="H595" s="64"/>
      <c r="I595" s="64"/>
      <c r="J595" s="64"/>
      <c r="K595" s="64"/>
      <c r="L595" s="64"/>
      <c r="M595" s="64"/>
    </row>
    <row r="596" customFormat="false" ht="15.75" hidden="false" customHeight="true" outlineLevel="0" collapsed="false">
      <c r="A596" s="550"/>
      <c r="B596" s="550"/>
      <c r="C596" s="550"/>
      <c r="D596" s="64"/>
      <c r="E596" s="64"/>
      <c r="F596" s="64"/>
      <c r="G596" s="64"/>
      <c r="H596" s="64"/>
      <c r="I596" s="64"/>
      <c r="J596" s="64"/>
      <c r="K596" s="64"/>
      <c r="L596" s="64"/>
      <c r="M596" s="64"/>
    </row>
    <row r="597" customFormat="false" ht="15.75" hidden="false" customHeight="true" outlineLevel="0" collapsed="false">
      <c r="A597" s="550"/>
      <c r="B597" s="550"/>
      <c r="C597" s="550"/>
      <c r="D597" s="64"/>
      <c r="E597" s="64"/>
      <c r="F597" s="64"/>
      <c r="G597" s="64"/>
      <c r="H597" s="64"/>
      <c r="I597" s="64"/>
      <c r="J597" s="64"/>
      <c r="K597" s="64"/>
      <c r="L597" s="64"/>
      <c r="M597" s="64"/>
    </row>
    <row r="598" customFormat="false" ht="15.75" hidden="false" customHeight="true" outlineLevel="0" collapsed="false">
      <c r="A598" s="550"/>
      <c r="B598" s="550"/>
      <c r="C598" s="550"/>
      <c r="D598" s="64"/>
      <c r="E598" s="64"/>
      <c r="F598" s="64"/>
      <c r="G598" s="64"/>
      <c r="H598" s="64"/>
      <c r="I598" s="64"/>
      <c r="J598" s="64"/>
      <c r="K598" s="64"/>
      <c r="L598" s="64"/>
      <c r="M598" s="64"/>
    </row>
    <row r="599" customFormat="false" ht="15.75" hidden="false" customHeight="true" outlineLevel="0" collapsed="false">
      <c r="A599" s="550"/>
      <c r="B599" s="550"/>
      <c r="C599" s="550"/>
      <c r="D599" s="64"/>
      <c r="E599" s="64"/>
      <c r="F599" s="64"/>
      <c r="G599" s="64"/>
      <c r="H599" s="64"/>
      <c r="I599" s="64"/>
      <c r="J599" s="64"/>
      <c r="K599" s="64"/>
      <c r="L599" s="64"/>
      <c r="M599" s="64"/>
    </row>
    <row r="600" customFormat="false" ht="15.75" hidden="false" customHeight="true" outlineLevel="0" collapsed="false">
      <c r="A600" s="550"/>
      <c r="B600" s="550"/>
      <c r="C600" s="550"/>
      <c r="D600" s="64"/>
      <c r="E600" s="64"/>
      <c r="F600" s="64"/>
      <c r="G600" s="64"/>
      <c r="H600" s="64"/>
      <c r="I600" s="64"/>
      <c r="J600" s="64"/>
      <c r="K600" s="64"/>
      <c r="L600" s="64"/>
      <c r="M600" s="64"/>
    </row>
    <row r="601" customFormat="false" ht="15.75" hidden="false" customHeight="true" outlineLevel="0" collapsed="false">
      <c r="A601" s="550"/>
      <c r="B601" s="550"/>
      <c r="C601" s="550"/>
      <c r="D601" s="64"/>
      <c r="E601" s="64"/>
      <c r="F601" s="64"/>
      <c r="G601" s="64"/>
      <c r="H601" s="64"/>
      <c r="I601" s="64"/>
      <c r="J601" s="64"/>
      <c r="K601" s="64"/>
      <c r="L601" s="64"/>
      <c r="M601" s="64"/>
    </row>
    <row r="602" customFormat="false" ht="15.75" hidden="false" customHeight="true" outlineLevel="0" collapsed="false">
      <c r="A602" s="550"/>
      <c r="B602" s="550"/>
      <c r="C602" s="550"/>
      <c r="D602" s="64"/>
      <c r="E602" s="64"/>
      <c r="F602" s="64"/>
      <c r="G602" s="64"/>
      <c r="H602" s="64"/>
      <c r="I602" s="64"/>
      <c r="J602" s="64"/>
      <c r="K602" s="64"/>
      <c r="L602" s="64"/>
      <c r="M602" s="64"/>
    </row>
    <row r="603" customFormat="false" ht="15.75" hidden="false" customHeight="true" outlineLevel="0" collapsed="false">
      <c r="A603" s="550"/>
      <c r="B603" s="550"/>
      <c r="C603" s="550"/>
      <c r="D603" s="64"/>
      <c r="E603" s="64"/>
      <c r="F603" s="64"/>
      <c r="G603" s="64"/>
      <c r="H603" s="64"/>
      <c r="I603" s="64"/>
      <c r="J603" s="64"/>
      <c r="K603" s="64"/>
      <c r="L603" s="64"/>
      <c r="M603" s="64"/>
    </row>
    <row r="604" customFormat="false" ht="15.75" hidden="false" customHeight="true" outlineLevel="0" collapsed="false">
      <c r="A604" s="550"/>
      <c r="B604" s="550"/>
      <c r="C604" s="550"/>
      <c r="D604" s="64"/>
      <c r="E604" s="64"/>
      <c r="F604" s="64"/>
      <c r="G604" s="64"/>
      <c r="H604" s="64"/>
      <c r="I604" s="64"/>
      <c r="J604" s="64"/>
      <c r="K604" s="64"/>
      <c r="L604" s="64"/>
      <c r="M604" s="64"/>
    </row>
    <row r="605" customFormat="false" ht="15.75" hidden="false" customHeight="true" outlineLevel="0" collapsed="false">
      <c r="A605" s="550"/>
      <c r="B605" s="550"/>
      <c r="C605" s="550"/>
      <c r="D605" s="64"/>
      <c r="E605" s="64"/>
      <c r="F605" s="64"/>
      <c r="G605" s="64"/>
      <c r="H605" s="64"/>
      <c r="I605" s="64"/>
      <c r="J605" s="64"/>
      <c r="K605" s="64"/>
      <c r="L605" s="64"/>
      <c r="M605" s="64"/>
    </row>
    <row r="606" customFormat="false" ht="15.75" hidden="false" customHeight="true" outlineLevel="0" collapsed="false">
      <c r="A606" s="550"/>
      <c r="B606" s="550"/>
      <c r="C606" s="550"/>
      <c r="D606" s="64"/>
      <c r="E606" s="64"/>
      <c r="F606" s="64"/>
      <c r="G606" s="64"/>
      <c r="H606" s="64"/>
      <c r="I606" s="64"/>
      <c r="J606" s="64"/>
      <c r="K606" s="64"/>
      <c r="L606" s="64"/>
      <c r="M606" s="64"/>
    </row>
    <row r="607" customFormat="false" ht="15.75" hidden="false" customHeight="true" outlineLevel="0" collapsed="false">
      <c r="A607" s="550"/>
      <c r="B607" s="550"/>
      <c r="C607" s="550"/>
      <c r="D607" s="64"/>
      <c r="E607" s="64"/>
      <c r="F607" s="64"/>
      <c r="G607" s="64"/>
      <c r="H607" s="64"/>
      <c r="I607" s="64"/>
      <c r="J607" s="64"/>
      <c r="K607" s="64"/>
      <c r="L607" s="64"/>
      <c r="M607" s="64"/>
    </row>
    <row r="608" customFormat="false" ht="15.75" hidden="false" customHeight="true" outlineLevel="0" collapsed="false">
      <c r="A608" s="550"/>
      <c r="B608" s="550"/>
      <c r="C608" s="550"/>
      <c r="D608" s="64"/>
      <c r="E608" s="64"/>
      <c r="F608" s="64"/>
      <c r="G608" s="64"/>
      <c r="H608" s="64"/>
      <c r="I608" s="64"/>
      <c r="J608" s="64"/>
      <c r="K608" s="64"/>
      <c r="L608" s="64"/>
      <c r="M608" s="64"/>
    </row>
    <row r="609" customFormat="false" ht="15.75" hidden="false" customHeight="true" outlineLevel="0" collapsed="false">
      <c r="A609" s="550"/>
      <c r="B609" s="550"/>
      <c r="C609" s="550"/>
      <c r="D609" s="64"/>
      <c r="E609" s="64"/>
      <c r="F609" s="64"/>
      <c r="G609" s="64"/>
      <c r="H609" s="64"/>
      <c r="I609" s="64"/>
      <c r="J609" s="64"/>
      <c r="K609" s="64"/>
      <c r="L609" s="64"/>
      <c r="M609" s="64"/>
    </row>
    <row r="610" customFormat="false" ht="15.75" hidden="false" customHeight="true" outlineLevel="0" collapsed="false">
      <c r="A610" s="550"/>
      <c r="B610" s="550"/>
      <c r="C610" s="550"/>
      <c r="D610" s="64"/>
      <c r="E610" s="64"/>
      <c r="F610" s="64"/>
      <c r="G610" s="64"/>
      <c r="H610" s="64"/>
      <c r="I610" s="64"/>
      <c r="J610" s="64"/>
      <c r="K610" s="64"/>
      <c r="L610" s="64"/>
      <c r="M610" s="64"/>
    </row>
    <row r="611" customFormat="false" ht="15.75" hidden="false" customHeight="true" outlineLevel="0" collapsed="false">
      <c r="A611" s="550"/>
      <c r="B611" s="550"/>
      <c r="C611" s="550"/>
      <c r="D611" s="64"/>
      <c r="E611" s="64"/>
      <c r="F611" s="64"/>
      <c r="G611" s="64"/>
      <c r="H611" s="64"/>
      <c r="I611" s="64"/>
      <c r="J611" s="64"/>
      <c r="K611" s="64"/>
      <c r="L611" s="64"/>
      <c r="M611" s="64"/>
    </row>
    <row r="612" customFormat="false" ht="15.75" hidden="false" customHeight="true" outlineLevel="0" collapsed="false">
      <c r="A612" s="550"/>
      <c r="B612" s="550"/>
      <c r="C612" s="550"/>
      <c r="D612" s="64"/>
      <c r="E612" s="64"/>
      <c r="F612" s="64"/>
      <c r="G612" s="64"/>
      <c r="H612" s="64"/>
      <c r="I612" s="64"/>
      <c r="J612" s="64"/>
      <c r="K612" s="64"/>
      <c r="L612" s="64"/>
      <c r="M612" s="64"/>
    </row>
    <row r="613" customFormat="false" ht="15.75" hidden="false" customHeight="true" outlineLevel="0" collapsed="false">
      <c r="A613" s="550"/>
      <c r="B613" s="550"/>
      <c r="C613" s="550"/>
      <c r="D613" s="64"/>
      <c r="E613" s="64"/>
      <c r="F613" s="64"/>
      <c r="G613" s="64"/>
      <c r="H613" s="64"/>
      <c r="I613" s="64"/>
      <c r="J613" s="64"/>
      <c r="K613" s="64"/>
      <c r="L613" s="64"/>
      <c r="M613" s="64"/>
    </row>
    <row r="614" customFormat="false" ht="15.75" hidden="false" customHeight="true" outlineLevel="0" collapsed="false">
      <c r="A614" s="550"/>
      <c r="B614" s="550"/>
      <c r="C614" s="550"/>
      <c r="D614" s="64"/>
      <c r="E614" s="64"/>
      <c r="F614" s="64"/>
      <c r="G614" s="64"/>
      <c r="H614" s="64"/>
      <c r="I614" s="64"/>
      <c r="J614" s="64"/>
      <c r="K614" s="64"/>
      <c r="L614" s="64"/>
      <c r="M614" s="64"/>
    </row>
    <row r="615" customFormat="false" ht="15.75" hidden="false" customHeight="true" outlineLevel="0" collapsed="false">
      <c r="A615" s="550"/>
      <c r="B615" s="550"/>
      <c r="C615" s="550"/>
      <c r="D615" s="64"/>
      <c r="E615" s="64"/>
      <c r="F615" s="64"/>
      <c r="G615" s="64"/>
      <c r="H615" s="64"/>
      <c r="I615" s="64"/>
      <c r="J615" s="64"/>
      <c r="K615" s="64"/>
      <c r="L615" s="64"/>
      <c r="M615" s="64"/>
    </row>
    <row r="616" customFormat="false" ht="15.75" hidden="false" customHeight="true" outlineLevel="0" collapsed="false">
      <c r="A616" s="550"/>
      <c r="B616" s="550"/>
      <c r="C616" s="550"/>
      <c r="D616" s="64"/>
      <c r="E616" s="64"/>
      <c r="F616" s="64"/>
      <c r="G616" s="64"/>
      <c r="H616" s="64"/>
      <c r="I616" s="64"/>
      <c r="J616" s="64"/>
      <c r="K616" s="64"/>
      <c r="L616" s="64"/>
      <c r="M616" s="64"/>
    </row>
    <row r="617" customFormat="false" ht="15.75" hidden="false" customHeight="true" outlineLevel="0" collapsed="false">
      <c r="A617" s="550"/>
      <c r="B617" s="550"/>
      <c r="C617" s="550"/>
      <c r="D617" s="64"/>
      <c r="E617" s="64"/>
      <c r="F617" s="64"/>
      <c r="G617" s="64"/>
      <c r="H617" s="64"/>
      <c r="I617" s="64"/>
      <c r="J617" s="64"/>
      <c r="K617" s="64"/>
      <c r="L617" s="64"/>
      <c r="M617" s="64"/>
    </row>
    <row r="618" customFormat="false" ht="15.75" hidden="false" customHeight="true" outlineLevel="0" collapsed="false">
      <c r="A618" s="550"/>
      <c r="B618" s="550"/>
      <c r="C618" s="550"/>
      <c r="D618" s="64"/>
      <c r="E618" s="64"/>
      <c r="F618" s="64"/>
      <c r="G618" s="64"/>
      <c r="H618" s="64"/>
      <c r="I618" s="64"/>
      <c r="J618" s="64"/>
      <c r="K618" s="64"/>
      <c r="L618" s="64"/>
      <c r="M618" s="64"/>
    </row>
    <row r="619" customFormat="false" ht="15.75" hidden="false" customHeight="true" outlineLevel="0" collapsed="false">
      <c r="A619" s="550"/>
      <c r="B619" s="550"/>
      <c r="C619" s="550"/>
      <c r="D619" s="64"/>
      <c r="E619" s="64"/>
      <c r="F619" s="64"/>
      <c r="G619" s="64"/>
      <c r="H619" s="64"/>
      <c r="I619" s="64"/>
      <c r="J619" s="64"/>
      <c r="K619" s="64"/>
      <c r="L619" s="64"/>
      <c r="M619" s="64"/>
    </row>
    <row r="620" customFormat="false" ht="15.75" hidden="false" customHeight="true" outlineLevel="0" collapsed="false">
      <c r="A620" s="550"/>
      <c r="B620" s="550"/>
      <c r="C620" s="550"/>
      <c r="D620" s="64"/>
      <c r="E620" s="64"/>
      <c r="F620" s="64"/>
      <c r="G620" s="64"/>
      <c r="H620" s="64"/>
      <c r="I620" s="64"/>
      <c r="J620" s="64"/>
      <c r="K620" s="64"/>
      <c r="L620" s="64"/>
      <c r="M620" s="64"/>
    </row>
    <row r="621" customFormat="false" ht="15.75" hidden="false" customHeight="true" outlineLevel="0" collapsed="false">
      <c r="A621" s="550"/>
      <c r="B621" s="550"/>
      <c r="C621" s="550"/>
      <c r="D621" s="64"/>
      <c r="E621" s="64"/>
      <c r="F621" s="64"/>
      <c r="G621" s="64"/>
      <c r="H621" s="64"/>
      <c r="I621" s="64"/>
      <c r="J621" s="64"/>
      <c r="K621" s="64"/>
      <c r="L621" s="64"/>
      <c r="M621" s="64"/>
    </row>
    <row r="622" customFormat="false" ht="15.75" hidden="false" customHeight="true" outlineLevel="0" collapsed="false">
      <c r="A622" s="550"/>
      <c r="B622" s="550"/>
      <c r="C622" s="550"/>
      <c r="D622" s="64"/>
      <c r="E622" s="64"/>
      <c r="F622" s="64"/>
      <c r="G622" s="64"/>
      <c r="H622" s="64"/>
      <c r="I622" s="64"/>
      <c r="J622" s="64"/>
      <c r="K622" s="64"/>
      <c r="L622" s="64"/>
      <c r="M622" s="64"/>
    </row>
    <row r="623" customFormat="false" ht="15.75" hidden="false" customHeight="true" outlineLevel="0" collapsed="false">
      <c r="A623" s="550"/>
      <c r="B623" s="550"/>
      <c r="C623" s="550"/>
      <c r="D623" s="64"/>
      <c r="E623" s="64"/>
      <c r="F623" s="64"/>
      <c r="G623" s="64"/>
      <c r="H623" s="64"/>
      <c r="I623" s="64"/>
      <c r="J623" s="64"/>
      <c r="K623" s="64"/>
      <c r="L623" s="64"/>
      <c r="M623" s="64"/>
    </row>
    <row r="624" customFormat="false" ht="15.75" hidden="false" customHeight="true" outlineLevel="0" collapsed="false">
      <c r="A624" s="550"/>
      <c r="B624" s="550"/>
      <c r="C624" s="550"/>
      <c r="D624" s="64"/>
      <c r="E624" s="64"/>
      <c r="F624" s="64"/>
      <c r="G624" s="64"/>
      <c r="H624" s="64"/>
      <c r="I624" s="64"/>
      <c r="J624" s="64"/>
      <c r="K624" s="64"/>
      <c r="L624" s="64"/>
      <c r="M624" s="64"/>
    </row>
    <row r="625" customFormat="false" ht="15.75" hidden="false" customHeight="true" outlineLevel="0" collapsed="false">
      <c r="A625" s="550"/>
      <c r="B625" s="550"/>
      <c r="C625" s="550"/>
      <c r="D625" s="64"/>
      <c r="E625" s="64"/>
      <c r="F625" s="64"/>
      <c r="G625" s="64"/>
      <c r="H625" s="64"/>
      <c r="I625" s="64"/>
      <c r="J625" s="64"/>
      <c r="K625" s="64"/>
      <c r="L625" s="64"/>
      <c r="M625" s="64"/>
    </row>
    <row r="626" customFormat="false" ht="15.75" hidden="false" customHeight="true" outlineLevel="0" collapsed="false">
      <c r="A626" s="550"/>
      <c r="B626" s="550"/>
      <c r="C626" s="550"/>
      <c r="D626" s="64"/>
      <c r="E626" s="64"/>
      <c r="F626" s="64"/>
      <c r="G626" s="64"/>
      <c r="H626" s="64"/>
      <c r="I626" s="64"/>
      <c r="J626" s="64"/>
      <c r="K626" s="64"/>
      <c r="L626" s="64"/>
      <c r="M626" s="64"/>
    </row>
    <row r="627" customFormat="false" ht="15.75" hidden="false" customHeight="true" outlineLevel="0" collapsed="false">
      <c r="A627" s="550"/>
      <c r="B627" s="550"/>
      <c r="C627" s="550"/>
      <c r="D627" s="64"/>
      <c r="E627" s="64"/>
      <c r="F627" s="64"/>
      <c r="G627" s="64"/>
      <c r="H627" s="64"/>
      <c r="I627" s="64"/>
      <c r="J627" s="64"/>
      <c r="K627" s="64"/>
      <c r="L627" s="64"/>
      <c r="M627" s="64"/>
    </row>
    <row r="628" customFormat="false" ht="15.75" hidden="false" customHeight="true" outlineLevel="0" collapsed="false">
      <c r="A628" s="550"/>
      <c r="B628" s="550"/>
      <c r="C628" s="550"/>
      <c r="D628" s="64"/>
      <c r="E628" s="64"/>
      <c r="F628" s="64"/>
      <c r="G628" s="64"/>
      <c r="H628" s="64"/>
      <c r="I628" s="64"/>
      <c r="J628" s="64"/>
      <c r="K628" s="64"/>
      <c r="L628" s="64"/>
      <c r="M628" s="64"/>
    </row>
    <row r="629" customFormat="false" ht="15.75" hidden="false" customHeight="true" outlineLevel="0" collapsed="false">
      <c r="A629" s="550"/>
      <c r="B629" s="550"/>
      <c r="C629" s="550"/>
      <c r="D629" s="64"/>
      <c r="E629" s="64"/>
      <c r="F629" s="64"/>
      <c r="G629" s="64"/>
      <c r="H629" s="64"/>
      <c r="I629" s="64"/>
      <c r="J629" s="64"/>
      <c r="K629" s="64"/>
      <c r="L629" s="64"/>
      <c r="M629" s="64"/>
    </row>
    <row r="630" customFormat="false" ht="15.75" hidden="false" customHeight="true" outlineLevel="0" collapsed="false">
      <c r="A630" s="550"/>
      <c r="B630" s="550"/>
      <c r="C630" s="550"/>
      <c r="D630" s="64"/>
      <c r="E630" s="64"/>
      <c r="F630" s="64"/>
      <c r="G630" s="64"/>
      <c r="H630" s="64"/>
      <c r="I630" s="64"/>
      <c r="J630" s="64"/>
      <c r="K630" s="64"/>
      <c r="L630" s="64"/>
      <c r="M630" s="64"/>
    </row>
    <row r="631" customFormat="false" ht="15.75" hidden="false" customHeight="true" outlineLevel="0" collapsed="false">
      <c r="A631" s="550"/>
      <c r="B631" s="550"/>
      <c r="C631" s="550"/>
      <c r="D631" s="64"/>
      <c r="E631" s="64"/>
      <c r="F631" s="64"/>
      <c r="G631" s="64"/>
      <c r="H631" s="64"/>
      <c r="I631" s="64"/>
      <c r="J631" s="64"/>
      <c r="K631" s="64"/>
      <c r="L631" s="64"/>
      <c r="M631" s="64"/>
    </row>
    <row r="632" customFormat="false" ht="15.75" hidden="false" customHeight="true" outlineLevel="0" collapsed="false">
      <c r="A632" s="550"/>
      <c r="B632" s="550"/>
      <c r="C632" s="550"/>
      <c r="D632" s="64"/>
      <c r="E632" s="64"/>
      <c r="F632" s="64"/>
      <c r="G632" s="64"/>
      <c r="H632" s="64"/>
      <c r="I632" s="64"/>
      <c r="J632" s="64"/>
      <c r="K632" s="64"/>
      <c r="L632" s="64"/>
      <c r="M632" s="64"/>
    </row>
    <row r="633" customFormat="false" ht="15.75" hidden="false" customHeight="true" outlineLevel="0" collapsed="false">
      <c r="A633" s="550"/>
      <c r="B633" s="550"/>
      <c r="C633" s="550"/>
      <c r="D633" s="64"/>
      <c r="E633" s="64"/>
      <c r="F633" s="64"/>
      <c r="G633" s="64"/>
      <c r="H633" s="64"/>
      <c r="I633" s="64"/>
      <c r="J633" s="64"/>
      <c r="K633" s="64"/>
      <c r="L633" s="64"/>
      <c r="M633" s="64"/>
    </row>
    <row r="634" customFormat="false" ht="15.75" hidden="false" customHeight="true" outlineLevel="0" collapsed="false">
      <c r="A634" s="550"/>
      <c r="B634" s="550"/>
      <c r="C634" s="550"/>
      <c r="D634" s="64"/>
      <c r="E634" s="64"/>
      <c r="F634" s="64"/>
      <c r="G634" s="64"/>
      <c r="H634" s="64"/>
      <c r="I634" s="64"/>
      <c r="J634" s="64"/>
      <c r="K634" s="64"/>
      <c r="L634" s="64"/>
      <c r="M634" s="64"/>
    </row>
    <row r="635" customFormat="false" ht="15.75" hidden="false" customHeight="true" outlineLevel="0" collapsed="false">
      <c r="A635" s="550"/>
      <c r="B635" s="550"/>
      <c r="C635" s="550"/>
      <c r="D635" s="64"/>
      <c r="E635" s="64"/>
      <c r="F635" s="64"/>
      <c r="G635" s="64"/>
      <c r="H635" s="64"/>
      <c r="I635" s="64"/>
      <c r="J635" s="64"/>
      <c r="K635" s="64"/>
      <c r="L635" s="64"/>
      <c r="M635" s="64"/>
    </row>
    <row r="636" customFormat="false" ht="15.75" hidden="false" customHeight="true" outlineLevel="0" collapsed="false">
      <c r="A636" s="550"/>
      <c r="B636" s="550"/>
      <c r="C636" s="550"/>
      <c r="D636" s="64"/>
      <c r="E636" s="64"/>
      <c r="F636" s="64"/>
      <c r="G636" s="64"/>
      <c r="H636" s="64"/>
      <c r="I636" s="64"/>
      <c r="J636" s="64"/>
      <c r="K636" s="64"/>
      <c r="L636" s="64"/>
      <c r="M636" s="64"/>
    </row>
    <row r="637" customFormat="false" ht="15.75" hidden="false" customHeight="true" outlineLevel="0" collapsed="false">
      <c r="A637" s="550"/>
      <c r="B637" s="550"/>
      <c r="C637" s="550"/>
      <c r="D637" s="64"/>
      <c r="E637" s="64"/>
      <c r="F637" s="64"/>
      <c r="G637" s="64"/>
      <c r="H637" s="64"/>
      <c r="I637" s="64"/>
      <c r="J637" s="64"/>
      <c r="K637" s="64"/>
      <c r="L637" s="64"/>
      <c r="M637" s="64"/>
    </row>
    <row r="638" customFormat="false" ht="15.75" hidden="false" customHeight="true" outlineLevel="0" collapsed="false">
      <c r="A638" s="550"/>
      <c r="B638" s="550"/>
      <c r="C638" s="550"/>
      <c r="D638" s="64"/>
      <c r="E638" s="64"/>
      <c r="F638" s="64"/>
      <c r="G638" s="64"/>
      <c r="H638" s="64"/>
      <c r="I638" s="64"/>
      <c r="J638" s="64"/>
      <c r="K638" s="64"/>
      <c r="L638" s="64"/>
      <c r="M638" s="64"/>
    </row>
    <row r="639" customFormat="false" ht="15.75" hidden="false" customHeight="true" outlineLevel="0" collapsed="false">
      <c r="A639" s="550"/>
      <c r="B639" s="550"/>
      <c r="C639" s="550"/>
      <c r="D639" s="64"/>
      <c r="E639" s="64"/>
      <c r="F639" s="64"/>
      <c r="G639" s="64"/>
      <c r="H639" s="64"/>
      <c r="I639" s="64"/>
      <c r="J639" s="64"/>
      <c r="K639" s="64"/>
      <c r="L639" s="64"/>
      <c r="M639" s="64"/>
    </row>
    <row r="640" customFormat="false" ht="15.75" hidden="false" customHeight="true" outlineLevel="0" collapsed="false">
      <c r="A640" s="550"/>
      <c r="B640" s="550"/>
      <c r="C640" s="550"/>
      <c r="D640" s="64"/>
      <c r="E640" s="64"/>
      <c r="F640" s="64"/>
      <c r="G640" s="64"/>
      <c r="H640" s="64"/>
      <c r="I640" s="64"/>
      <c r="J640" s="64"/>
      <c r="K640" s="64"/>
      <c r="L640" s="64"/>
      <c r="M640" s="64"/>
    </row>
    <row r="641" customFormat="false" ht="15.75" hidden="false" customHeight="true" outlineLevel="0" collapsed="false">
      <c r="A641" s="550"/>
      <c r="B641" s="550"/>
      <c r="C641" s="550"/>
      <c r="D641" s="64"/>
      <c r="E641" s="64"/>
      <c r="F641" s="64"/>
      <c r="G641" s="64"/>
      <c r="H641" s="64"/>
      <c r="I641" s="64"/>
      <c r="J641" s="64"/>
      <c r="K641" s="64"/>
      <c r="L641" s="64"/>
      <c r="M641" s="64"/>
    </row>
    <row r="642" customFormat="false" ht="15.75" hidden="false" customHeight="true" outlineLevel="0" collapsed="false">
      <c r="A642" s="550"/>
      <c r="B642" s="550"/>
      <c r="C642" s="550"/>
      <c r="D642" s="64"/>
      <c r="E642" s="64"/>
      <c r="F642" s="64"/>
      <c r="G642" s="64"/>
      <c r="H642" s="64"/>
      <c r="I642" s="64"/>
      <c r="J642" s="64"/>
      <c r="K642" s="64"/>
      <c r="L642" s="64"/>
      <c r="M642" s="64"/>
    </row>
    <row r="643" customFormat="false" ht="15.75" hidden="false" customHeight="true" outlineLevel="0" collapsed="false">
      <c r="A643" s="550"/>
      <c r="B643" s="550"/>
      <c r="C643" s="550"/>
      <c r="D643" s="64"/>
      <c r="E643" s="64"/>
      <c r="F643" s="64"/>
      <c r="G643" s="64"/>
      <c r="H643" s="64"/>
      <c r="I643" s="64"/>
      <c r="J643" s="64"/>
      <c r="K643" s="64"/>
      <c r="L643" s="64"/>
      <c r="M643" s="64"/>
    </row>
    <row r="644" customFormat="false" ht="15.75" hidden="false" customHeight="true" outlineLevel="0" collapsed="false">
      <c r="A644" s="550"/>
      <c r="B644" s="550"/>
      <c r="C644" s="550"/>
      <c r="D644" s="64"/>
      <c r="E644" s="64"/>
      <c r="F644" s="64"/>
      <c r="G644" s="64"/>
      <c r="H644" s="64"/>
      <c r="I644" s="64"/>
      <c r="J644" s="64"/>
      <c r="K644" s="64"/>
      <c r="L644" s="64"/>
      <c r="M644" s="64"/>
    </row>
    <row r="645" customFormat="false" ht="15.75" hidden="false" customHeight="true" outlineLevel="0" collapsed="false">
      <c r="A645" s="550"/>
      <c r="B645" s="550"/>
      <c r="C645" s="550"/>
      <c r="D645" s="64"/>
      <c r="E645" s="64"/>
      <c r="F645" s="64"/>
      <c r="G645" s="64"/>
      <c r="H645" s="64"/>
      <c r="I645" s="64"/>
      <c r="J645" s="64"/>
      <c r="K645" s="64"/>
      <c r="L645" s="64"/>
      <c r="M645" s="64"/>
    </row>
    <row r="646" customFormat="false" ht="15.75" hidden="false" customHeight="true" outlineLevel="0" collapsed="false">
      <c r="A646" s="550"/>
      <c r="B646" s="550"/>
      <c r="C646" s="550"/>
      <c r="D646" s="64"/>
      <c r="E646" s="64"/>
      <c r="F646" s="64"/>
      <c r="G646" s="64"/>
      <c r="H646" s="64"/>
      <c r="I646" s="64"/>
      <c r="J646" s="64"/>
      <c r="K646" s="64"/>
      <c r="L646" s="64"/>
      <c r="M646" s="64"/>
    </row>
    <row r="647" customFormat="false" ht="15.75" hidden="false" customHeight="true" outlineLevel="0" collapsed="false">
      <c r="A647" s="550"/>
      <c r="B647" s="550"/>
      <c r="C647" s="550"/>
      <c r="D647" s="64"/>
      <c r="E647" s="64"/>
      <c r="F647" s="64"/>
      <c r="G647" s="64"/>
      <c r="H647" s="64"/>
      <c r="I647" s="64"/>
      <c r="J647" s="64"/>
      <c r="K647" s="64"/>
      <c r="L647" s="64"/>
      <c r="M647" s="64"/>
    </row>
    <row r="648" customFormat="false" ht="15.75" hidden="false" customHeight="true" outlineLevel="0" collapsed="false">
      <c r="A648" s="550"/>
      <c r="B648" s="550"/>
      <c r="C648" s="550"/>
      <c r="D648" s="64"/>
      <c r="E648" s="64"/>
      <c r="F648" s="64"/>
      <c r="G648" s="64"/>
      <c r="H648" s="64"/>
      <c r="I648" s="64"/>
      <c r="J648" s="64"/>
      <c r="K648" s="64"/>
      <c r="L648" s="64"/>
      <c r="M648" s="64"/>
    </row>
    <row r="649" customFormat="false" ht="15.75" hidden="false" customHeight="true" outlineLevel="0" collapsed="false">
      <c r="A649" s="550"/>
      <c r="B649" s="550"/>
      <c r="C649" s="550"/>
      <c r="D649" s="64"/>
      <c r="E649" s="64"/>
      <c r="F649" s="64"/>
      <c r="G649" s="64"/>
      <c r="H649" s="64"/>
      <c r="I649" s="64"/>
      <c r="J649" s="64"/>
      <c r="K649" s="64"/>
      <c r="L649" s="64"/>
      <c r="M649" s="64"/>
    </row>
    <row r="650" customFormat="false" ht="15.75" hidden="false" customHeight="true" outlineLevel="0" collapsed="false">
      <c r="A650" s="550"/>
      <c r="B650" s="550"/>
      <c r="C650" s="550"/>
      <c r="D650" s="64"/>
      <c r="E650" s="64"/>
      <c r="F650" s="64"/>
      <c r="G650" s="64"/>
      <c r="H650" s="64"/>
      <c r="I650" s="64"/>
      <c r="J650" s="64"/>
      <c r="K650" s="64"/>
      <c r="L650" s="64"/>
      <c r="M650" s="64"/>
    </row>
    <row r="651" customFormat="false" ht="15.75" hidden="false" customHeight="true" outlineLevel="0" collapsed="false">
      <c r="A651" s="550"/>
      <c r="B651" s="550"/>
      <c r="C651" s="550"/>
      <c r="D651" s="64"/>
      <c r="E651" s="64"/>
      <c r="F651" s="64"/>
      <c r="G651" s="64"/>
      <c r="H651" s="64"/>
      <c r="I651" s="64"/>
      <c r="J651" s="64"/>
      <c r="K651" s="64"/>
      <c r="L651" s="64"/>
      <c r="M651" s="64"/>
    </row>
    <row r="652" customFormat="false" ht="15.75" hidden="false" customHeight="true" outlineLevel="0" collapsed="false">
      <c r="A652" s="550"/>
      <c r="B652" s="550"/>
      <c r="C652" s="550"/>
      <c r="D652" s="64"/>
      <c r="E652" s="64"/>
      <c r="F652" s="64"/>
      <c r="G652" s="64"/>
      <c r="H652" s="64"/>
      <c r="I652" s="64"/>
      <c r="J652" s="64"/>
      <c r="K652" s="64"/>
      <c r="L652" s="64"/>
      <c r="M652" s="64"/>
    </row>
    <row r="653" customFormat="false" ht="15.75" hidden="false" customHeight="true" outlineLevel="0" collapsed="false">
      <c r="A653" s="550"/>
      <c r="B653" s="550"/>
      <c r="C653" s="550"/>
      <c r="D653" s="64"/>
      <c r="E653" s="64"/>
      <c r="F653" s="64"/>
      <c r="G653" s="64"/>
      <c r="H653" s="64"/>
      <c r="I653" s="64"/>
      <c r="J653" s="64"/>
      <c r="K653" s="64"/>
      <c r="L653" s="64"/>
      <c r="M653" s="64"/>
    </row>
    <row r="654" customFormat="false" ht="15.75" hidden="false" customHeight="true" outlineLevel="0" collapsed="false">
      <c r="A654" s="550"/>
      <c r="B654" s="550"/>
      <c r="C654" s="550"/>
      <c r="D654" s="64"/>
      <c r="E654" s="64"/>
      <c r="F654" s="64"/>
      <c r="G654" s="64"/>
      <c r="H654" s="64"/>
      <c r="I654" s="64"/>
      <c r="J654" s="64"/>
      <c r="K654" s="64"/>
      <c r="L654" s="64"/>
      <c r="M654" s="64"/>
    </row>
    <row r="655" customFormat="false" ht="15.75" hidden="false" customHeight="true" outlineLevel="0" collapsed="false">
      <c r="A655" s="550"/>
      <c r="B655" s="550"/>
      <c r="C655" s="550"/>
      <c r="D655" s="64"/>
      <c r="E655" s="64"/>
      <c r="F655" s="64"/>
      <c r="G655" s="64"/>
      <c r="H655" s="64"/>
      <c r="I655" s="64"/>
      <c r="J655" s="64"/>
      <c r="K655" s="64"/>
      <c r="L655" s="64"/>
      <c r="M655" s="64"/>
    </row>
    <row r="656" customFormat="false" ht="15.75" hidden="false" customHeight="true" outlineLevel="0" collapsed="false">
      <c r="A656" s="550"/>
      <c r="B656" s="550"/>
      <c r="C656" s="550"/>
      <c r="D656" s="64"/>
      <c r="E656" s="64"/>
      <c r="F656" s="64"/>
      <c r="G656" s="64"/>
      <c r="H656" s="64"/>
      <c r="I656" s="64"/>
      <c r="J656" s="64"/>
      <c r="K656" s="64"/>
      <c r="L656" s="64"/>
      <c r="M656" s="64"/>
    </row>
    <row r="657" customFormat="false" ht="15.75" hidden="false" customHeight="true" outlineLevel="0" collapsed="false">
      <c r="A657" s="550"/>
      <c r="B657" s="550"/>
      <c r="C657" s="550"/>
      <c r="D657" s="64"/>
      <c r="E657" s="64"/>
      <c r="F657" s="64"/>
      <c r="G657" s="64"/>
      <c r="H657" s="64"/>
      <c r="I657" s="64"/>
      <c r="J657" s="64"/>
      <c r="K657" s="64"/>
      <c r="L657" s="64"/>
      <c r="M657" s="64"/>
    </row>
    <row r="658" customFormat="false" ht="15.75" hidden="false" customHeight="true" outlineLevel="0" collapsed="false">
      <c r="A658" s="550"/>
      <c r="B658" s="550"/>
      <c r="C658" s="550"/>
      <c r="D658" s="64"/>
      <c r="E658" s="64"/>
      <c r="F658" s="64"/>
      <c r="G658" s="64"/>
      <c r="H658" s="64"/>
      <c r="I658" s="64"/>
      <c r="J658" s="64"/>
      <c r="K658" s="64"/>
      <c r="L658" s="64"/>
      <c r="M658" s="64"/>
    </row>
    <row r="659" customFormat="false" ht="15.75" hidden="false" customHeight="true" outlineLevel="0" collapsed="false">
      <c r="A659" s="550"/>
      <c r="B659" s="550"/>
      <c r="C659" s="550"/>
      <c r="D659" s="64"/>
      <c r="E659" s="64"/>
      <c r="F659" s="64"/>
      <c r="G659" s="64"/>
      <c r="H659" s="64"/>
      <c r="I659" s="64"/>
      <c r="J659" s="64"/>
      <c r="K659" s="64"/>
      <c r="L659" s="64"/>
      <c r="M659" s="64"/>
    </row>
    <row r="660" customFormat="false" ht="15.75" hidden="false" customHeight="true" outlineLevel="0" collapsed="false">
      <c r="A660" s="550"/>
      <c r="B660" s="550"/>
      <c r="C660" s="550"/>
      <c r="D660" s="64"/>
      <c r="E660" s="64"/>
      <c r="F660" s="64"/>
      <c r="G660" s="64"/>
      <c r="H660" s="64"/>
      <c r="I660" s="64"/>
      <c r="J660" s="64"/>
      <c r="K660" s="64"/>
      <c r="L660" s="64"/>
      <c r="M660" s="64"/>
    </row>
    <row r="661" customFormat="false" ht="15.75" hidden="false" customHeight="true" outlineLevel="0" collapsed="false">
      <c r="A661" s="550"/>
      <c r="B661" s="550"/>
      <c r="C661" s="550"/>
      <c r="D661" s="64"/>
      <c r="E661" s="64"/>
      <c r="F661" s="64"/>
      <c r="G661" s="64"/>
      <c r="H661" s="64"/>
      <c r="I661" s="64"/>
      <c r="J661" s="64"/>
      <c r="K661" s="64"/>
      <c r="L661" s="64"/>
      <c r="M661" s="64"/>
    </row>
    <row r="662" customFormat="false" ht="15.75" hidden="false" customHeight="true" outlineLevel="0" collapsed="false">
      <c r="A662" s="550"/>
      <c r="B662" s="550"/>
      <c r="C662" s="550"/>
      <c r="D662" s="64"/>
      <c r="E662" s="64"/>
      <c r="F662" s="64"/>
      <c r="G662" s="64"/>
      <c r="H662" s="64"/>
      <c r="I662" s="64"/>
      <c r="J662" s="64"/>
      <c r="K662" s="64"/>
      <c r="L662" s="64"/>
      <c r="M662" s="64"/>
    </row>
    <row r="663" customFormat="false" ht="15.75" hidden="false" customHeight="true" outlineLevel="0" collapsed="false">
      <c r="A663" s="550"/>
      <c r="B663" s="550"/>
      <c r="C663" s="550"/>
      <c r="D663" s="64"/>
      <c r="E663" s="64"/>
      <c r="F663" s="64"/>
      <c r="G663" s="64"/>
      <c r="H663" s="64"/>
      <c r="I663" s="64"/>
      <c r="J663" s="64"/>
      <c r="K663" s="64"/>
      <c r="L663" s="64"/>
      <c r="M663" s="64"/>
    </row>
    <row r="664" customFormat="false" ht="15.75" hidden="false" customHeight="true" outlineLevel="0" collapsed="false">
      <c r="A664" s="550"/>
      <c r="B664" s="550"/>
      <c r="C664" s="550"/>
      <c r="D664" s="64"/>
      <c r="E664" s="64"/>
      <c r="F664" s="64"/>
      <c r="G664" s="64"/>
      <c r="H664" s="64"/>
      <c r="I664" s="64"/>
      <c r="J664" s="64"/>
      <c r="K664" s="64"/>
      <c r="L664" s="64"/>
      <c r="M664" s="64"/>
    </row>
    <row r="665" customFormat="false" ht="15.75" hidden="false" customHeight="true" outlineLevel="0" collapsed="false">
      <c r="A665" s="550"/>
      <c r="B665" s="550"/>
      <c r="C665" s="550"/>
      <c r="D665" s="64"/>
      <c r="E665" s="64"/>
      <c r="F665" s="64"/>
      <c r="G665" s="64"/>
      <c r="H665" s="64"/>
      <c r="I665" s="64"/>
      <c r="J665" s="64"/>
      <c r="K665" s="64"/>
      <c r="L665" s="64"/>
      <c r="M665" s="64"/>
    </row>
    <row r="666" customFormat="false" ht="15.75" hidden="false" customHeight="true" outlineLevel="0" collapsed="false">
      <c r="A666" s="550"/>
      <c r="B666" s="550"/>
      <c r="C666" s="550"/>
      <c r="D666" s="64"/>
      <c r="E666" s="64"/>
      <c r="F666" s="64"/>
      <c r="G666" s="64"/>
      <c r="H666" s="64"/>
      <c r="I666" s="64"/>
      <c r="J666" s="64"/>
      <c r="K666" s="64"/>
      <c r="L666" s="64"/>
      <c r="M666" s="64"/>
    </row>
    <row r="667" customFormat="false" ht="15.75" hidden="false" customHeight="true" outlineLevel="0" collapsed="false">
      <c r="A667" s="550"/>
      <c r="B667" s="550"/>
      <c r="C667" s="550"/>
      <c r="D667" s="64"/>
      <c r="E667" s="64"/>
      <c r="F667" s="64"/>
      <c r="G667" s="64"/>
      <c r="H667" s="64"/>
      <c r="I667" s="64"/>
      <c r="J667" s="64"/>
      <c r="K667" s="64"/>
      <c r="L667" s="64"/>
      <c r="M667" s="64"/>
    </row>
    <row r="668" customFormat="false" ht="15.75" hidden="false" customHeight="true" outlineLevel="0" collapsed="false">
      <c r="A668" s="550"/>
      <c r="B668" s="550"/>
      <c r="C668" s="550"/>
      <c r="D668" s="64"/>
      <c r="E668" s="64"/>
      <c r="F668" s="64"/>
      <c r="G668" s="64"/>
      <c r="H668" s="64"/>
      <c r="I668" s="64"/>
      <c r="J668" s="64"/>
      <c r="K668" s="64"/>
      <c r="L668" s="64"/>
      <c r="M668" s="64"/>
    </row>
    <row r="669" customFormat="false" ht="15.75" hidden="false" customHeight="true" outlineLevel="0" collapsed="false">
      <c r="A669" s="550"/>
      <c r="B669" s="550"/>
      <c r="C669" s="550"/>
      <c r="D669" s="64"/>
      <c r="E669" s="64"/>
      <c r="F669" s="64"/>
      <c r="G669" s="64"/>
      <c r="H669" s="64"/>
      <c r="I669" s="64"/>
      <c r="J669" s="64"/>
      <c r="K669" s="64"/>
      <c r="L669" s="64"/>
      <c r="M669" s="64"/>
    </row>
    <row r="670" customFormat="false" ht="15.75" hidden="false" customHeight="true" outlineLevel="0" collapsed="false">
      <c r="A670" s="550"/>
      <c r="B670" s="550"/>
      <c r="C670" s="550"/>
      <c r="D670" s="64"/>
      <c r="E670" s="64"/>
      <c r="F670" s="64"/>
      <c r="G670" s="64"/>
      <c r="H670" s="64"/>
      <c r="I670" s="64"/>
      <c r="J670" s="64"/>
      <c r="K670" s="64"/>
      <c r="L670" s="64"/>
      <c r="M670" s="64"/>
    </row>
    <row r="671" customFormat="false" ht="15.75" hidden="false" customHeight="true" outlineLevel="0" collapsed="false">
      <c r="A671" s="550"/>
      <c r="B671" s="550"/>
      <c r="C671" s="550"/>
      <c r="D671" s="64"/>
      <c r="E671" s="64"/>
      <c r="F671" s="64"/>
      <c r="G671" s="64"/>
      <c r="H671" s="64"/>
      <c r="I671" s="64"/>
      <c r="J671" s="64"/>
      <c r="K671" s="64"/>
      <c r="L671" s="64"/>
      <c r="M671" s="64"/>
    </row>
    <row r="672" customFormat="false" ht="15.75" hidden="false" customHeight="true" outlineLevel="0" collapsed="false">
      <c r="A672" s="550"/>
      <c r="B672" s="550"/>
      <c r="C672" s="550"/>
      <c r="D672" s="64"/>
      <c r="E672" s="64"/>
      <c r="F672" s="64"/>
      <c r="G672" s="64"/>
      <c r="H672" s="64"/>
      <c r="I672" s="64"/>
      <c r="J672" s="64"/>
      <c r="K672" s="64"/>
      <c r="L672" s="64"/>
      <c r="M672" s="64"/>
    </row>
    <row r="673" customFormat="false" ht="15.75" hidden="false" customHeight="true" outlineLevel="0" collapsed="false">
      <c r="A673" s="550"/>
      <c r="B673" s="550"/>
      <c r="C673" s="550"/>
      <c r="D673" s="64"/>
      <c r="E673" s="64"/>
      <c r="F673" s="64"/>
      <c r="G673" s="64"/>
      <c r="H673" s="64"/>
      <c r="I673" s="64"/>
      <c r="J673" s="64"/>
      <c r="K673" s="64"/>
      <c r="L673" s="64"/>
      <c r="M673" s="64"/>
    </row>
    <row r="674" customFormat="false" ht="15.75" hidden="false" customHeight="true" outlineLevel="0" collapsed="false">
      <c r="A674" s="550"/>
      <c r="B674" s="550"/>
      <c r="C674" s="550"/>
      <c r="D674" s="64"/>
      <c r="E674" s="64"/>
      <c r="F674" s="64"/>
      <c r="G674" s="64"/>
      <c r="H674" s="64"/>
      <c r="I674" s="64"/>
      <c r="J674" s="64"/>
      <c r="K674" s="64"/>
      <c r="L674" s="64"/>
      <c r="M674" s="64"/>
    </row>
    <row r="675" customFormat="false" ht="15.75" hidden="false" customHeight="true" outlineLevel="0" collapsed="false">
      <c r="A675" s="550"/>
      <c r="B675" s="550"/>
      <c r="C675" s="550"/>
      <c r="D675" s="64"/>
      <c r="E675" s="64"/>
      <c r="F675" s="64"/>
      <c r="G675" s="64"/>
      <c r="H675" s="64"/>
      <c r="I675" s="64"/>
      <c r="J675" s="64"/>
      <c r="K675" s="64"/>
      <c r="L675" s="64"/>
      <c r="M675" s="64"/>
    </row>
    <row r="676" customFormat="false" ht="15.75" hidden="false" customHeight="true" outlineLevel="0" collapsed="false">
      <c r="A676" s="550"/>
      <c r="B676" s="550"/>
      <c r="C676" s="550"/>
      <c r="D676" s="64"/>
      <c r="E676" s="64"/>
      <c r="F676" s="64"/>
      <c r="G676" s="64"/>
      <c r="H676" s="64"/>
      <c r="I676" s="64"/>
      <c r="J676" s="64"/>
      <c r="K676" s="64"/>
      <c r="L676" s="64"/>
      <c r="M676" s="64"/>
    </row>
    <row r="677" customFormat="false" ht="15.75" hidden="false" customHeight="true" outlineLevel="0" collapsed="false">
      <c r="A677" s="550"/>
      <c r="B677" s="550"/>
      <c r="C677" s="550"/>
      <c r="D677" s="64"/>
      <c r="E677" s="64"/>
      <c r="F677" s="64"/>
      <c r="G677" s="64"/>
      <c r="H677" s="64"/>
      <c r="I677" s="64"/>
      <c r="J677" s="64"/>
      <c r="K677" s="64"/>
      <c r="L677" s="64"/>
      <c r="M677" s="64"/>
    </row>
    <row r="678" customFormat="false" ht="15.75" hidden="false" customHeight="true" outlineLevel="0" collapsed="false">
      <c r="A678" s="550"/>
      <c r="B678" s="550"/>
      <c r="C678" s="550"/>
      <c r="D678" s="64"/>
      <c r="E678" s="64"/>
      <c r="F678" s="64"/>
      <c r="G678" s="64"/>
      <c r="H678" s="64"/>
      <c r="I678" s="64"/>
      <c r="J678" s="64"/>
      <c r="K678" s="64"/>
      <c r="L678" s="64"/>
      <c r="M678" s="64"/>
    </row>
    <row r="679" customFormat="false" ht="15.75" hidden="false" customHeight="true" outlineLevel="0" collapsed="false">
      <c r="A679" s="550"/>
      <c r="B679" s="550"/>
      <c r="C679" s="550"/>
      <c r="D679" s="64"/>
      <c r="E679" s="64"/>
      <c r="F679" s="64"/>
      <c r="G679" s="64"/>
      <c r="H679" s="64"/>
      <c r="I679" s="64"/>
      <c r="J679" s="64"/>
      <c r="K679" s="64"/>
      <c r="L679" s="64"/>
      <c r="M679" s="64"/>
    </row>
    <row r="680" customFormat="false" ht="15.75" hidden="false" customHeight="true" outlineLevel="0" collapsed="false">
      <c r="A680" s="550"/>
      <c r="B680" s="550"/>
      <c r="C680" s="550"/>
      <c r="D680" s="64"/>
      <c r="E680" s="64"/>
      <c r="F680" s="64"/>
      <c r="G680" s="64"/>
      <c r="H680" s="64"/>
      <c r="I680" s="64"/>
      <c r="J680" s="64"/>
      <c r="K680" s="64"/>
      <c r="L680" s="64"/>
      <c r="M680" s="64"/>
    </row>
    <row r="681" customFormat="false" ht="15.75" hidden="false" customHeight="true" outlineLevel="0" collapsed="false">
      <c r="A681" s="550"/>
      <c r="B681" s="550"/>
      <c r="C681" s="550"/>
      <c r="D681" s="64"/>
      <c r="E681" s="64"/>
      <c r="F681" s="64"/>
      <c r="G681" s="64"/>
      <c r="H681" s="64"/>
      <c r="I681" s="64"/>
      <c r="J681" s="64"/>
      <c r="K681" s="64"/>
      <c r="L681" s="64"/>
      <c r="M681" s="64"/>
    </row>
    <row r="682" customFormat="false" ht="15.75" hidden="false" customHeight="true" outlineLevel="0" collapsed="false">
      <c r="A682" s="550"/>
      <c r="B682" s="550"/>
      <c r="C682" s="550"/>
      <c r="D682" s="64"/>
      <c r="E682" s="64"/>
      <c r="F682" s="64"/>
      <c r="G682" s="64"/>
      <c r="H682" s="64"/>
      <c r="I682" s="64"/>
      <c r="J682" s="64"/>
      <c r="K682" s="64"/>
      <c r="L682" s="64"/>
      <c r="M682" s="64"/>
    </row>
    <row r="683" customFormat="false" ht="15.75" hidden="false" customHeight="true" outlineLevel="0" collapsed="false">
      <c r="A683" s="550"/>
      <c r="B683" s="550"/>
      <c r="C683" s="550"/>
      <c r="D683" s="64"/>
      <c r="E683" s="64"/>
      <c r="F683" s="64"/>
      <c r="G683" s="64"/>
      <c r="H683" s="64"/>
      <c r="I683" s="64"/>
      <c r="J683" s="64"/>
      <c r="K683" s="64"/>
      <c r="L683" s="64"/>
      <c r="M683" s="64"/>
    </row>
    <row r="684" customFormat="false" ht="15.75" hidden="false" customHeight="true" outlineLevel="0" collapsed="false">
      <c r="A684" s="550"/>
      <c r="B684" s="550"/>
      <c r="C684" s="550"/>
      <c r="D684" s="64"/>
      <c r="E684" s="64"/>
      <c r="F684" s="64"/>
      <c r="G684" s="64"/>
      <c r="H684" s="64"/>
      <c r="I684" s="64"/>
      <c r="J684" s="64"/>
      <c r="K684" s="64"/>
      <c r="L684" s="64"/>
      <c r="M684" s="64"/>
    </row>
    <row r="685" customFormat="false" ht="15.75" hidden="false" customHeight="true" outlineLevel="0" collapsed="false">
      <c r="A685" s="550"/>
      <c r="B685" s="550"/>
      <c r="C685" s="550"/>
      <c r="D685" s="64"/>
      <c r="E685" s="64"/>
      <c r="F685" s="64"/>
      <c r="G685" s="64"/>
      <c r="H685" s="64"/>
      <c r="I685" s="64"/>
      <c r="J685" s="64"/>
      <c r="K685" s="64"/>
      <c r="L685" s="64"/>
      <c r="M685" s="64"/>
    </row>
    <row r="686" customFormat="false" ht="15.75" hidden="false" customHeight="true" outlineLevel="0" collapsed="false">
      <c r="A686" s="550"/>
      <c r="B686" s="550"/>
      <c r="C686" s="550"/>
      <c r="D686" s="64"/>
      <c r="E686" s="64"/>
      <c r="F686" s="64"/>
      <c r="G686" s="64"/>
      <c r="H686" s="64"/>
      <c r="I686" s="64"/>
      <c r="J686" s="64"/>
      <c r="K686" s="64"/>
      <c r="L686" s="64"/>
      <c r="M686" s="64"/>
    </row>
    <row r="687" customFormat="false" ht="15.75" hidden="false" customHeight="true" outlineLevel="0" collapsed="false">
      <c r="A687" s="550"/>
      <c r="B687" s="550"/>
      <c r="C687" s="550"/>
      <c r="D687" s="64"/>
      <c r="E687" s="64"/>
      <c r="F687" s="64"/>
      <c r="G687" s="64"/>
      <c r="H687" s="64"/>
      <c r="I687" s="64"/>
      <c r="J687" s="64"/>
      <c r="K687" s="64"/>
      <c r="L687" s="64"/>
      <c r="M687" s="64"/>
    </row>
    <row r="688" customFormat="false" ht="15.75" hidden="false" customHeight="true" outlineLevel="0" collapsed="false">
      <c r="A688" s="550"/>
      <c r="B688" s="550"/>
      <c r="C688" s="550"/>
      <c r="D688" s="64"/>
      <c r="E688" s="64"/>
      <c r="F688" s="64"/>
      <c r="G688" s="64"/>
      <c r="H688" s="64"/>
      <c r="I688" s="64"/>
      <c r="J688" s="64"/>
      <c r="K688" s="64"/>
      <c r="L688" s="64"/>
      <c r="M688" s="64"/>
    </row>
    <row r="689" customFormat="false" ht="15.75" hidden="false" customHeight="true" outlineLevel="0" collapsed="false">
      <c r="A689" s="550"/>
      <c r="B689" s="550"/>
      <c r="C689" s="550"/>
      <c r="D689" s="64"/>
      <c r="E689" s="64"/>
      <c r="F689" s="64"/>
      <c r="G689" s="64"/>
      <c r="H689" s="64"/>
      <c r="I689" s="64"/>
      <c r="J689" s="64"/>
      <c r="K689" s="64"/>
      <c r="L689" s="64"/>
      <c r="M689" s="64"/>
    </row>
    <row r="690" customFormat="false" ht="15.75" hidden="false" customHeight="true" outlineLevel="0" collapsed="false">
      <c r="A690" s="550"/>
      <c r="B690" s="550"/>
      <c r="C690" s="550"/>
      <c r="D690" s="64"/>
      <c r="E690" s="64"/>
      <c r="F690" s="64"/>
      <c r="G690" s="64"/>
      <c r="H690" s="64"/>
      <c r="I690" s="64"/>
      <c r="J690" s="64"/>
      <c r="K690" s="64"/>
      <c r="L690" s="64"/>
      <c r="M690" s="64"/>
    </row>
    <row r="691" customFormat="false" ht="15.75" hidden="false" customHeight="true" outlineLevel="0" collapsed="false">
      <c r="A691" s="550"/>
      <c r="B691" s="550"/>
      <c r="C691" s="550"/>
      <c r="D691" s="64"/>
      <c r="E691" s="64"/>
      <c r="F691" s="64"/>
      <c r="G691" s="64"/>
      <c r="H691" s="64"/>
      <c r="I691" s="64"/>
      <c r="J691" s="64"/>
      <c r="K691" s="64"/>
      <c r="L691" s="64"/>
      <c r="M691" s="64"/>
    </row>
    <row r="692" customFormat="false" ht="15.75" hidden="false" customHeight="true" outlineLevel="0" collapsed="false">
      <c r="A692" s="550"/>
      <c r="B692" s="550"/>
      <c r="C692" s="550"/>
      <c r="D692" s="64"/>
      <c r="E692" s="64"/>
      <c r="F692" s="64"/>
      <c r="G692" s="64"/>
      <c r="H692" s="64"/>
      <c r="I692" s="64"/>
      <c r="J692" s="64"/>
      <c r="K692" s="64"/>
      <c r="L692" s="64"/>
      <c r="M692" s="64"/>
    </row>
    <row r="693" customFormat="false" ht="15.75" hidden="false" customHeight="true" outlineLevel="0" collapsed="false">
      <c r="A693" s="550"/>
      <c r="B693" s="550"/>
      <c r="C693" s="550"/>
      <c r="D693" s="64"/>
      <c r="E693" s="64"/>
      <c r="F693" s="64"/>
      <c r="G693" s="64"/>
      <c r="H693" s="64"/>
      <c r="I693" s="64"/>
      <c r="J693" s="64"/>
      <c r="K693" s="64"/>
      <c r="L693" s="64"/>
      <c r="M693" s="64"/>
    </row>
    <row r="694" customFormat="false" ht="15.75" hidden="false" customHeight="true" outlineLevel="0" collapsed="false">
      <c r="A694" s="550"/>
      <c r="B694" s="550"/>
      <c r="C694" s="550"/>
      <c r="D694" s="64"/>
      <c r="E694" s="64"/>
      <c r="F694" s="64"/>
      <c r="G694" s="64"/>
      <c r="H694" s="64"/>
      <c r="I694" s="64"/>
      <c r="J694" s="64"/>
      <c r="K694" s="64"/>
      <c r="L694" s="64"/>
      <c r="M694" s="64"/>
    </row>
    <row r="695" customFormat="false" ht="15.75" hidden="false" customHeight="true" outlineLevel="0" collapsed="false">
      <c r="A695" s="550"/>
      <c r="B695" s="550"/>
      <c r="C695" s="550"/>
      <c r="D695" s="64"/>
      <c r="E695" s="64"/>
      <c r="F695" s="64"/>
      <c r="G695" s="64"/>
      <c r="H695" s="64"/>
      <c r="I695" s="64"/>
      <c r="J695" s="64"/>
      <c r="K695" s="64"/>
      <c r="L695" s="64"/>
      <c r="M695" s="64"/>
    </row>
    <row r="696" customFormat="false" ht="15.75" hidden="false" customHeight="true" outlineLevel="0" collapsed="false">
      <c r="A696" s="550"/>
      <c r="B696" s="550"/>
      <c r="C696" s="550"/>
      <c r="D696" s="64"/>
      <c r="E696" s="64"/>
      <c r="F696" s="64"/>
      <c r="G696" s="64"/>
      <c r="H696" s="64"/>
      <c r="I696" s="64"/>
      <c r="J696" s="64"/>
      <c r="K696" s="64"/>
      <c r="L696" s="64"/>
      <c r="M696" s="64"/>
    </row>
    <row r="697" customFormat="false" ht="15.75" hidden="false" customHeight="true" outlineLevel="0" collapsed="false">
      <c r="A697" s="550"/>
      <c r="B697" s="550"/>
      <c r="C697" s="550"/>
      <c r="D697" s="64"/>
      <c r="E697" s="64"/>
      <c r="F697" s="64"/>
      <c r="G697" s="64"/>
      <c r="H697" s="64"/>
      <c r="I697" s="64"/>
      <c r="J697" s="64"/>
      <c r="K697" s="64"/>
      <c r="L697" s="64"/>
      <c r="M697" s="64"/>
    </row>
    <row r="698" customFormat="false" ht="15.75" hidden="false" customHeight="true" outlineLevel="0" collapsed="false">
      <c r="A698" s="550"/>
      <c r="B698" s="550"/>
      <c r="C698" s="550"/>
      <c r="D698" s="64"/>
      <c r="E698" s="64"/>
      <c r="F698" s="64"/>
      <c r="G698" s="64"/>
      <c r="H698" s="64"/>
      <c r="I698" s="64"/>
      <c r="J698" s="64"/>
      <c r="K698" s="64"/>
      <c r="L698" s="64"/>
      <c r="M698" s="64"/>
    </row>
    <row r="699" customFormat="false" ht="15.75" hidden="false" customHeight="true" outlineLevel="0" collapsed="false">
      <c r="A699" s="550"/>
      <c r="B699" s="550"/>
      <c r="C699" s="550"/>
      <c r="D699" s="64"/>
      <c r="E699" s="64"/>
      <c r="F699" s="64"/>
      <c r="G699" s="64"/>
      <c r="H699" s="64"/>
      <c r="I699" s="64"/>
      <c r="J699" s="64"/>
      <c r="K699" s="64"/>
      <c r="L699" s="64"/>
      <c r="M699" s="64"/>
    </row>
    <row r="700" customFormat="false" ht="15.75" hidden="false" customHeight="true" outlineLevel="0" collapsed="false">
      <c r="A700" s="550"/>
      <c r="B700" s="550"/>
      <c r="C700" s="550"/>
      <c r="D700" s="64"/>
      <c r="E700" s="64"/>
      <c r="F700" s="64"/>
      <c r="G700" s="64"/>
      <c r="H700" s="64"/>
      <c r="I700" s="64"/>
      <c r="J700" s="64"/>
      <c r="K700" s="64"/>
      <c r="L700" s="64"/>
      <c r="M700" s="64"/>
    </row>
    <row r="701" customFormat="false" ht="15.75" hidden="false" customHeight="true" outlineLevel="0" collapsed="false">
      <c r="A701" s="550"/>
      <c r="B701" s="550"/>
      <c r="C701" s="550"/>
      <c r="D701" s="64"/>
      <c r="E701" s="64"/>
      <c r="F701" s="64"/>
      <c r="G701" s="64"/>
      <c r="H701" s="64"/>
      <c r="I701" s="64"/>
      <c r="J701" s="64"/>
      <c r="K701" s="64"/>
      <c r="L701" s="64"/>
      <c r="M701" s="64"/>
    </row>
    <row r="702" customFormat="false" ht="15.75" hidden="false" customHeight="true" outlineLevel="0" collapsed="false">
      <c r="A702" s="550"/>
      <c r="B702" s="550"/>
      <c r="C702" s="550"/>
      <c r="D702" s="64"/>
      <c r="E702" s="64"/>
      <c r="F702" s="64"/>
      <c r="G702" s="64"/>
      <c r="H702" s="64"/>
      <c r="I702" s="64"/>
      <c r="J702" s="64"/>
      <c r="K702" s="64"/>
      <c r="L702" s="64"/>
      <c r="M702" s="64"/>
    </row>
    <row r="703" customFormat="false" ht="15.75" hidden="false" customHeight="true" outlineLevel="0" collapsed="false">
      <c r="A703" s="550"/>
      <c r="B703" s="550"/>
      <c r="C703" s="550"/>
      <c r="D703" s="64"/>
      <c r="E703" s="64"/>
      <c r="F703" s="64"/>
      <c r="G703" s="64"/>
      <c r="H703" s="64"/>
      <c r="I703" s="64"/>
      <c r="J703" s="64"/>
      <c r="K703" s="64"/>
      <c r="L703" s="64"/>
      <c r="M703" s="64"/>
    </row>
    <row r="704" customFormat="false" ht="15.75" hidden="false" customHeight="true" outlineLevel="0" collapsed="false">
      <c r="A704" s="550"/>
      <c r="B704" s="550"/>
      <c r="C704" s="550"/>
      <c r="D704" s="64"/>
      <c r="E704" s="64"/>
      <c r="F704" s="64"/>
      <c r="G704" s="64"/>
      <c r="H704" s="64"/>
      <c r="I704" s="64"/>
      <c r="J704" s="64"/>
      <c r="K704" s="64"/>
      <c r="L704" s="64"/>
      <c r="M704" s="64"/>
    </row>
    <row r="705" customFormat="false" ht="15.75" hidden="false" customHeight="true" outlineLevel="0" collapsed="false">
      <c r="A705" s="550"/>
      <c r="B705" s="550"/>
      <c r="C705" s="550"/>
      <c r="D705" s="64"/>
      <c r="E705" s="64"/>
      <c r="F705" s="64"/>
      <c r="G705" s="64"/>
      <c r="H705" s="64"/>
      <c r="I705" s="64"/>
      <c r="J705" s="64"/>
      <c r="K705" s="64"/>
      <c r="L705" s="64"/>
      <c r="M705" s="64"/>
    </row>
    <row r="706" customFormat="false" ht="15.75" hidden="false" customHeight="true" outlineLevel="0" collapsed="false">
      <c r="A706" s="550"/>
      <c r="B706" s="550"/>
      <c r="C706" s="550"/>
      <c r="D706" s="64"/>
      <c r="E706" s="64"/>
      <c r="F706" s="64"/>
      <c r="G706" s="64"/>
      <c r="H706" s="64"/>
      <c r="I706" s="64"/>
      <c r="J706" s="64"/>
      <c r="K706" s="64"/>
      <c r="L706" s="64"/>
      <c r="M706" s="64"/>
    </row>
    <row r="707" customFormat="false" ht="15.75" hidden="false" customHeight="true" outlineLevel="0" collapsed="false">
      <c r="A707" s="550"/>
      <c r="B707" s="550"/>
      <c r="C707" s="550"/>
      <c r="D707" s="64"/>
      <c r="E707" s="64"/>
      <c r="F707" s="64"/>
      <c r="G707" s="64"/>
      <c r="H707" s="64"/>
      <c r="I707" s="64"/>
      <c r="J707" s="64"/>
      <c r="K707" s="64"/>
      <c r="L707" s="64"/>
      <c r="M707" s="64"/>
    </row>
    <row r="708" customFormat="false" ht="15.75" hidden="false" customHeight="true" outlineLevel="0" collapsed="false">
      <c r="A708" s="550"/>
      <c r="B708" s="550"/>
      <c r="C708" s="550"/>
      <c r="D708" s="64"/>
      <c r="E708" s="64"/>
      <c r="F708" s="64"/>
      <c r="G708" s="64"/>
      <c r="H708" s="64"/>
      <c r="I708" s="64"/>
      <c r="J708" s="64"/>
      <c r="K708" s="64"/>
      <c r="L708" s="64"/>
      <c r="M708" s="64"/>
    </row>
    <row r="709" customFormat="false" ht="15.75" hidden="false" customHeight="true" outlineLevel="0" collapsed="false">
      <c r="A709" s="550"/>
      <c r="B709" s="550"/>
      <c r="C709" s="550"/>
      <c r="D709" s="64"/>
      <c r="E709" s="64"/>
      <c r="F709" s="64"/>
      <c r="G709" s="64"/>
      <c r="H709" s="64"/>
      <c r="I709" s="64"/>
      <c r="J709" s="64"/>
      <c r="K709" s="64"/>
      <c r="L709" s="64"/>
      <c r="M709" s="64"/>
    </row>
    <row r="710" customFormat="false" ht="15.75" hidden="false" customHeight="true" outlineLevel="0" collapsed="false">
      <c r="A710" s="550"/>
      <c r="B710" s="550"/>
      <c r="C710" s="550"/>
      <c r="D710" s="64"/>
      <c r="E710" s="64"/>
      <c r="F710" s="64"/>
      <c r="G710" s="64"/>
      <c r="H710" s="64"/>
      <c r="I710" s="64"/>
      <c r="J710" s="64"/>
      <c r="K710" s="64"/>
      <c r="L710" s="64"/>
      <c r="M710" s="64"/>
    </row>
    <row r="711" customFormat="false" ht="15.75" hidden="false" customHeight="true" outlineLevel="0" collapsed="false">
      <c r="A711" s="550"/>
      <c r="B711" s="550"/>
      <c r="C711" s="550"/>
      <c r="D711" s="64"/>
      <c r="E711" s="64"/>
      <c r="F711" s="64"/>
      <c r="G711" s="64"/>
      <c r="H711" s="64"/>
      <c r="I711" s="64"/>
      <c r="J711" s="64"/>
      <c r="K711" s="64"/>
      <c r="L711" s="64"/>
      <c r="M711" s="64"/>
    </row>
    <row r="712" customFormat="false" ht="15.75" hidden="false" customHeight="true" outlineLevel="0" collapsed="false">
      <c r="A712" s="550"/>
      <c r="B712" s="550"/>
      <c r="C712" s="550"/>
      <c r="D712" s="64"/>
      <c r="E712" s="64"/>
      <c r="F712" s="64"/>
      <c r="G712" s="64"/>
      <c r="H712" s="64"/>
      <c r="I712" s="64"/>
      <c r="J712" s="64"/>
      <c r="K712" s="64"/>
      <c r="L712" s="64"/>
      <c r="M712" s="64"/>
    </row>
    <row r="713" customFormat="false" ht="15.75" hidden="false" customHeight="true" outlineLevel="0" collapsed="false">
      <c r="A713" s="550"/>
      <c r="B713" s="550"/>
      <c r="C713" s="550"/>
      <c r="D713" s="64"/>
      <c r="E713" s="64"/>
      <c r="F713" s="64"/>
      <c r="G713" s="64"/>
      <c r="H713" s="64"/>
      <c r="I713" s="64"/>
      <c r="J713" s="64"/>
      <c r="K713" s="64"/>
      <c r="L713" s="64"/>
      <c r="M713" s="64"/>
    </row>
    <row r="714" customFormat="false" ht="15.75" hidden="false" customHeight="true" outlineLevel="0" collapsed="false">
      <c r="A714" s="550"/>
      <c r="B714" s="550"/>
      <c r="C714" s="550"/>
      <c r="D714" s="64"/>
      <c r="E714" s="64"/>
      <c r="F714" s="64"/>
      <c r="G714" s="64"/>
      <c r="H714" s="64"/>
      <c r="I714" s="64"/>
      <c r="J714" s="64"/>
      <c r="K714" s="64"/>
      <c r="L714" s="64"/>
      <c r="M714" s="64"/>
    </row>
    <row r="715" customFormat="false" ht="15.75" hidden="false" customHeight="true" outlineLevel="0" collapsed="false">
      <c r="A715" s="550"/>
      <c r="B715" s="550"/>
      <c r="C715" s="550"/>
      <c r="D715" s="64"/>
      <c r="E715" s="64"/>
      <c r="F715" s="64"/>
      <c r="G715" s="64"/>
      <c r="H715" s="64"/>
      <c r="I715" s="64"/>
      <c r="J715" s="64"/>
      <c r="K715" s="64"/>
      <c r="L715" s="64"/>
      <c r="M715" s="64"/>
    </row>
    <row r="716" customFormat="false" ht="15.75" hidden="false" customHeight="true" outlineLevel="0" collapsed="false">
      <c r="A716" s="550"/>
      <c r="B716" s="550"/>
      <c r="C716" s="550"/>
      <c r="D716" s="64"/>
      <c r="E716" s="64"/>
      <c r="F716" s="64"/>
      <c r="G716" s="64"/>
      <c r="H716" s="64"/>
      <c r="I716" s="64"/>
      <c r="J716" s="64"/>
      <c r="K716" s="64"/>
      <c r="L716" s="64"/>
      <c r="M716" s="64"/>
    </row>
    <row r="717" customFormat="false" ht="15.75" hidden="false" customHeight="true" outlineLevel="0" collapsed="false">
      <c r="A717" s="550"/>
      <c r="B717" s="550"/>
      <c r="C717" s="550"/>
      <c r="D717" s="64"/>
      <c r="E717" s="64"/>
      <c r="F717" s="64"/>
      <c r="G717" s="64"/>
      <c r="H717" s="64"/>
      <c r="I717" s="64"/>
      <c r="J717" s="64"/>
      <c r="K717" s="64"/>
      <c r="L717" s="64"/>
      <c r="M717" s="64"/>
    </row>
    <row r="718" customFormat="false" ht="15.75" hidden="false" customHeight="true" outlineLevel="0" collapsed="false">
      <c r="A718" s="550"/>
      <c r="B718" s="550"/>
      <c r="C718" s="550"/>
      <c r="D718" s="64"/>
      <c r="E718" s="64"/>
      <c r="F718" s="64"/>
      <c r="G718" s="64"/>
      <c r="H718" s="64"/>
      <c r="I718" s="64"/>
      <c r="J718" s="64"/>
      <c r="K718" s="64"/>
      <c r="L718" s="64"/>
      <c r="M718" s="64"/>
    </row>
    <row r="719" customFormat="false" ht="15.75" hidden="false" customHeight="true" outlineLevel="0" collapsed="false">
      <c r="A719" s="550"/>
      <c r="B719" s="550"/>
      <c r="C719" s="550"/>
      <c r="D719" s="64"/>
      <c r="E719" s="64"/>
      <c r="F719" s="64"/>
      <c r="G719" s="64"/>
      <c r="H719" s="64"/>
      <c r="I719" s="64"/>
      <c r="J719" s="64"/>
      <c r="K719" s="64"/>
      <c r="L719" s="64"/>
      <c r="M719" s="64"/>
    </row>
    <row r="720" customFormat="false" ht="15.75" hidden="false" customHeight="true" outlineLevel="0" collapsed="false">
      <c r="A720" s="550"/>
      <c r="B720" s="550"/>
      <c r="C720" s="550"/>
      <c r="D720" s="64"/>
      <c r="E720" s="64"/>
      <c r="F720" s="64"/>
      <c r="G720" s="64"/>
      <c r="H720" s="64"/>
      <c r="I720" s="64"/>
      <c r="J720" s="64"/>
      <c r="K720" s="64"/>
      <c r="L720" s="64"/>
      <c r="M720" s="64"/>
    </row>
    <row r="721" customFormat="false" ht="15.75" hidden="false" customHeight="true" outlineLevel="0" collapsed="false">
      <c r="A721" s="550"/>
      <c r="B721" s="550"/>
      <c r="C721" s="550"/>
      <c r="D721" s="64"/>
      <c r="E721" s="64"/>
      <c r="F721" s="64"/>
      <c r="G721" s="64"/>
      <c r="H721" s="64"/>
      <c r="I721" s="64"/>
      <c r="J721" s="64"/>
      <c r="K721" s="64"/>
      <c r="L721" s="64"/>
      <c r="M721" s="64"/>
    </row>
    <row r="722" customFormat="false" ht="15.75" hidden="false" customHeight="true" outlineLevel="0" collapsed="false">
      <c r="A722" s="550"/>
      <c r="B722" s="550"/>
      <c r="C722" s="550"/>
      <c r="D722" s="64"/>
      <c r="E722" s="64"/>
      <c r="F722" s="64"/>
      <c r="G722" s="64"/>
      <c r="H722" s="64"/>
      <c r="I722" s="64"/>
      <c r="J722" s="64"/>
      <c r="K722" s="64"/>
      <c r="L722" s="64"/>
      <c r="M722" s="64"/>
    </row>
    <row r="723" customFormat="false" ht="15.75" hidden="false" customHeight="true" outlineLevel="0" collapsed="false">
      <c r="A723" s="550"/>
      <c r="B723" s="550"/>
      <c r="C723" s="550"/>
      <c r="D723" s="64"/>
      <c r="E723" s="64"/>
      <c r="F723" s="64"/>
      <c r="G723" s="64"/>
      <c r="H723" s="64"/>
      <c r="I723" s="64"/>
      <c r="J723" s="64"/>
      <c r="K723" s="64"/>
      <c r="L723" s="64"/>
      <c r="M723" s="64"/>
    </row>
    <row r="724" customFormat="false" ht="15.75" hidden="false" customHeight="true" outlineLevel="0" collapsed="false">
      <c r="A724" s="550"/>
      <c r="B724" s="550"/>
      <c r="C724" s="550"/>
      <c r="D724" s="64"/>
      <c r="E724" s="64"/>
      <c r="F724" s="64"/>
      <c r="G724" s="64"/>
      <c r="H724" s="64"/>
      <c r="I724" s="64"/>
      <c r="J724" s="64"/>
      <c r="K724" s="64"/>
      <c r="L724" s="64"/>
      <c r="M724" s="64"/>
    </row>
    <row r="725" customFormat="false" ht="15.75" hidden="false" customHeight="true" outlineLevel="0" collapsed="false">
      <c r="A725" s="550"/>
      <c r="B725" s="550"/>
      <c r="C725" s="550"/>
      <c r="D725" s="64"/>
      <c r="E725" s="64"/>
      <c r="F725" s="64"/>
      <c r="G725" s="64"/>
      <c r="H725" s="64"/>
      <c r="I725" s="64"/>
      <c r="J725" s="64"/>
      <c r="K725" s="64"/>
      <c r="L725" s="64"/>
      <c r="M725" s="64"/>
    </row>
    <row r="726" customFormat="false" ht="15.75" hidden="false" customHeight="true" outlineLevel="0" collapsed="false">
      <c r="A726" s="550"/>
      <c r="B726" s="550"/>
      <c r="C726" s="550"/>
      <c r="D726" s="64"/>
      <c r="E726" s="64"/>
      <c r="F726" s="64"/>
      <c r="G726" s="64"/>
      <c r="H726" s="64"/>
      <c r="I726" s="64"/>
      <c r="J726" s="64"/>
      <c r="K726" s="64"/>
      <c r="L726" s="64"/>
      <c r="M726" s="64"/>
    </row>
    <row r="727" customFormat="false" ht="15.75" hidden="false" customHeight="true" outlineLevel="0" collapsed="false">
      <c r="A727" s="550"/>
      <c r="B727" s="550"/>
      <c r="C727" s="550"/>
      <c r="D727" s="64"/>
      <c r="E727" s="64"/>
      <c r="F727" s="64"/>
      <c r="G727" s="64"/>
      <c r="H727" s="64"/>
      <c r="I727" s="64"/>
      <c r="J727" s="64"/>
      <c r="K727" s="64"/>
      <c r="L727" s="64"/>
      <c r="M727" s="64"/>
    </row>
    <row r="728" customFormat="false" ht="15.75" hidden="false" customHeight="true" outlineLevel="0" collapsed="false">
      <c r="A728" s="550"/>
      <c r="B728" s="550"/>
      <c r="C728" s="550"/>
      <c r="D728" s="64"/>
      <c r="E728" s="64"/>
      <c r="F728" s="64"/>
      <c r="G728" s="64"/>
      <c r="H728" s="64"/>
      <c r="I728" s="64"/>
      <c r="J728" s="64"/>
      <c r="K728" s="64"/>
      <c r="L728" s="64"/>
      <c r="M728" s="64"/>
    </row>
    <row r="729" customFormat="false" ht="15.75" hidden="false" customHeight="true" outlineLevel="0" collapsed="false">
      <c r="A729" s="550"/>
      <c r="B729" s="550"/>
      <c r="C729" s="550"/>
      <c r="D729" s="64"/>
      <c r="E729" s="64"/>
      <c r="F729" s="64"/>
      <c r="G729" s="64"/>
      <c r="H729" s="64"/>
      <c r="I729" s="64"/>
      <c r="J729" s="64"/>
      <c r="K729" s="64"/>
      <c r="L729" s="64"/>
      <c r="M729" s="64"/>
    </row>
    <row r="730" customFormat="false" ht="15.75" hidden="false" customHeight="true" outlineLevel="0" collapsed="false">
      <c r="A730" s="550"/>
      <c r="B730" s="550"/>
      <c r="C730" s="550"/>
      <c r="D730" s="64"/>
      <c r="E730" s="64"/>
      <c r="F730" s="64"/>
      <c r="G730" s="64"/>
      <c r="H730" s="64"/>
      <c r="I730" s="64"/>
      <c r="J730" s="64"/>
      <c r="K730" s="64"/>
      <c r="L730" s="64"/>
      <c r="M730" s="64"/>
    </row>
    <row r="731" customFormat="false" ht="15.75" hidden="false" customHeight="true" outlineLevel="0" collapsed="false">
      <c r="A731" s="550"/>
      <c r="B731" s="550"/>
      <c r="C731" s="550"/>
      <c r="D731" s="64"/>
      <c r="E731" s="64"/>
      <c r="F731" s="64"/>
      <c r="G731" s="64"/>
      <c r="H731" s="64"/>
      <c r="I731" s="64"/>
      <c r="J731" s="64"/>
      <c r="K731" s="64"/>
      <c r="L731" s="64"/>
      <c r="M731" s="64"/>
    </row>
    <row r="732" customFormat="false" ht="15.75" hidden="false" customHeight="true" outlineLevel="0" collapsed="false">
      <c r="A732" s="550"/>
      <c r="B732" s="550"/>
      <c r="C732" s="550"/>
      <c r="D732" s="64"/>
      <c r="E732" s="64"/>
      <c r="F732" s="64"/>
      <c r="G732" s="64"/>
      <c r="H732" s="64"/>
      <c r="I732" s="64"/>
      <c r="J732" s="64"/>
      <c r="K732" s="64"/>
      <c r="L732" s="64"/>
      <c r="M732" s="64"/>
    </row>
    <row r="733" customFormat="false" ht="15.75" hidden="false" customHeight="true" outlineLevel="0" collapsed="false">
      <c r="A733" s="550"/>
      <c r="B733" s="550"/>
      <c r="C733" s="550"/>
      <c r="D733" s="64"/>
      <c r="E733" s="64"/>
      <c r="F733" s="64"/>
      <c r="G733" s="64"/>
      <c r="H733" s="64"/>
      <c r="I733" s="64"/>
      <c r="J733" s="64"/>
      <c r="K733" s="64"/>
      <c r="L733" s="64"/>
      <c r="M733" s="64"/>
    </row>
    <row r="734" customFormat="false" ht="15.75" hidden="false" customHeight="true" outlineLevel="0" collapsed="false">
      <c r="A734" s="550"/>
      <c r="B734" s="550"/>
      <c r="C734" s="550"/>
      <c r="D734" s="64"/>
      <c r="E734" s="64"/>
      <c r="F734" s="64"/>
      <c r="G734" s="64"/>
      <c r="H734" s="64"/>
      <c r="I734" s="64"/>
      <c r="J734" s="64"/>
      <c r="K734" s="64"/>
      <c r="L734" s="64"/>
      <c r="M734" s="64"/>
    </row>
    <row r="735" customFormat="false" ht="15.75" hidden="false" customHeight="true" outlineLevel="0" collapsed="false">
      <c r="A735" s="550"/>
      <c r="B735" s="550"/>
      <c r="C735" s="550"/>
      <c r="D735" s="64"/>
      <c r="E735" s="64"/>
      <c r="F735" s="64"/>
      <c r="G735" s="64"/>
      <c r="H735" s="64"/>
      <c r="I735" s="64"/>
      <c r="J735" s="64"/>
      <c r="K735" s="64"/>
      <c r="L735" s="64"/>
      <c r="M735" s="64"/>
    </row>
    <row r="736" customFormat="false" ht="15.75" hidden="false" customHeight="true" outlineLevel="0" collapsed="false">
      <c r="A736" s="550"/>
      <c r="B736" s="550"/>
      <c r="C736" s="550"/>
      <c r="D736" s="64"/>
      <c r="E736" s="64"/>
      <c r="F736" s="64"/>
      <c r="G736" s="64"/>
      <c r="H736" s="64"/>
      <c r="I736" s="64"/>
      <c r="J736" s="64"/>
      <c r="K736" s="64"/>
      <c r="L736" s="64"/>
      <c r="M736" s="64"/>
    </row>
    <row r="737" customFormat="false" ht="15.75" hidden="false" customHeight="true" outlineLevel="0" collapsed="false">
      <c r="A737" s="550"/>
      <c r="B737" s="550"/>
      <c r="C737" s="550"/>
      <c r="D737" s="64"/>
      <c r="E737" s="64"/>
      <c r="F737" s="64"/>
      <c r="G737" s="64"/>
      <c r="H737" s="64"/>
      <c r="I737" s="64"/>
      <c r="J737" s="64"/>
      <c r="K737" s="64"/>
      <c r="L737" s="64"/>
      <c r="M737" s="64"/>
    </row>
    <row r="738" customFormat="false" ht="15.75" hidden="false" customHeight="true" outlineLevel="0" collapsed="false">
      <c r="A738" s="550"/>
      <c r="B738" s="550"/>
      <c r="C738" s="550"/>
      <c r="D738" s="64"/>
      <c r="E738" s="64"/>
      <c r="F738" s="64"/>
      <c r="G738" s="64"/>
      <c r="H738" s="64"/>
      <c r="I738" s="64"/>
      <c r="J738" s="64"/>
      <c r="K738" s="64"/>
      <c r="L738" s="64"/>
      <c r="M738" s="64"/>
    </row>
    <row r="739" customFormat="false" ht="15.75" hidden="false" customHeight="true" outlineLevel="0" collapsed="false">
      <c r="A739" s="550"/>
      <c r="B739" s="550"/>
      <c r="C739" s="550"/>
      <c r="D739" s="64"/>
      <c r="E739" s="64"/>
      <c r="F739" s="64"/>
      <c r="G739" s="64"/>
      <c r="H739" s="64"/>
      <c r="I739" s="64"/>
      <c r="J739" s="64"/>
      <c r="K739" s="64"/>
      <c r="L739" s="64"/>
      <c r="M739" s="64"/>
    </row>
    <row r="740" customFormat="false" ht="15.75" hidden="false" customHeight="true" outlineLevel="0" collapsed="false">
      <c r="A740" s="550"/>
      <c r="B740" s="550"/>
      <c r="C740" s="550"/>
      <c r="D740" s="64"/>
      <c r="E740" s="64"/>
      <c r="F740" s="64"/>
      <c r="G740" s="64"/>
      <c r="H740" s="64"/>
      <c r="I740" s="64"/>
      <c r="J740" s="64"/>
      <c r="K740" s="64"/>
      <c r="L740" s="64"/>
      <c r="M740" s="64"/>
    </row>
    <row r="741" customFormat="false" ht="15.75" hidden="false" customHeight="true" outlineLevel="0" collapsed="false">
      <c r="A741" s="550"/>
      <c r="B741" s="550"/>
      <c r="C741" s="550"/>
      <c r="D741" s="64"/>
      <c r="E741" s="64"/>
      <c r="F741" s="64"/>
      <c r="G741" s="64"/>
      <c r="H741" s="64"/>
      <c r="I741" s="64"/>
      <c r="J741" s="64"/>
      <c r="K741" s="64"/>
      <c r="L741" s="64"/>
      <c r="M741" s="64"/>
    </row>
    <row r="742" customFormat="false" ht="15.75" hidden="false" customHeight="true" outlineLevel="0" collapsed="false">
      <c r="A742" s="550"/>
      <c r="B742" s="550"/>
      <c r="C742" s="550"/>
      <c r="D742" s="64"/>
      <c r="E742" s="64"/>
      <c r="F742" s="64"/>
      <c r="G742" s="64"/>
      <c r="H742" s="64"/>
      <c r="I742" s="64"/>
      <c r="J742" s="64"/>
      <c r="K742" s="64"/>
      <c r="L742" s="64"/>
      <c r="M742" s="64"/>
    </row>
    <row r="743" customFormat="false" ht="15.75" hidden="false" customHeight="true" outlineLevel="0" collapsed="false">
      <c r="A743" s="550"/>
      <c r="B743" s="550"/>
      <c r="C743" s="550"/>
      <c r="D743" s="64"/>
      <c r="E743" s="64"/>
      <c r="F743" s="64"/>
      <c r="G743" s="64"/>
      <c r="H743" s="64"/>
      <c r="I743" s="64"/>
      <c r="J743" s="64"/>
      <c r="K743" s="64"/>
      <c r="L743" s="64"/>
      <c r="M743" s="64"/>
    </row>
    <row r="744" customFormat="false" ht="15.75" hidden="false" customHeight="true" outlineLevel="0" collapsed="false">
      <c r="A744" s="550"/>
      <c r="B744" s="550"/>
      <c r="C744" s="550"/>
      <c r="D744" s="64"/>
      <c r="E744" s="64"/>
      <c r="F744" s="64"/>
      <c r="G744" s="64"/>
      <c r="H744" s="64"/>
      <c r="I744" s="64"/>
      <c r="J744" s="64"/>
      <c r="K744" s="64"/>
      <c r="L744" s="64"/>
      <c r="M744" s="64"/>
    </row>
    <row r="745" customFormat="false" ht="15.75" hidden="false" customHeight="true" outlineLevel="0" collapsed="false">
      <c r="A745" s="550"/>
      <c r="B745" s="550"/>
      <c r="C745" s="550"/>
      <c r="D745" s="64"/>
      <c r="E745" s="64"/>
      <c r="F745" s="64"/>
      <c r="G745" s="64"/>
      <c r="H745" s="64"/>
      <c r="I745" s="64"/>
      <c r="J745" s="64"/>
      <c r="K745" s="64"/>
      <c r="L745" s="64"/>
      <c r="M745" s="64"/>
    </row>
    <row r="746" customFormat="false" ht="15.75" hidden="false" customHeight="true" outlineLevel="0" collapsed="false">
      <c r="A746" s="550"/>
      <c r="B746" s="550"/>
      <c r="C746" s="550"/>
      <c r="D746" s="64"/>
      <c r="E746" s="64"/>
      <c r="F746" s="64"/>
      <c r="G746" s="64"/>
      <c r="H746" s="64"/>
      <c r="I746" s="64"/>
      <c r="J746" s="64"/>
      <c r="K746" s="64"/>
      <c r="L746" s="64"/>
      <c r="M746" s="64"/>
    </row>
    <row r="747" customFormat="false" ht="15.75" hidden="false" customHeight="true" outlineLevel="0" collapsed="false">
      <c r="A747" s="550"/>
      <c r="B747" s="550"/>
      <c r="C747" s="550"/>
      <c r="D747" s="64"/>
      <c r="E747" s="64"/>
      <c r="F747" s="64"/>
      <c r="G747" s="64"/>
      <c r="H747" s="64"/>
      <c r="I747" s="64"/>
      <c r="J747" s="64"/>
      <c r="K747" s="64"/>
      <c r="L747" s="64"/>
      <c r="M747" s="64"/>
    </row>
    <row r="748" customFormat="false" ht="15.75" hidden="false" customHeight="true" outlineLevel="0" collapsed="false">
      <c r="A748" s="550"/>
      <c r="B748" s="550"/>
      <c r="C748" s="550"/>
      <c r="D748" s="64"/>
      <c r="E748" s="64"/>
      <c r="F748" s="64"/>
      <c r="G748" s="64"/>
      <c r="H748" s="64"/>
      <c r="I748" s="64"/>
      <c r="J748" s="64"/>
      <c r="K748" s="64"/>
      <c r="L748" s="64"/>
      <c r="M748" s="64"/>
    </row>
    <row r="749" customFormat="false" ht="15.75" hidden="false" customHeight="true" outlineLevel="0" collapsed="false">
      <c r="A749" s="550"/>
      <c r="B749" s="550"/>
      <c r="C749" s="550"/>
      <c r="D749" s="64"/>
      <c r="E749" s="64"/>
      <c r="F749" s="64"/>
      <c r="G749" s="64"/>
      <c r="H749" s="64"/>
      <c r="I749" s="64"/>
      <c r="J749" s="64"/>
      <c r="K749" s="64"/>
      <c r="L749" s="64"/>
      <c r="M749" s="64"/>
    </row>
    <row r="750" customFormat="false" ht="15.75" hidden="false" customHeight="true" outlineLevel="0" collapsed="false">
      <c r="A750" s="550"/>
      <c r="B750" s="550"/>
      <c r="C750" s="550"/>
      <c r="D750" s="64"/>
      <c r="E750" s="64"/>
      <c r="F750" s="64"/>
      <c r="G750" s="64"/>
      <c r="H750" s="64"/>
      <c r="I750" s="64"/>
      <c r="J750" s="64"/>
      <c r="K750" s="64"/>
      <c r="L750" s="64"/>
      <c r="M750" s="64"/>
    </row>
    <row r="751" customFormat="false" ht="15.75" hidden="false" customHeight="true" outlineLevel="0" collapsed="false">
      <c r="A751" s="550"/>
      <c r="B751" s="550"/>
      <c r="C751" s="550"/>
      <c r="D751" s="64"/>
      <c r="E751" s="64"/>
      <c r="F751" s="64"/>
      <c r="G751" s="64"/>
      <c r="H751" s="64"/>
      <c r="I751" s="64"/>
      <c r="J751" s="64"/>
      <c r="K751" s="64"/>
      <c r="L751" s="64"/>
      <c r="M751" s="64"/>
    </row>
    <row r="752" customFormat="false" ht="15.75" hidden="false" customHeight="true" outlineLevel="0" collapsed="false">
      <c r="A752" s="550"/>
      <c r="B752" s="550"/>
      <c r="C752" s="550"/>
      <c r="D752" s="64"/>
      <c r="E752" s="64"/>
      <c r="F752" s="64"/>
      <c r="G752" s="64"/>
      <c r="H752" s="64"/>
      <c r="I752" s="64"/>
      <c r="J752" s="64"/>
      <c r="K752" s="64"/>
      <c r="L752" s="64"/>
      <c r="M752" s="64"/>
    </row>
    <row r="753" customFormat="false" ht="15.75" hidden="false" customHeight="true" outlineLevel="0" collapsed="false">
      <c r="A753" s="550"/>
      <c r="B753" s="550"/>
      <c r="C753" s="550"/>
      <c r="D753" s="64"/>
      <c r="E753" s="64"/>
      <c r="F753" s="64"/>
      <c r="G753" s="64"/>
      <c r="H753" s="64"/>
      <c r="I753" s="64"/>
      <c r="J753" s="64"/>
      <c r="K753" s="64"/>
      <c r="L753" s="64"/>
      <c r="M753" s="64"/>
    </row>
    <row r="754" customFormat="false" ht="15.75" hidden="false" customHeight="true" outlineLevel="0" collapsed="false">
      <c r="A754" s="550"/>
      <c r="B754" s="550"/>
      <c r="C754" s="550"/>
      <c r="D754" s="64"/>
      <c r="E754" s="64"/>
      <c r="F754" s="64"/>
      <c r="G754" s="64"/>
      <c r="H754" s="64"/>
      <c r="I754" s="64"/>
      <c r="J754" s="64"/>
      <c r="K754" s="64"/>
      <c r="L754" s="64"/>
      <c r="M754" s="64"/>
    </row>
    <row r="755" customFormat="false" ht="15.75" hidden="false" customHeight="true" outlineLevel="0" collapsed="false">
      <c r="A755" s="550"/>
      <c r="B755" s="550"/>
      <c r="C755" s="550"/>
      <c r="D755" s="64"/>
      <c r="E755" s="64"/>
      <c r="F755" s="64"/>
      <c r="G755" s="64"/>
      <c r="H755" s="64"/>
      <c r="I755" s="64"/>
      <c r="J755" s="64"/>
      <c r="K755" s="64"/>
      <c r="L755" s="64"/>
      <c r="M755" s="64"/>
    </row>
    <row r="756" customFormat="false" ht="15.75" hidden="false" customHeight="true" outlineLevel="0" collapsed="false">
      <c r="A756" s="550"/>
      <c r="B756" s="550"/>
      <c r="C756" s="550"/>
      <c r="D756" s="64"/>
      <c r="E756" s="64"/>
      <c r="F756" s="64"/>
      <c r="G756" s="64"/>
      <c r="H756" s="64"/>
      <c r="I756" s="64"/>
      <c r="J756" s="64"/>
      <c r="K756" s="64"/>
      <c r="L756" s="64"/>
      <c r="M756" s="64"/>
    </row>
    <row r="757" customFormat="false" ht="15.75" hidden="false" customHeight="true" outlineLevel="0" collapsed="false">
      <c r="A757" s="550"/>
      <c r="B757" s="550"/>
      <c r="C757" s="550"/>
      <c r="D757" s="64"/>
      <c r="E757" s="64"/>
      <c r="F757" s="64"/>
      <c r="G757" s="64"/>
      <c r="H757" s="64"/>
      <c r="I757" s="64"/>
      <c r="J757" s="64"/>
      <c r="K757" s="64"/>
      <c r="L757" s="64"/>
      <c r="M757" s="64"/>
    </row>
    <row r="758" customFormat="false" ht="15.75" hidden="false" customHeight="true" outlineLevel="0" collapsed="false">
      <c r="A758" s="550"/>
      <c r="B758" s="550"/>
      <c r="C758" s="550"/>
      <c r="D758" s="64"/>
      <c r="E758" s="64"/>
      <c r="F758" s="64"/>
      <c r="G758" s="64"/>
      <c r="H758" s="64"/>
      <c r="I758" s="64"/>
      <c r="J758" s="64"/>
      <c r="K758" s="64"/>
      <c r="L758" s="64"/>
      <c r="M758" s="64"/>
    </row>
    <row r="759" customFormat="false" ht="15.75" hidden="false" customHeight="true" outlineLevel="0" collapsed="false">
      <c r="A759" s="550"/>
      <c r="B759" s="550"/>
      <c r="C759" s="550"/>
      <c r="D759" s="64"/>
      <c r="E759" s="64"/>
      <c r="F759" s="64"/>
      <c r="G759" s="64"/>
      <c r="H759" s="64"/>
      <c r="I759" s="64"/>
      <c r="J759" s="64"/>
      <c r="K759" s="64"/>
      <c r="L759" s="64"/>
      <c r="M759" s="64"/>
    </row>
    <row r="760" customFormat="false" ht="15.75" hidden="false" customHeight="true" outlineLevel="0" collapsed="false">
      <c r="A760" s="550"/>
      <c r="B760" s="550"/>
      <c r="C760" s="550"/>
      <c r="D760" s="64"/>
      <c r="E760" s="64"/>
      <c r="F760" s="64"/>
      <c r="G760" s="64"/>
      <c r="H760" s="64"/>
      <c r="I760" s="64"/>
      <c r="J760" s="64"/>
      <c r="K760" s="64"/>
      <c r="L760" s="64"/>
      <c r="M760" s="64"/>
    </row>
    <row r="761" customFormat="false" ht="15.75" hidden="false" customHeight="true" outlineLevel="0" collapsed="false">
      <c r="A761" s="550"/>
      <c r="B761" s="550"/>
      <c r="C761" s="550"/>
      <c r="D761" s="64"/>
      <c r="E761" s="64"/>
      <c r="F761" s="64"/>
      <c r="G761" s="64"/>
      <c r="H761" s="64"/>
      <c r="I761" s="64"/>
      <c r="J761" s="64"/>
      <c r="K761" s="64"/>
      <c r="L761" s="64"/>
      <c r="M761" s="64"/>
    </row>
    <row r="762" customFormat="false" ht="15.75" hidden="false" customHeight="true" outlineLevel="0" collapsed="false">
      <c r="A762" s="550"/>
      <c r="B762" s="550"/>
      <c r="C762" s="550"/>
      <c r="D762" s="64"/>
      <c r="E762" s="64"/>
      <c r="F762" s="64"/>
      <c r="G762" s="64"/>
      <c r="H762" s="64"/>
      <c r="I762" s="64"/>
      <c r="J762" s="64"/>
      <c r="K762" s="64"/>
      <c r="L762" s="64"/>
      <c r="M762" s="64"/>
    </row>
    <row r="763" customFormat="false" ht="15.75" hidden="false" customHeight="true" outlineLevel="0" collapsed="false">
      <c r="A763" s="550"/>
      <c r="B763" s="550"/>
      <c r="C763" s="550"/>
      <c r="D763" s="64"/>
      <c r="E763" s="64"/>
      <c r="F763" s="64"/>
      <c r="G763" s="64"/>
      <c r="H763" s="64"/>
      <c r="I763" s="64"/>
      <c r="J763" s="64"/>
      <c r="K763" s="64"/>
      <c r="L763" s="64"/>
      <c r="M763" s="64"/>
    </row>
    <row r="764" customFormat="false" ht="15.75" hidden="false" customHeight="true" outlineLevel="0" collapsed="false">
      <c r="A764" s="550"/>
      <c r="B764" s="550"/>
      <c r="C764" s="550"/>
      <c r="D764" s="64"/>
      <c r="E764" s="64"/>
      <c r="F764" s="64"/>
      <c r="G764" s="64"/>
      <c r="H764" s="64"/>
      <c r="I764" s="64"/>
      <c r="J764" s="64"/>
      <c r="K764" s="64"/>
      <c r="L764" s="64"/>
      <c r="M764" s="64"/>
    </row>
    <row r="765" customFormat="false" ht="15.75" hidden="false" customHeight="true" outlineLevel="0" collapsed="false">
      <c r="A765" s="550"/>
      <c r="B765" s="550"/>
      <c r="C765" s="550"/>
      <c r="D765" s="64"/>
      <c r="E765" s="64"/>
      <c r="F765" s="64"/>
      <c r="G765" s="64"/>
      <c r="H765" s="64"/>
      <c r="I765" s="64"/>
      <c r="J765" s="64"/>
      <c r="K765" s="64"/>
      <c r="L765" s="64"/>
      <c r="M765" s="64"/>
    </row>
    <row r="766" customFormat="false" ht="15.75" hidden="false" customHeight="true" outlineLevel="0" collapsed="false">
      <c r="A766" s="550"/>
      <c r="B766" s="550"/>
      <c r="C766" s="550"/>
      <c r="D766" s="64"/>
      <c r="E766" s="64"/>
      <c r="F766" s="64"/>
      <c r="G766" s="64"/>
      <c r="H766" s="64"/>
      <c r="I766" s="64"/>
      <c r="J766" s="64"/>
      <c r="K766" s="64"/>
      <c r="L766" s="64"/>
      <c r="M766" s="64"/>
    </row>
    <row r="767" customFormat="false" ht="15.75" hidden="false" customHeight="true" outlineLevel="0" collapsed="false">
      <c r="A767" s="550"/>
      <c r="B767" s="550"/>
      <c r="C767" s="550"/>
      <c r="D767" s="64"/>
      <c r="E767" s="64"/>
      <c r="F767" s="64"/>
      <c r="G767" s="64"/>
      <c r="H767" s="64"/>
      <c r="I767" s="64"/>
      <c r="J767" s="64"/>
      <c r="K767" s="64"/>
      <c r="L767" s="64"/>
      <c r="M767" s="64"/>
    </row>
    <row r="768" customFormat="false" ht="15.75" hidden="false" customHeight="true" outlineLevel="0" collapsed="false">
      <c r="A768" s="550"/>
      <c r="B768" s="550"/>
      <c r="C768" s="550"/>
      <c r="D768" s="64"/>
      <c r="E768" s="64"/>
      <c r="F768" s="64"/>
      <c r="G768" s="64"/>
      <c r="H768" s="64"/>
      <c r="I768" s="64"/>
      <c r="J768" s="64"/>
      <c r="K768" s="64"/>
      <c r="L768" s="64"/>
      <c r="M768" s="64"/>
    </row>
    <row r="769" customFormat="false" ht="15.75" hidden="false" customHeight="true" outlineLevel="0" collapsed="false">
      <c r="A769" s="550"/>
      <c r="B769" s="550"/>
      <c r="C769" s="550"/>
      <c r="D769" s="64"/>
      <c r="E769" s="64"/>
      <c r="F769" s="64"/>
      <c r="G769" s="64"/>
      <c r="H769" s="64"/>
      <c r="I769" s="64"/>
      <c r="J769" s="64"/>
      <c r="K769" s="64"/>
      <c r="L769" s="64"/>
      <c r="M769" s="64"/>
    </row>
    <row r="770" customFormat="false" ht="15.75" hidden="false" customHeight="true" outlineLevel="0" collapsed="false">
      <c r="A770" s="550"/>
      <c r="B770" s="550"/>
      <c r="C770" s="550"/>
      <c r="D770" s="64"/>
      <c r="E770" s="64"/>
      <c r="F770" s="64"/>
      <c r="G770" s="64"/>
      <c r="H770" s="64"/>
      <c r="I770" s="64"/>
      <c r="J770" s="64"/>
      <c r="K770" s="64"/>
      <c r="L770" s="64"/>
      <c r="M770" s="64"/>
    </row>
    <row r="771" customFormat="false" ht="15.75" hidden="false" customHeight="true" outlineLevel="0" collapsed="false">
      <c r="A771" s="550"/>
      <c r="B771" s="550"/>
      <c r="C771" s="550"/>
      <c r="D771" s="64"/>
      <c r="E771" s="64"/>
      <c r="F771" s="64"/>
      <c r="G771" s="64"/>
      <c r="H771" s="64"/>
      <c r="I771" s="64"/>
      <c r="J771" s="64"/>
      <c r="K771" s="64"/>
      <c r="L771" s="64"/>
      <c r="M771" s="64"/>
    </row>
    <row r="772" customFormat="false" ht="15.75" hidden="false" customHeight="true" outlineLevel="0" collapsed="false">
      <c r="A772" s="550"/>
      <c r="B772" s="550"/>
      <c r="C772" s="550"/>
      <c r="D772" s="64"/>
      <c r="E772" s="64"/>
      <c r="F772" s="64"/>
      <c r="G772" s="64"/>
      <c r="H772" s="64"/>
      <c r="I772" s="64"/>
      <c r="J772" s="64"/>
      <c r="K772" s="64"/>
      <c r="L772" s="64"/>
      <c r="M772" s="64"/>
    </row>
    <row r="773" customFormat="false" ht="15.75" hidden="false" customHeight="true" outlineLevel="0" collapsed="false">
      <c r="A773" s="550"/>
      <c r="B773" s="550"/>
      <c r="C773" s="550"/>
      <c r="D773" s="64"/>
      <c r="E773" s="64"/>
      <c r="F773" s="64"/>
      <c r="G773" s="64"/>
      <c r="H773" s="64"/>
      <c r="I773" s="64"/>
      <c r="J773" s="64"/>
      <c r="K773" s="64"/>
      <c r="L773" s="64"/>
      <c r="M773" s="64"/>
    </row>
    <row r="774" customFormat="false" ht="15.75" hidden="false" customHeight="true" outlineLevel="0" collapsed="false">
      <c r="A774" s="550"/>
      <c r="B774" s="550"/>
      <c r="C774" s="550"/>
      <c r="D774" s="64"/>
      <c r="E774" s="64"/>
      <c r="F774" s="64"/>
      <c r="G774" s="64"/>
      <c r="H774" s="64"/>
      <c r="I774" s="64"/>
      <c r="J774" s="64"/>
      <c r="K774" s="64"/>
      <c r="L774" s="64"/>
      <c r="M774" s="64"/>
    </row>
    <row r="775" customFormat="false" ht="15.75" hidden="false" customHeight="true" outlineLevel="0" collapsed="false">
      <c r="A775" s="550"/>
      <c r="B775" s="550"/>
      <c r="C775" s="550"/>
      <c r="D775" s="64"/>
      <c r="E775" s="64"/>
      <c r="F775" s="64"/>
      <c r="G775" s="64"/>
      <c r="H775" s="64"/>
      <c r="I775" s="64"/>
      <c r="J775" s="64"/>
      <c r="K775" s="64"/>
      <c r="L775" s="64"/>
      <c r="M775" s="64"/>
    </row>
    <row r="776" customFormat="false" ht="15.75" hidden="false" customHeight="true" outlineLevel="0" collapsed="false">
      <c r="A776" s="550"/>
      <c r="B776" s="550"/>
      <c r="C776" s="550"/>
      <c r="D776" s="64"/>
      <c r="E776" s="64"/>
      <c r="F776" s="64"/>
      <c r="G776" s="64"/>
      <c r="H776" s="64"/>
      <c r="I776" s="64"/>
      <c r="J776" s="64"/>
      <c r="K776" s="64"/>
      <c r="L776" s="64"/>
      <c r="M776" s="64"/>
    </row>
    <row r="777" customFormat="false" ht="15.75" hidden="false" customHeight="true" outlineLevel="0" collapsed="false">
      <c r="A777" s="550"/>
      <c r="B777" s="550"/>
      <c r="C777" s="550"/>
      <c r="D777" s="64"/>
      <c r="E777" s="64"/>
      <c r="F777" s="64"/>
      <c r="G777" s="64"/>
      <c r="H777" s="64"/>
      <c r="I777" s="64"/>
      <c r="J777" s="64"/>
      <c r="K777" s="64"/>
      <c r="L777" s="64"/>
      <c r="M777" s="64"/>
    </row>
    <row r="778" customFormat="false" ht="15.75" hidden="false" customHeight="true" outlineLevel="0" collapsed="false">
      <c r="A778" s="550"/>
      <c r="B778" s="550"/>
      <c r="C778" s="550"/>
      <c r="D778" s="64"/>
      <c r="E778" s="64"/>
      <c r="F778" s="64"/>
      <c r="G778" s="64"/>
      <c r="H778" s="64"/>
      <c r="I778" s="64"/>
      <c r="J778" s="64"/>
      <c r="K778" s="64"/>
      <c r="L778" s="64"/>
      <c r="M778" s="64"/>
    </row>
    <row r="779" customFormat="false" ht="15.75" hidden="false" customHeight="true" outlineLevel="0" collapsed="false">
      <c r="A779" s="550"/>
      <c r="B779" s="550"/>
      <c r="C779" s="550"/>
      <c r="D779" s="64"/>
      <c r="E779" s="64"/>
      <c r="F779" s="64"/>
      <c r="G779" s="64"/>
      <c r="H779" s="64"/>
      <c r="I779" s="64"/>
      <c r="J779" s="64"/>
      <c r="K779" s="64"/>
      <c r="L779" s="64"/>
      <c r="M779" s="64"/>
    </row>
    <row r="780" customFormat="false" ht="15.75" hidden="false" customHeight="true" outlineLevel="0" collapsed="false">
      <c r="A780" s="550"/>
      <c r="B780" s="550"/>
      <c r="C780" s="550"/>
      <c r="D780" s="64"/>
      <c r="E780" s="64"/>
      <c r="F780" s="64"/>
      <c r="G780" s="64"/>
      <c r="H780" s="64"/>
      <c r="I780" s="64"/>
      <c r="J780" s="64"/>
      <c r="K780" s="64"/>
      <c r="L780" s="64"/>
      <c r="M780" s="64"/>
    </row>
    <row r="781" customFormat="false" ht="15.75" hidden="false" customHeight="true" outlineLevel="0" collapsed="false">
      <c r="A781" s="550"/>
      <c r="B781" s="550"/>
      <c r="C781" s="550"/>
      <c r="D781" s="64"/>
      <c r="E781" s="64"/>
      <c r="F781" s="64"/>
      <c r="G781" s="64"/>
      <c r="H781" s="64"/>
      <c r="I781" s="64"/>
      <c r="J781" s="64"/>
      <c r="K781" s="64"/>
      <c r="L781" s="64"/>
      <c r="M781" s="64"/>
    </row>
    <row r="782" customFormat="false" ht="15.75" hidden="false" customHeight="true" outlineLevel="0" collapsed="false">
      <c r="A782" s="550"/>
      <c r="B782" s="550"/>
      <c r="C782" s="550"/>
      <c r="D782" s="64"/>
      <c r="E782" s="64"/>
      <c r="F782" s="64"/>
      <c r="G782" s="64"/>
      <c r="H782" s="64"/>
      <c r="I782" s="64"/>
      <c r="J782" s="64"/>
      <c r="K782" s="64"/>
      <c r="L782" s="64"/>
      <c r="M782" s="64"/>
    </row>
    <row r="783" customFormat="false" ht="15.75" hidden="false" customHeight="true" outlineLevel="0" collapsed="false">
      <c r="A783" s="550"/>
      <c r="B783" s="550"/>
      <c r="C783" s="550"/>
      <c r="D783" s="64"/>
      <c r="E783" s="64"/>
      <c r="F783" s="64"/>
      <c r="G783" s="64"/>
      <c r="H783" s="64"/>
      <c r="I783" s="64"/>
      <c r="J783" s="64"/>
      <c r="K783" s="64"/>
      <c r="L783" s="64"/>
      <c r="M783" s="64"/>
    </row>
    <row r="784" customFormat="false" ht="15.75" hidden="false" customHeight="true" outlineLevel="0" collapsed="false">
      <c r="A784" s="550"/>
      <c r="B784" s="550"/>
      <c r="C784" s="550"/>
      <c r="D784" s="64"/>
      <c r="E784" s="64"/>
      <c r="F784" s="64"/>
      <c r="G784" s="64"/>
      <c r="H784" s="64"/>
      <c r="I784" s="64"/>
      <c r="J784" s="64"/>
      <c r="K784" s="64"/>
      <c r="L784" s="64"/>
      <c r="M784" s="64"/>
    </row>
    <row r="785" customFormat="false" ht="15.75" hidden="false" customHeight="true" outlineLevel="0" collapsed="false">
      <c r="A785" s="550"/>
      <c r="B785" s="550"/>
      <c r="C785" s="550"/>
      <c r="D785" s="64"/>
      <c r="E785" s="64"/>
      <c r="F785" s="64"/>
      <c r="G785" s="64"/>
      <c r="H785" s="64"/>
      <c r="I785" s="64"/>
      <c r="J785" s="64"/>
      <c r="K785" s="64"/>
      <c r="L785" s="64"/>
      <c r="M785" s="64"/>
    </row>
    <row r="786" customFormat="false" ht="15.75" hidden="false" customHeight="true" outlineLevel="0" collapsed="false">
      <c r="A786" s="550"/>
      <c r="B786" s="550"/>
      <c r="C786" s="550"/>
      <c r="D786" s="64"/>
      <c r="E786" s="64"/>
      <c r="F786" s="64"/>
      <c r="G786" s="64"/>
      <c r="H786" s="64"/>
      <c r="I786" s="64"/>
      <c r="J786" s="64"/>
      <c r="K786" s="64"/>
      <c r="L786" s="64"/>
      <c r="M786" s="64"/>
    </row>
    <row r="787" customFormat="false" ht="15.75" hidden="false" customHeight="true" outlineLevel="0" collapsed="false">
      <c r="A787" s="550"/>
      <c r="B787" s="550"/>
      <c r="C787" s="550"/>
      <c r="D787" s="64"/>
      <c r="E787" s="64"/>
      <c r="F787" s="64"/>
      <c r="G787" s="64"/>
      <c r="H787" s="64"/>
      <c r="I787" s="64"/>
      <c r="J787" s="64"/>
      <c r="K787" s="64"/>
      <c r="L787" s="64"/>
      <c r="M787" s="64"/>
    </row>
    <row r="788" customFormat="false" ht="15.75" hidden="false" customHeight="true" outlineLevel="0" collapsed="false">
      <c r="A788" s="550"/>
      <c r="B788" s="550"/>
      <c r="C788" s="550"/>
      <c r="D788" s="64"/>
      <c r="E788" s="64"/>
      <c r="F788" s="64"/>
      <c r="G788" s="64"/>
      <c r="H788" s="64"/>
      <c r="I788" s="64"/>
      <c r="J788" s="64"/>
      <c r="K788" s="64"/>
      <c r="L788" s="64"/>
      <c r="M788" s="64"/>
    </row>
    <row r="789" customFormat="false" ht="15.75" hidden="false" customHeight="true" outlineLevel="0" collapsed="false">
      <c r="A789" s="550"/>
      <c r="B789" s="550"/>
      <c r="C789" s="550"/>
      <c r="D789" s="64"/>
      <c r="E789" s="64"/>
      <c r="F789" s="64"/>
      <c r="G789" s="64"/>
      <c r="H789" s="64"/>
      <c r="I789" s="64"/>
      <c r="J789" s="64"/>
      <c r="K789" s="64"/>
      <c r="L789" s="64"/>
      <c r="M789" s="64"/>
    </row>
    <row r="790" customFormat="false" ht="15.75" hidden="false" customHeight="true" outlineLevel="0" collapsed="false">
      <c r="A790" s="550"/>
      <c r="B790" s="550"/>
      <c r="C790" s="550"/>
      <c r="D790" s="64"/>
      <c r="E790" s="64"/>
      <c r="F790" s="64"/>
      <c r="G790" s="64"/>
      <c r="H790" s="64"/>
      <c r="I790" s="64"/>
      <c r="J790" s="64"/>
      <c r="K790" s="64"/>
      <c r="L790" s="64"/>
      <c r="M790" s="64"/>
    </row>
    <row r="791" customFormat="false" ht="15.75" hidden="false" customHeight="true" outlineLevel="0" collapsed="false">
      <c r="A791" s="550"/>
      <c r="B791" s="550"/>
      <c r="C791" s="550"/>
      <c r="D791" s="64"/>
      <c r="E791" s="64"/>
      <c r="F791" s="64"/>
      <c r="G791" s="64"/>
      <c r="H791" s="64"/>
      <c r="I791" s="64"/>
      <c r="J791" s="64"/>
      <c r="K791" s="64"/>
      <c r="L791" s="64"/>
      <c r="M791" s="64"/>
    </row>
    <row r="792" customFormat="false" ht="15.75" hidden="false" customHeight="true" outlineLevel="0" collapsed="false">
      <c r="A792" s="550"/>
      <c r="B792" s="550"/>
      <c r="C792" s="550"/>
      <c r="D792" s="64"/>
      <c r="E792" s="64"/>
      <c r="F792" s="64"/>
      <c r="G792" s="64"/>
      <c r="H792" s="64"/>
      <c r="I792" s="64"/>
      <c r="J792" s="64"/>
      <c r="K792" s="64"/>
      <c r="L792" s="64"/>
      <c r="M792" s="64"/>
    </row>
    <row r="793" customFormat="false" ht="15.75" hidden="false" customHeight="true" outlineLevel="0" collapsed="false">
      <c r="A793" s="550"/>
      <c r="B793" s="550"/>
      <c r="C793" s="550"/>
      <c r="D793" s="64"/>
      <c r="E793" s="64"/>
      <c r="F793" s="64"/>
      <c r="G793" s="64"/>
      <c r="H793" s="64"/>
      <c r="I793" s="64"/>
      <c r="J793" s="64"/>
      <c r="K793" s="64"/>
      <c r="L793" s="64"/>
      <c r="M793" s="64"/>
    </row>
    <row r="794" customFormat="false" ht="15.75" hidden="false" customHeight="true" outlineLevel="0" collapsed="false">
      <c r="A794" s="550"/>
      <c r="B794" s="550"/>
      <c r="C794" s="550"/>
      <c r="D794" s="64"/>
      <c r="E794" s="64"/>
      <c r="F794" s="64"/>
      <c r="G794" s="64"/>
      <c r="H794" s="64"/>
      <c r="I794" s="64"/>
      <c r="J794" s="64"/>
      <c r="K794" s="64"/>
      <c r="L794" s="64"/>
      <c r="M794" s="64"/>
    </row>
    <row r="795" customFormat="false" ht="15.75" hidden="false" customHeight="true" outlineLevel="0" collapsed="false">
      <c r="A795" s="550"/>
      <c r="B795" s="550"/>
      <c r="C795" s="550"/>
      <c r="D795" s="64"/>
      <c r="E795" s="64"/>
      <c r="F795" s="64"/>
      <c r="G795" s="64"/>
      <c r="H795" s="64"/>
      <c r="I795" s="64"/>
      <c r="J795" s="64"/>
      <c r="K795" s="64"/>
      <c r="L795" s="64"/>
      <c r="M795" s="64"/>
    </row>
    <row r="796" customFormat="false" ht="15.75" hidden="false" customHeight="true" outlineLevel="0" collapsed="false">
      <c r="A796" s="550"/>
      <c r="B796" s="550"/>
      <c r="C796" s="550"/>
      <c r="D796" s="64"/>
      <c r="E796" s="64"/>
      <c r="F796" s="64"/>
      <c r="G796" s="64"/>
      <c r="H796" s="64"/>
      <c r="I796" s="64"/>
      <c r="J796" s="64"/>
      <c r="K796" s="64"/>
      <c r="L796" s="64"/>
      <c r="M796" s="64"/>
    </row>
    <row r="797" customFormat="false" ht="15.75" hidden="false" customHeight="true" outlineLevel="0" collapsed="false">
      <c r="A797" s="550"/>
      <c r="B797" s="550"/>
      <c r="C797" s="550"/>
      <c r="D797" s="64"/>
      <c r="E797" s="64"/>
      <c r="F797" s="64"/>
      <c r="G797" s="64"/>
      <c r="H797" s="64"/>
      <c r="I797" s="64"/>
      <c r="J797" s="64"/>
      <c r="K797" s="64"/>
      <c r="L797" s="64"/>
      <c r="M797" s="64"/>
    </row>
    <row r="798" customFormat="false" ht="15.75" hidden="false" customHeight="true" outlineLevel="0" collapsed="false">
      <c r="A798" s="550"/>
      <c r="B798" s="550"/>
      <c r="C798" s="550"/>
      <c r="D798" s="64"/>
      <c r="E798" s="64"/>
      <c r="F798" s="64"/>
      <c r="G798" s="64"/>
      <c r="H798" s="64"/>
      <c r="I798" s="64"/>
      <c r="J798" s="64"/>
      <c r="K798" s="64"/>
      <c r="L798" s="64"/>
      <c r="M798" s="64"/>
    </row>
    <row r="799" customFormat="false" ht="15.75" hidden="false" customHeight="true" outlineLevel="0" collapsed="false">
      <c r="A799" s="550"/>
      <c r="B799" s="550"/>
      <c r="C799" s="550"/>
      <c r="D799" s="64"/>
      <c r="E799" s="64"/>
      <c r="F799" s="64"/>
      <c r="G799" s="64"/>
      <c r="H799" s="64"/>
      <c r="I799" s="64"/>
      <c r="J799" s="64"/>
      <c r="K799" s="64"/>
      <c r="L799" s="64"/>
      <c r="M799" s="64"/>
    </row>
    <row r="800" customFormat="false" ht="15.75" hidden="false" customHeight="true" outlineLevel="0" collapsed="false">
      <c r="A800" s="550"/>
      <c r="B800" s="550"/>
      <c r="C800" s="550"/>
      <c r="D800" s="64"/>
      <c r="E800" s="64"/>
      <c r="F800" s="64"/>
      <c r="G800" s="64"/>
      <c r="H800" s="64"/>
      <c r="I800" s="64"/>
      <c r="J800" s="64"/>
      <c r="K800" s="64"/>
      <c r="L800" s="64"/>
      <c r="M800" s="64"/>
    </row>
    <row r="801" customFormat="false" ht="15.75" hidden="false" customHeight="true" outlineLevel="0" collapsed="false">
      <c r="A801" s="550"/>
      <c r="B801" s="550"/>
      <c r="C801" s="550"/>
      <c r="D801" s="64"/>
      <c r="E801" s="64"/>
      <c r="F801" s="64"/>
      <c r="G801" s="64"/>
      <c r="H801" s="64"/>
      <c r="I801" s="64"/>
      <c r="J801" s="64"/>
      <c r="K801" s="64"/>
      <c r="L801" s="64"/>
      <c r="M801" s="64"/>
    </row>
    <row r="802" customFormat="false" ht="15.75" hidden="false" customHeight="true" outlineLevel="0" collapsed="false">
      <c r="A802" s="550"/>
      <c r="B802" s="550"/>
      <c r="C802" s="550"/>
      <c r="D802" s="64"/>
      <c r="E802" s="64"/>
      <c r="F802" s="64"/>
      <c r="G802" s="64"/>
      <c r="H802" s="64"/>
      <c r="I802" s="64"/>
      <c r="J802" s="64"/>
      <c r="K802" s="64"/>
      <c r="L802" s="64"/>
      <c r="M802" s="64"/>
    </row>
    <row r="803" customFormat="false" ht="15.75" hidden="false" customHeight="true" outlineLevel="0" collapsed="false">
      <c r="A803" s="550"/>
      <c r="B803" s="550"/>
      <c r="C803" s="550"/>
      <c r="D803" s="64"/>
      <c r="E803" s="64"/>
      <c r="F803" s="64"/>
      <c r="G803" s="64"/>
      <c r="H803" s="64"/>
      <c r="I803" s="64"/>
      <c r="J803" s="64"/>
      <c r="K803" s="64"/>
      <c r="L803" s="64"/>
      <c r="M803" s="64"/>
    </row>
    <row r="804" customFormat="false" ht="15.75" hidden="false" customHeight="true" outlineLevel="0" collapsed="false">
      <c r="A804" s="550"/>
      <c r="B804" s="550"/>
      <c r="C804" s="550"/>
      <c r="D804" s="64"/>
      <c r="E804" s="64"/>
      <c r="F804" s="64"/>
      <c r="G804" s="64"/>
      <c r="H804" s="64"/>
      <c r="I804" s="64"/>
      <c r="J804" s="64"/>
      <c r="K804" s="64"/>
      <c r="L804" s="64"/>
      <c r="M804" s="64"/>
    </row>
    <row r="805" customFormat="false" ht="15.75" hidden="false" customHeight="true" outlineLevel="0" collapsed="false">
      <c r="A805" s="550"/>
      <c r="B805" s="550"/>
      <c r="C805" s="550"/>
      <c r="D805" s="64"/>
      <c r="E805" s="64"/>
      <c r="F805" s="64"/>
      <c r="G805" s="64"/>
      <c r="H805" s="64"/>
      <c r="I805" s="64"/>
      <c r="J805" s="64"/>
      <c r="K805" s="64"/>
      <c r="L805" s="64"/>
      <c r="M805" s="64"/>
    </row>
    <row r="806" customFormat="false" ht="15.75" hidden="false" customHeight="true" outlineLevel="0" collapsed="false">
      <c r="A806" s="550"/>
      <c r="B806" s="550"/>
      <c r="C806" s="550"/>
      <c r="D806" s="64"/>
      <c r="E806" s="64"/>
      <c r="F806" s="64"/>
      <c r="G806" s="64"/>
      <c r="H806" s="64"/>
      <c r="I806" s="64"/>
      <c r="J806" s="64"/>
      <c r="K806" s="64"/>
      <c r="L806" s="64"/>
      <c r="M806" s="64"/>
    </row>
    <row r="807" customFormat="false" ht="15.75" hidden="false" customHeight="true" outlineLevel="0" collapsed="false">
      <c r="A807" s="550"/>
      <c r="B807" s="550"/>
      <c r="C807" s="550"/>
      <c r="D807" s="64"/>
      <c r="E807" s="64"/>
      <c r="F807" s="64"/>
      <c r="G807" s="64"/>
      <c r="H807" s="64"/>
      <c r="I807" s="64"/>
      <c r="J807" s="64"/>
      <c r="K807" s="64"/>
      <c r="L807" s="64"/>
      <c r="M807" s="64"/>
    </row>
    <row r="808" customFormat="false" ht="15.75" hidden="false" customHeight="true" outlineLevel="0" collapsed="false">
      <c r="A808" s="550"/>
      <c r="B808" s="550"/>
      <c r="C808" s="550"/>
      <c r="D808" s="64"/>
      <c r="E808" s="64"/>
      <c r="F808" s="64"/>
      <c r="G808" s="64"/>
      <c r="H808" s="64"/>
      <c r="I808" s="64"/>
      <c r="J808" s="64"/>
      <c r="K808" s="64"/>
      <c r="L808" s="64"/>
      <c r="M808" s="64"/>
    </row>
    <row r="809" customFormat="false" ht="15.75" hidden="false" customHeight="true" outlineLevel="0" collapsed="false">
      <c r="A809" s="550"/>
      <c r="B809" s="550"/>
      <c r="C809" s="550"/>
      <c r="D809" s="64"/>
      <c r="E809" s="64"/>
      <c r="F809" s="64"/>
      <c r="G809" s="64"/>
      <c r="H809" s="64"/>
      <c r="I809" s="64"/>
      <c r="J809" s="64"/>
      <c r="K809" s="64"/>
      <c r="L809" s="64"/>
      <c r="M809" s="64"/>
    </row>
    <row r="810" customFormat="false" ht="15.75" hidden="false" customHeight="true" outlineLevel="0" collapsed="false">
      <c r="A810" s="550"/>
      <c r="B810" s="550"/>
      <c r="C810" s="550"/>
      <c r="D810" s="64"/>
      <c r="E810" s="64"/>
      <c r="F810" s="64"/>
      <c r="G810" s="64"/>
      <c r="H810" s="64"/>
      <c r="I810" s="64"/>
      <c r="J810" s="64"/>
      <c r="K810" s="64"/>
      <c r="L810" s="64"/>
      <c r="M810" s="64"/>
    </row>
    <row r="811" customFormat="false" ht="15.75" hidden="false" customHeight="true" outlineLevel="0" collapsed="false">
      <c r="A811" s="550"/>
      <c r="B811" s="550"/>
      <c r="C811" s="550"/>
      <c r="D811" s="64"/>
      <c r="E811" s="64"/>
      <c r="F811" s="64"/>
      <c r="G811" s="64"/>
      <c r="H811" s="64"/>
      <c r="I811" s="64"/>
      <c r="J811" s="64"/>
      <c r="K811" s="64"/>
      <c r="L811" s="64"/>
      <c r="M811" s="64"/>
    </row>
    <row r="812" customFormat="false" ht="15.75" hidden="false" customHeight="true" outlineLevel="0" collapsed="false">
      <c r="A812" s="550"/>
      <c r="B812" s="550"/>
      <c r="C812" s="550"/>
      <c r="D812" s="64"/>
      <c r="E812" s="64"/>
      <c r="F812" s="64"/>
      <c r="G812" s="64"/>
      <c r="H812" s="64"/>
      <c r="I812" s="64"/>
      <c r="J812" s="64"/>
      <c r="K812" s="64"/>
      <c r="L812" s="64"/>
      <c r="M812" s="64"/>
    </row>
    <row r="813" customFormat="false" ht="15.75" hidden="false" customHeight="true" outlineLevel="0" collapsed="false">
      <c r="A813" s="550"/>
      <c r="B813" s="550"/>
      <c r="C813" s="550"/>
      <c r="D813" s="64"/>
      <c r="E813" s="64"/>
      <c r="F813" s="64"/>
      <c r="G813" s="64"/>
      <c r="H813" s="64"/>
      <c r="I813" s="64"/>
      <c r="J813" s="64"/>
      <c r="K813" s="64"/>
      <c r="L813" s="64"/>
      <c r="M813" s="64"/>
    </row>
    <row r="814" customFormat="false" ht="15.75" hidden="false" customHeight="true" outlineLevel="0" collapsed="false">
      <c r="A814" s="550"/>
      <c r="B814" s="550"/>
      <c r="C814" s="550"/>
      <c r="D814" s="64"/>
      <c r="E814" s="64"/>
      <c r="F814" s="64"/>
      <c r="G814" s="64"/>
      <c r="H814" s="64"/>
      <c r="I814" s="64"/>
      <c r="J814" s="64"/>
      <c r="K814" s="64"/>
      <c r="L814" s="64"/>
      <c r="M814" s="64"/>
    </row>
    <row r="815" customFormat="false" ht="15.75" hidden="false" customHeight="true" outlineLevel="0" collapsed="false">
      <c r="A815" s="550"/>
      <c r="B815" s="550"/>
      <c r="C815" s="550"/>
      <c r="D815" s="64"/>
      <c r="E815" s="64"/>
      <c r="F815" s="64"/>
      <c r="G815" s="64"/>
      <c r="H815" s="64"/>
      <c r="I815" s="64"/>
      <c r="J815" s="64"/>
      <c r="K815" s="64"/>
      <c r="L815" s="64"/>
      <c r="M815" s="64"/>
    </row>
    <row r="816" customFormat="false" ht="15.75" hidden="false" customHeight="true" outlineLevel="0" collapsed="false">
      <c r="A816" s="550"/>
      <c r="B816" s="550"/>
      <c r="C816" s="550"/>
      <c r="D816" s="64"/>
      <c r="E816" s="64"/>
      <c r="F816" s="64"/>
      <c r="G816" s="64"/>
      <c r="H816" s="64"/>
      <c r="I816" s="64"/>
      <c r="J816" s="64"/>
      <c r="K816" s="64"/>
      <c r="L816" s="64"/>
      <c r="M816" s="64"/>
    </row>
    <row r="817" customFormat="false" ht="15.75" hidden="false" customHeight="true" outlineLevel="0" collapsed="false">
      <c r="A817" s="550"/>
      <c r="B817" s="550"/>
      <c r="C817" s="550"/>
      <c r="D817" s="64"/>
      <c r="E817" s="64"/>
      <c r="F817" s="64"/>
      <c r="G817" s="64"/>
      <c r="H817" s="64"/>
      <c r="I817" s="64"/>
      <c r="J817" s="64"/>
      <c r="K817" s="64"/>
      <c r="L817" s="64"/>
      <c r="M817" s="64"/>
    </row>
    <row r="818" customFormat="false" ht="15.75" hidden="false" customHeight="true" outlineLevel="0" collapsed="false">
      <c r="A818" s="550"/>
      <c r="B818" s="550"/>
      <c r="C818" s="550"/>
      <c r="D818" s="64"/>
      <c r="E818" s="64"/>
      <c r="F818" s="64"/>
      <c r="G818" s="64"/>
      <c r="H818" s="64"/>
      <c r="I818" s="64"/>
      <c r="J818" s="64"/>
      <c r="K818" s="64"/>
      <c r="L818" s="64"/>
      <c r="M818" s="64"/>
    </row>
    <row r="819" customFormat="false" ht="15.75" hidden="false" customHeight="true" outlineLevel="0" collapsed="false">
      <c r="A819" s="550"/>
      <c r="B819" s="550"/>
      <c r="C819" s="550"/>
      <c r="D819" s="64"/>
      <c r="E819" s="64"/>
      <c r="F819" s="64"/>
      <c r="G819" s="64"/>
      <c r="H819" s="64"/>
      <c r="I819" s="64"/>
      <c r="J819" s="64"/>
      <c r="K819" s="64"/>
      <c r="L819" s="64"/>
      <c r="M819" s="64"/>
    </row>
    <row r="820" customFormat="false" ht="15.75" hidden="false" customHeight="true" outlineLevel="0" collapsed="false">
      <c r="A820" s="550"/>
      <c r="B820" s="550"/>
      <c r="C820" s="550"/>
      <c r="D820" s="64"/>
      <c r="E820" s="64"/>
      <c r="F820" s="64"/>
      <c r="G820" s="64"/>
      <c r="H820" s="64"/>
      <c r="I820" s="64"/>
      <c r="J820" s="64"/>
      <c r="K820" s="64"/>
      <c r="L820" s="64"/>
      <c r="M820" s="64"/>
    </row>
    <row r="821" customFormat="false" ht="15.75" hidden="false" customHeight="true" outlineLevel="0" collapsed="false">
      <c r="A821" s="550"/>
      <c r="B821" s="550"/>
      <c r="C821" s="550"/>
      <c r="D821" s="64"/>
      <c r="E821" s="64"/>
      <c r="F821" s="64"/>
      <c r="G821" s="64"/>
      <c r="H821" s="64"/>
      <c r="I821" s="64"/>
      <c r="J821" s="64"/>
      <c r="K821" s="64"/>
      <c r="L821" s="64"/>
      <c r="M821" s="64"/>
    </row>
    <row r="822" customFormat="false" ht="15.75" hidden="false" customHeight="true" outlineLevel="0" collapsed="false">
      <c r="A822" s="550"/>
      <c r="B822" s="550"/>
      <c r="C822" s="550"/>
      <c r="D822" s="64"/>
      <c r="E822" s="64"/>
      <c r="F822" s="64"/>
      <c r="G822" s="64"/>
      <c r="H822" s="64"/>
      <c r="I822" s="64"/>
      <c r="J822" s="64"/>
      <c r="K822" s="64"/>
      <c r="L822" s="64"/>
      <c r="M822" s="64"/>
    </row>
    <row r="823" customFormat="false" ht="15.75" hidden="false" customHeight="true" outlineLevel="0" collapsed="false">
      <c r="A823" s="550"/>
      <c r="B823" s="550"/>
      <c r="C823" s="550"/>
      <c r="D823" s="64"/>
      <c r="E823" s="64"/>
      <c r="F823" s="64"/>
      <c r="G823" s="64"/>
      <c r="H823" s="64"/>
      <c r="I823" s="64"/>
      <c r="J823" s="64"/>
      <c r="K823" s="64"/>
      <c r="L823" s="64"/>
      <c r="M823" s="64"/>
    </row>
    <row r="824" customFormat="false" ht="15.75" hidden="false" customHeight="true" outlineLevel="0" collapsed="false">
      <c r="A824" s="550"/>
      <c r="B824" s="550"/>
      <c r="C824" s="550"/>
      <c r="D824" s="64"/>
      <c r="E824" s="64"/>
      <c r="F824" s="64"/>
      <c r="G824" s="64"/>
      <c r="H824" s="64"/>
      <c r="I824" s="64"/>
      <c r="J824" s="64"/>
      <c r="K824" s="64"/>
      <c r="L824" s="64"/>
      <c r="M824" s="64"/>
    </row>
    <row r="825" customFormat="false" ht="15.75" hidden="false" customHeight="true" outlineLevel="0" collapsed="false">
      <c r="A825" s="550"/>
      <c r="B825" s="550"/>
      <c r="C825" s="550"/>
      <c r="D825" s="64"/>
      <c r="E825" s="64"/>
      <c r="F825" s="64"/>
      <c r="G825" s="64"/>
      <c r="H825" s="64"/>
      <c r="I825" s="64"/>
      <c r="J825" s="64"/>
      <c r="K825" s="64"/>
      <c r="L825" s="64"/>
      <c r="M825" s="64"/>
    </row>
    <row r="826" customFormat="false" ht="15.75" hidden="false" customHeight="true" outlineLevel="0" collapsed="false">
      <c r="A826" s="550"/>
      <c r="B826" s="550"/>
      <c r="C826" s="550"/>
      <c r="D826" s="64"/>
      <c r="E826" s="64"/>
      <c r="F826" s="64"/>
      <c r="G826" s="64"/>
      <c r="H826" s="64"/>
      <c r="I826" s="64"/>
      <c r="J826" s="64"/>
      <c r="K826" s="64"/>
      <c r="L826" s="64"/>
      <c r="M826" s="64"/>
    </row>
    <row r="827" customFormat="false" ht="15.75" hidden="false" customHeight="true" outlineLevel="0" collapsed="false">
      <c r="A827" s="550"/>
      <c r="B827" s="550"/>
      <c r="C827" s="550"/>
      <c r="D827" s="64"/>
      <c r="E827" s="64"/>
      <c r="F827" s="64"/>
      <c r="G827" s="64"/>
      <c r="H827" s="64"/>
      <c r="I827" s="64"/>
      <c r="J827" s="64"/>
      <c r="K827" s="64"/>
      <c r="L827" s="64"/>
      <c r="M827" s="64"/>
    </row>
    <row r="828" customFormat="false" ht="15.75" hidden="false" customHeight="true" outlineLevel="0" collapsed="false">
      <c r="A828" s="550"/>
      <c r="B828" s="550"/>
      <c r="C828" s="550"/>
      <c r="D828" s="64"/>
      <c r="E828" s="64"/>
      <c r="F828" s="64"/>
      <c r="G828" s="64"/>
      <c r="H828" s="64"/>
      <c r="I828" s="64"/>
      <c r="J828" s="64"/>
      <c r="K828" s="64"/>
      <c r="L828" s="64"/>
      <c r="M828" s="64"/>
    </row>
    <row r="829" customFormat="false" ht="15.75" hidden="false" customHeight="true" outlineLevel="0" collapsed="false">
      <c r="A829" s="550"/>
      <c r="B829" s="550"/>
      <c r="C829" s="550"/>
      <c r="D829" s="64"/>
      <c r="E829" s="64"/>
      <c r="F829" s="64"/>
      <c r="G829" s="64"/>
      <c r="H829" s="64"/>
      <c r="I829" s="64"/>
      <c r="J829" s="64"/>
      <c r="K829" s="64"/>
      <c r="L829" s="64"/>
      <c r="M829" s="64"/>
    </row>
    <row r="830" customFormat="false" ht="15.75" hidden="false" customHeight="true" outlineLevel="0" collapsed="false">
      <c r="A830" s="550"/>
      <c r="B830" s="550"/>
      <c r="C830" s="550"/>
      <c r="D830" s="64"/>
      <c r="E830" s="64"/>
      <c r="F830" s="64"/>
      <c r="G830" s="64"/>
      <c r="H830" s="64"/>
      <c r="I830" s="64"/>
      <c r="J830" s="64"/>
      <c r="K830" s="64"/>
      <c r="L830" s="64"/>
      <c r="M830" s="64"/>
    </row>
    <row r="831" customFormat="false" ht="15.75" hidden="false" customHeight="true" outlineLevel="0" collapsed="false">
      <c r="A831" s="550"/>
      <c r="B831" s="550"/>
      <c r="C831" s="550"/>
      <c r="D831" s="64"/>
      <c r="E831" s="64"/>
      <c r="F831" s="64"/>
      <c r="G831" s="64"/>
      <c r="H831" s="64"/>
      <c r="I831" s="64"/>
      <c r="J831" s="64"/>
      <c r="K831" s="64"/>
      <c r="L831" s="64"/>
      <c r="M831" s="64"/>
    </row>
    <row r="832" customFormat="false" ht="15.75" hidden="false" customHeight="true" outlineLevel="0" collapsed="false">
      <c r="A832" s="550"/>
      <c r="B832" s="550"/>
      <c r="C832" s="550"/>
      <c r="D832" s="64"/>
      <c r="E832" s="64"/>
      <c r="F832" s="64"/>
      <c r="G832" s="64"/>
      <c r="H832" s="64"/>
      <c r="I832" s="64"/>
      <c r="J832" s="64"/>
      <c r="K832" s="64"/>
      <c r="L832" s="64"/>
      <c r="M832" s="64"/>
    </row>
    <row r="833" customFormat="false" ht="15.75" hidden="false" customHeight="true" outlineLevel="0" collapsed="false">
      <c r="A833" s="550"/>
      <c r="B833" s="550"/>
      <c r="C833" s="550"/>
      <c r="D833" s="64"/>
      <c r="E833" s="64"/>
      <c r="F833" s="64"/>
      <c r="G833" s="64"/>
      <c r="H833" s="64"/>
      <c r="I833" s="64"/>
      <c r="J833" s="64"/>
      <c r="K833" s="64"/>
      <c r="L833" s="64"/>
      <c r="M833" s="64"/>
    </row>
    <row r="834" customFormat="false" ht="15.75" hidden="false" customHeight="true" outlineLevel="0" collapsed="false">
      <c r="A834" s="550"/>
      <c r="B834" s="550"/>
      <c r="C834" s="550"/>
      <c r="D834" s="64"/>
      <c r="E834" s="64"/>
      <c r="F834" s="64"/>
      <c r="G834" s="64"/>
      <c r="H834" s="64"/>
      <c r="I834" s="64"/>
      <c r="J834" s="64"/>
      <c r="K834" s="64"/>
      <c r="L834" s="64"/>
      <c r="M834" s="64"/>
    </row>
    <row r="835" customFormat="false" ht="15.75" hidden="false" customHeight="true" outlineLevel="0" collapsed="false">
      <c r="A835" s="550"/>
      <c r="B835" s="550"/>
      <c r="C835" s="550"/>
      <c r="D835" s="64"/>
      <c r="E835" s="64"/>
      <c r="F835" s="64"/>
      <c r="G835" s="64"/>
      <c r="H835" s="64"/>
      <c r="I835" s="64"/>
      <c r="J835" s="64"/>
      <c r="K835" s="64"/>
      <c r="L835" s="64"/>
      <c r="M835" s="64"/>
    </row>
    <row r="836" customFormat="false" ht="15.75" hidden="false" customHeight="true" outlineLevel="0" collapsed="false">
      <c r="A836" s="550"/>
      <c r="B836" s="550"/>
      <c r="C836" s="550"/>
      <c r="D836" s="64"/>
      <c r="E836" s="64"/>
      <c r="F836" s="64"/>
      <c r="G836" s="64"/>
      <c r="H836" s="64"/>
      <c r="I836" s="64"/>
      <c r="J836" s="64"/>
      <c r="K836" s="64"/>
      <c r="L836" s="64"/>
      <c r="M836" s="64"/>
    </row>
    <row r="837" customFormat="false" ht="15.75" hidden="false" customHeight="true" outlineLevel="0" collapsed="false">
      <c r="A837" s="550"/>
      <c r="B837" s="550"/>
      <c r="C837" s="550"/>
      <c r="D837" s="64"/>
      <c r="E837" s="64"/>
      <c r="F837" s="64"/>
      <c r="G837" s="64"/>
      <c r="H837" s="64"/>
      <c r="I837" s="64"/>
      <c r="J837" s="64"/>
      <c r="K837" s="64"/>
      <c r="L837" s="64"/>
      <c r="M837" s="64"/>
    </row>
    <row r="838" customFormat="false" ht="15.75" hidden="false" customHeight="true" outlineLevel="0" collapsed="false">
      <c r="A838" s="550"/>
      <c r="B838" s="550"/>
      <c r="C838" s="550"/>
      <c r="D838" s="64"/>
      <c r="E838" s="64"/>
      <c r="F838" s="64"/>
      <c r="G838" s="64"/>
      <c r="H838" s="64"/>
      <c r="I838" s="64"/>
      <c r="J838" s="64"/>
      <c r="K838" s="64"/>
      <c r="L838" s="64"/>
      <c r="M838" s="64"/>
    </row>
    <row r="839" customFormat="false" ht="15.75" hidden="false" customHeight="true" outlineLevel="0" collapsed="false">
      <c r="A839" s="550"/>
      <c r="B839" s="550"/>
      <c r="C839" s="550"/>
      <c r="D839" s="64"/>
      <c r="E839" s="64"/>
      <c r="F839" s="64"/>
      <c r="G839" s="64"/>
      <c r="H839" s="64"/>
      <c r="I839" s="64"/>
      <c r="J839" s="64"/>
      <c r="K839" s="64"/>
      <c r="L839" s="64"/>
      <c r="M839" s="64"/>
    </row>
    <row r="840" customFormat="false" ht="15.75" hidden="false" customHeight="true" outlineLevel="0" collapsed="false">
      <c r="A840" s="550"/>
      <c r="B840" s="550"/>
      <c r="C840" s="550"/>
      <c r="D840" s="64"/>
      <c r="E840" s="64"/>
      <c r="F840" s="64"/>
      <c r="G840" s="64"/>
      <c r="H840" s="64"/>
      <c r="I840" s="64"/>
      <c r="J840" s="64"/>
      <c r="K840" s="64"/>
      <c r="L840" s="64"/>
      <c r="M840" s="64"/>
    </row>
    <row r="841" customFormat="false" ht="15.75" hidden="false" customHeight="true" outlineLevel="0" collapsed="false">
      <c r="A841" s="550"/>
      <c r="B841" s="550"/>
      <c r="C841" s="550"/>
      <c r="D841" s="64"/>
      <c r="E841" s="64"/>
      <c r="F841" s="64"/>
      <c r="G841" s="64"/>
      <c r="H841" s="64"/>
      <c r="I841" s="64"/>
      <c r="J841" s="64"/>
      <c r="K841" s="64"/>
      <c r="L841" s="64"/>
      <c r="M841" s="64"/>
    </row>
    <row r="842" customFormat="false" ht="15.75" hidden="false" customHeight="true" outlineLevel="0" collapsed="false">
      <c r="A842" s="550"/>
      <c r="B842" s="550"/>
      <c r="C842" s="550"/>
      <c r="D842" s="64"/>
      <c r="E842" s="64"/>
      <c r="F842" s="64"/>
      <c r="G842" s="64"/>
      <c r="H842" s="64"/>
      <c r="I842" s="64"/>
      <c r="J842" s="64"/>
      <c r="K842" s="64"/>
      <c r="L842" s="64"/>
      <c r="M842" s="64"/>
    </row>
    <row r="843" customFormat="false" ht="15.75" hidden="false" customHeight="true" outlineLevel="0" collapsed="false">
      <c r="A843" s="550"/>
      <c r="B843" s="550"/>
      <c r="C843" s="550"/>
      <c r="D843" s="64"/>
      <c r="E843" s="64"/>
      <c r="F843" s="64"/>
      <c r="G843" s="64"/>
      <c r="H843" s="64"/>
      <c r="I843" s="64"/>
      <c r="J843" s="64"/>
      <c r="K843" s="64"/>
      <c r="L843" s="64"/>
      <c r="M843" s="64"/>
    </row>
    <row r="844" customFormat="false" ht="15.75" hidden="false" customHeight="true" outlineLevel="0" collapsed="false">
      <c r="A844" s="550"/>
      <c r="B844" s="550"/>
      <c r="C844" s="550"/>
      <c r="D844" s="64"/>
      <c r="E844" s="64"/>
      <c r="F844" s="64"/>
      <c r="G844" s="64"/>
      <c r="H844" s="64"/>
      <c r="I844" s="64"/>
      <c r="J844" s="64"/>
      <c r="K844" s="64"/>
      <c r="L844" s="64"/>
      <c r="M844" s="64"/>
    </row>
    <row r="845" customFormat="false" ht="15.75" hidden="false" customHeight="true" outlineLevel="0" collapsed="false">
      <c r="A845" s="550"/>
      <c r="B845" s="550"/>
      <c r="C845" s="550"/>
      <c r="D845" s="64"/>
      <c r="E845" s="64"/>
      <c r="F845" s="64"/>
      <c r="G845" s="64"/>
      <c r="H845" s="64"/>
      <c r="I845" s="64"/>
      <c r="J845" s="64"/>
      <c r="K845" s="64"/>
      <c r="L845" s="64"/>
      <c r="M845" s="64"/>
    </row>
    <row r="846" customFormat="false" ht="15.75" hidden="false" customHeight="true" outlineLevel="0" collapsed="false">
      <c r="A846" s="550"/>
      <c r="B846" s="550"/>
      <c r="C846" s="550"/>
      <c r="D846" s="64"/>
      <c r="E846" s="64"/>
      <c r="F846" s="64"/>
      <c r="G846" s="64"/>
      <c r="H846" s="64"/>
      <c r="I846" s="64"/>
      <c r="J846" s="64"/>
      <c r="K846" s="64"/>
      <c r="L846" s="64"/>
      <c r="M846" s="64"/>
    </row>
    <row r="847" customFormat="false" ht="15.75" hidden="false" customHeight="true" outlineLevel="0" collapsed="false">
      <c r="A847" s="550"/>
      <c r="B847" s="550"/>
      <c r="C847" s="550"/>
      <c r="D847" s="64"/>
      <c r="E847" s="64"/>
      <c r="F847" s="64"/>
      <c r="G847" s="64"/>
      <c r="H847" s="64"/>
      <c r="I847" s="64"/>
      <c r="J847" s="64"/>
      <c r="K847" s="64"/>
      <c r="L847" s="64"/>
      <c r="M847" s="64"/>
    </row>
    <row r="848" customFormat="false" ht="15.75" hidden="false" customHeight="true" outlineLevel="0" collapsed="false">
      <c r="A848" s="550"/>
      <c r="B848" s="550"/>
      <c r="C848" s="550"/>
      <c r="D848" s="64"/>
      <c r="E848" s="64"/>
      <c r="F848" s="64"/>
      <c r="G848" s="64"/>
      <c r="H848" s="64"/>
      <c r="I848" s="64"/>
      <c r="J848" s="64"/>
      <c r="K848" s="64"/>
      <c r="L848" s="64"/>
      <c r="M848" s="64"/>
    </row>
    <row r="849" customFormat="false" ht="15.75" hidden="false" customHeight="true" outlineLevel="0" collapsed="false">
      <c r="A849" s="550"/>
      <c r="B849" s="550"/>
      <c r="C849" s="550"/>
      <c r="D849" s="64"/>
      <c r="E849" s="64"/>
      <c r="F849" s="64"/>
      <c r="G849" s="64"/>
      <c r="H849" s="64"/>
      <c r="I849" s="64"/>
      <c r="J849" s="64"/>
      <c r="K849" s="64"/>
      <c r="L849" s="64"/>
      <c r="M849" s="64"/>
    </row>
    <row r="850" customFormat="false" ht="15.75" hidden="false" customHeight="true" outlineLevel="0" collapsed="false">
      <c r="A850" s="550"/>
      <c r="B850" s="550"/>
      <c r="C850" s="550"/>
      <c r="D850" s="64"/>
      <c r="E850" s="64"/>
      <c r="F850" s="64"/>
      <c r="G850" s="64"/>
      <c r="H850" s="64"/>
      <c r="I850" s="64"/>
      <c r="J850" s="64"/>
      <c r="K850" s="64"/>
      <c r="L850" s="64"/>
      <c r="M850" s="64"/>
    </row>
    <row r="851" customFormat="false" ht="15.75" hidden="false" customHeight="true" outlineLevel="0" collapsed="false">
      <c r="A851" s="550"/>
      <c r="B851" s="550"/>
      <c r="C851" s="550"/>
      <c r="D851" s="64"/>
      <c r="E851" s="64"/>
      <c r="F851" s="64"/>
      <c r="G851" s="64"/>
      <c r="H851" s="64"/>
      <c r="I851" s="64"/>
      <c r="J851" s="64"/>
      <c r="K851" s="64"/>
      <c r="L851" s="64"/>
      <c r="M851" s="64"/>
    </row>
    <row r="852" customFormat="false" ht="15.75" hidden="false" customHeight="true" outlineLevel="0" collapsed="false">
      <c r="A852" s="550"/>
      <c r="B852" s="550"/>
      <c r="C852" s="550"/>
      <c r="D852" s="64"/>
      <c r="E852" s="64"/>
      <c r="F852" s="64"/>
      <c r="G852" s="64"/>
      <c r="H852" s="64"/>
      <c r="I852" s="64"/>
      <c r="J852" s="64"/>
      <c r="K852" s="64"/>
      <c r="L852" s="64"/>
      <c r="M852" s="64"/>
    </row>
    <row r="853" customFormat="false" ht="15.75" hidden="false" customHeight="true" outlineLevel="0" collapsed="false">
      <c r="A853" s="550"/>
      <c r="B853" s="550"/>
      <c r="C853" s="550"/>
      <c r="D853" s="64"/>
      <c r="E853" s="64"/>
      <c r="F853" s="64"/>
      <c r="G853" s="64"/>
      <c r="H853" s="64"/>
      <c r="I853" s="64"/>
      <c r="J853" s="64"/>
      <c r="K853" s="64"/>
      <c r="L853" s="64"/>
      <c r="M853" s="64"/>
    </row>
    <row r="854" customFormat="false" ht="15.75" hidden="false" customHeight="true" outlineLevel="0" collapsed="false">
      <c r="A854" s="550"/>
      <c r="B854" s="550"/>
      <c r="C854" s="550"/>
      <c r="D854" s="64"/>
      <c r="E854" s="64"/>
      <c r="F854" s="64"/>
      <c r="G854" s="64"/>
      <c r="H854" s="64"/>
      <c r="I854" s="64"/>
      <c r="J854" s="64"/>
      <c r="K854" s="64"/>
      <c r="L854" s="64"/>
      <c r="M854" s="64"/>
    </row>
    <row r="855" customFormat="false" ht="15.75" hidden="false" customHeight="true" outlineLevel="0" collapsed="false">
      <c r="A855" s="550"/>
      <c r="B855" s="550"/>
      <c r="C855" s="550"/>
      <c r="D855" s="64"/>
      <c r="E855" s="64"/>
      <c r="F855" s="64"/>
      <c r="G855" s="64"/>
      <c r="H855" s="64"/>
      <c r="I855" s="64"/>
      <c r="J855" s="64"/>
      <c r="K855" s="64"/>
      <c r="L855" s="64"/>
      <c r="M855" s="64"/>
    </row>
    <row r="856" customFormat="false" ht="15.75" hidden="false" customHeight="true" outlineLevel="0" collapsed="false">
      <c r="A856" s="550"/>
      <c r="B856" s="550"/>
      <c r="C856" s="550"/>
      <c r="D856" s="64"/>
      <c r="E856" s="64"/>
      <c r="F856" s="64"/>
      <c r="G856" s="64"/>
      <c r="H856" s="64"/>
      <c r="I856" s="64"/>
      <c r="J856" s="64"/>
      <c r="K856" s="64"/>
      <c r="L856" s="64"/>
      <c r="M856" s="64"/>
    </row>
    <row r="857" customFormat="false" ht="15.75" hidden="false" customHeight="true" outlineLevel="0" collapsed="false">
      <c r="A857" s="550"/>
      <c r="B857" s="550"/>
      <c r="C857" s="550"/>
      <c r="D857" s="64"/>
      <c r="E857" s="64"/>
      <c r="F857" s="64"/>
      <c r="G857" s="64"/>
      <c r="H857" s="64"/>
      <c r="I857" s="64"/>
      <c r="J857" s="64"/>
      <c r="K857" s="64"/>
      <c r="L857" s="64"/>
      <c r="M857" s="64"/>
    </row>
    <row r="858" customFormat="false" ht="15.75" hidden="false" customHeight="true" outlineLevel="0" collapsed="false">
      <c r="A858" s="550"/>
      <c r="B858" s="550"/>
      <c r="C858" s="550"/>
      <c r="D858" s="64"/>
      <c r="E858" s="64"/>
      <c r="F858" s="64"/>
      <c r="G858" s="64"/>
      <c r="H858" s="64"/>
      <c r="I858" s="64"/>
      <c r="J858" s="64"/>
      <c r="K858" s="64"/>
      <c r="L858" s="64"/>
      <c r="M858" s="64"/>
    </row>
    <row r="859" customFormat="false" ht="15.75" hidden="false" customHeight="true" outlineLevel="0" collapsed="false">
      <c r="A859" s="550"/>
      <c r="B859" s="550"/>
      <c r="C859" s="550"/>
      <c r="D859" s="64"/>
      <c r="E859" s="64"/>
      <c r="F859" s="64"/>
      <c r="G859" s="64"/>
      <c r="H859" s="64"/>
      <c r="I859" s="64"/>
      <c r="J859" s="64"/>
      <c r="K859" s="64"/>
      <c r="L859" s="64"/>
      <c r="M859" s="64"/>
    </row>
    <row r="860" customFormat="false" ht="15.75" hidden="false" customHeight="true" outlineLevel="0" collapsed="false">
      <c r="A860" s="550"/>
      <c r="B860" s="550"/>
      <c r="C860" s="550"/>
      <c r="D860" s="64"/>
      <c r="E860" s="64"/>
      <c r="F860" s="64"/>
      <c r="G860" s="64"/>
      <c r="H860" s="64"/>
      <c r="I860" s="64"/>
      <c r="J860" s="64"/>
      <c r="K860" s="64"/>
      <c r="L860" s="64"/>
      <c r="M860" s="64"/>
    </row>
    <row r="861" customFormat="false" ht="15.75" hidden="false" customHeight="true" outlineLevel="0" collapsed="false">
      <c r="A861" s="550"/>
      <c r="B861" s="550"/>
      <c r="C861" s="550"/>
      <c r="D861" s="64"/>
      <c r="E861" s="64"/>
      <c r="F861" s="64"/>
      <c r="G861" s="64"/>
      <c r="H861" s="64"/>
      <c r="I861" s="64"/>
      <c r="J861" s="64"/>
      <c r="K861" s="64"/>
      <c r="L861" s="64"/>
      <c r="M861" s="64"/>
    </row>
    <row r="862" customFormat="false" ht="15.75" hidden="false" customHeight="true" outlineLevel="0" collapsed="false">
      <c r="A862" s="550"/>
      <c r="B862" s="550"/>
      <c r="C862" s="550"/>
      <c r="D862" s="64"/>
      <c r="E862" s="64"/>
      <c r="F862" s="64"/>
      <c r="G862" s="64"/>
      <c r="H862" s="64"/>
      <c r="I862" s="64"/>
      <c r="J862" s="64"/>
      <c r="K862" s="64"/>
      <c r="L862" s="64"/>
      <c r="M862" s="64"/>
    </row>
    <row r="863" customFormat="false" ht="15.75" hidden="false" customHeight="true" outlineLevel="0" collapsed="false">
      <c r="A863" s="550"/>
      <c r="B863" s="550"/>
      <c r="C863" s="550"/>
      <c r="D863" s="64"/>
      <c r="E863" s="64"/>
      <c r="F863" s="64"/>
      <c r="G863" s="64"/>
      <c r="H863" s="64"/>
      <c r="I863" s="64"/>
      <c r="J863" s="64"/>
      <c r="K863" s="64"/>
      <c r="L863" s="64"/>
      <c r="M863" s="64"/>
    </row>
    <row r="864" customFormat="false" ht="15.75" hidden="false" customHeight="true" outlineLevel="0" collapsed="false">
      <c r="A864" s="550"/>
      <c r="B864" s="550"/>
      <c r="C864" s="550"/>
      <c r="D864" s="64"/>
      <c r="E864" s="64"/>
      <c r="F864" s="64"/>
      <c r="G864" s="64"/>
      <c r="H864" s="64"/>
      <c r="I864" s="64"/>
      <c r="J864" s="64"/>
      <c r="K864" s="64"/>
      <c r="L864" s="64"/>
      <c r="M864" s="64"/>
    </row>
    <row r="865" customFormat="false" ht="15.75" hidden="false" customHeight="true" outlineLevel="0" collapsed="false">
      <c r="A865" s="550"/>
      <c r="B865" s="550"/>
      <c r="C865" s="550"/>
      <c r="D865" s="64"/>
      <c r="E865" s="64"/>
      <c r="F865" s="64"/>
      <c r="G865" s="64"/>
      <c r="H865" s="64"/>
      <c r="I865" s="64"/>
      <c r="J865" s="64"/>
      <c r="K865" s="64"/>
      <c r="L865" s="64"/>
      <c r="M865" s="64"/>
    </row>
    <row r="866" customFormat="false" ht="15.75" hidden="false" customHeight="true" outlineLevel="0" collapsed="false">
      <c r="A866" s="550"/>
      <c r="B866" s="550"/>
      <c r="C866" s="550"/>
      <c r="D866" s="64"/>
      <c r="E866" s="64"/>
      <c r="F866" s="64"/>
      <c r="G866" s="64"/>
      <c r="H866" s="64"/>
      <c r="I866" s="64"/>
      <c r="J866" s="64"/>
      <c r="K866" s="64"/>
      <c r="L866" s="64"/>
      <c r="M866" s="64"/>
    </row>
    <row r="867" customFormat="false" ht="15.75" hidden="false" customHeight="true" outlineLevel="0" collapsed="false">
      <c r="A867" s="550"/>
      <c r="B867" s="550"/>
      <c r="C867" s="550"/>
      <c r="D867" s="64"/>
      <c r="E867" s="64"/>
      <c r="F867" s="64"/>
      <c r="G867" s="64"/>
      <c r="H867" s="64"/>
      <c r="I867" s="64"/>
      <c r="J867" s="64"/>
      <c r="K867" s="64"/>
      <c r="L867" s="64"/>
      <c r="M867" s="64"/>
    </row>
    <row r="868" customFormat="false" ht="15.75" hidden="false" customHeight="true" outlineLevel="0" collapsed="false">
      <c r="A868" s="550"/>
      <c r="B868" s="550"/>
      <c r="C868" s="550"/>
      <c r="D868" s="64"/>
      <c r="E868" s="64"/>
      <c r="F868" s="64"/>
      <c r="G868" s="64"/>
      <c r="H868" s="64"/>
      <c r="I868" s="64"/>
      <c r="J868" s="64"/>
      <c r="K868" s="64"/>
      <c r="L868" s="64"/>
      <c r="M868" s="64"/>
    </row>
    <row r="869" customFormat="false" ht="15.75" hidden="false" customHeight="true" outlineLevel="0" collapsed="false">
      <c r="A869" s="550"/>
      <c r="B869" s="550"/>
      <c r="C869" s="550"/>
      <c r="D869" s="64"/>
      <c r="E869" s="64"/>
      <c r="F869" s="64"/>
      <c r="G869" s="64"/>
      <c r="H869" s="64"/>
      <c r="I869" s="64"/>
      <c r="J869" s="64"/>
      <c r="K869" s="64"/>
      <c r="L869" s="64"/>
      <c r="M869" s="64"/>
    </row>
    <row r="870" customFormat="false" ht="15.75" hidden="false" customHeight="true" outlineLevel="0" collapsed="false">
      <c r="A870" s="550"/>
      <c r="B870" s="550"/>
      <c r="C870" s="550"/>
      <c r="D870" s="64"/>
      <c r="E870" s="64"/>
      <c r="F870" s="64"/>
      <c r="G870" s="64"/>
      <c r="H870" s="64"/>
      <c r="I870" s="64"/>
      <c r="J870" s="64"/>
      <c r="K870" s="64"/>
      <c r="L870" s="64"/>
      <c r="M870" s="64"/>
    </row>
    <row r="871" customFormat="false" ht="15.75" hidden="false" customHeight="true" outlineLevel="0" collapsed="false">
      <c r="A871" s="550"/>
      <c r="B871" s="550"/>
      <c r="C871" s="550"/>
      <c r="D871" s="64"/>
      <c r="E871" s="64"/>
      <c r="F871" s="64"/>
      <c r="G871" s="64"/>
      <c r="H871" s="64"/>
      <c r="I871" s="64"/>
      <c r="J871" s="64"/>
      <c r="K871" s="64"/>
      <c r="L871" s="64"/>
      <c r="M871" s="64"/>
    </row>
    <row r="872" customFormat="false" ht="15.75" hidden="false" customHeight="true" outlineLevel="0" collapsed="false">
      <c r="A872" s="550"/>
      <c r="B872" s="550"/>
      <c r="C872" s="550"/>
      <c r="D872" s="64"/>
      <c r="E872" s="64"/>
      <c r="F872" s="64"/>
      <c r="G872" s="64"/>
      <c r="H872" s="64"/>
      <c r="I872" s="64"/>
      <c r="J872" s="64"/>
      <c r="K872" s="64"/>
      <c r="L872" s="64"/>
      <c r="M872" s="64"/>
    </row>
    <row r="873" customFormat="false" ht="15.75" hidden="false" customHeight="true" outlineLevel="0" collapsed="false">
      <c r="A873" s="550"/>
      <c r="B873" s="550"/>
      <c r="C873" s="550"/>
      <c r="D873" s="64"/>
      <c r="E873" s="64"/>
      <c r="F873" s="64"/>
      <c r="G873" s="64"/>
      <c r="H873" s="64"/>
      <c r="I873" s="64"/>
      <c r="J873" s="64"/>
      <c r="K873" s="64"/>
      <c r="L873" s="64"/>
      <c r="M873" s="64"/>
    </row>
    <row r="874" customFormat="false" ht="15.75" hidden="false" customHeight="true" outlineLevel="0" collapsed="false">
      <c r="A874" s="550"/>
      <c r="B874" s="550"/>
      <c r="C874" s="550"/>
      <c r="D874" s="64"/>
      <c r="E874" s="64"/>
      <c r="F874" s="64"/>
      <c r="G874" s="64"/>
      <c r="H874" s="64"/>
      <c r="I874" s="64"/>
      <c r="J874" s="64"/>
      <c r="K874" s="64"/>
      <c r="L874" s="64"/>
      <c r="M874" s="64"/>
    </row>
    <row r="875" customFormat="false" ht="15.75" hidden="false" customHeight="true" outlineLevel="0" collapsed="false">
      <c r="A875" s="550"/>
      <c r="B875" s="550"/>
      <c r="C875" s="550"/>
      <c r="D875" s="64"/>
      <c r="E875" s="64"/>
      <c r="F875" s="64"/>
      <c r="G875" s="64"/>
      <c r="H875" s="64"/>
      <c r="I875" s="64"/>
      <c r="J875" s="64"/>
      <c r="K875" s="64"/>
      <c r="L875" s="64"/>
      <c r="M875" s="64"/>
    </row>
    <row r="876" customFormat="false" ht="15.75" hidden="false" customHeight="true" outlineLevel="0" collapsed="false">
      <c r="A876" s="550"/>
      <c r="B876" s="550"/>
      <c r="C876" s="550"/>
      <c r="D876" s="64"/>
      <c r="E876" s="64"/>
      <c r="F876" s="64"/>
      <c r="G876" s="64"/>
      <c r="H876" s="64"/>
      <c r="I876" s="64"/>
      <c r="J876" s="64"/>
      <c r="K876" s="64"/>
      <c r="L876" s="64"/>
      <c r="M876" s="64"/>
    </row>
    <row r="877" customFormat="false" ht="15.75" hidden="false" customHeight="true" outlineLevel="0" collapsed="false">
      <c r="A877" s="550"/>
      <c r="B877" s="550"/>
      <c r="C877" s="550"/>
      <c r="D877" s="64"/>
      <c r="E877" s="64"/>
      <c r="F877" s="64"/>
      <c r="G877" s="64"/>
      <c r="H877" s="64"/>
      <c r="I877" s="64"/>
      <c r="J877" s="64"/>
      <c r="K877" s="64"/>
      <c r="L877" s="64"/>
      <c r="M877" s="64"/>
    </row>
    <row r="878" customFormat="false" ht="15.75" hidden="false" customHeight="true" outlineLevel="0" collapsed="false">
      <c r="A878" s="550"/>
      <c r="B878" s="550"/>
      <c r="C878" s="550"/>
      <c r="D878" s="64"/>
      <c r="E878" s="64"/>
      <c r="F878" s="64"/>
      <c r="G878" s="64"/>
      <c r="H878" s="64"/>
      <c r="I878" s="64"/>
      <c r="J878" s="64"/>
      <c r="K878" s="64"/>
      <c r="L878" s="64"/>
      <c r="M878" s="64"/>
    </row>
    <row r="879" customFormat="false" ht="15.75" hidden="false" customHeight="true" outlineLevel="0" collapsed="false">
      <c r="A879" s="550"/>
      <c r="B879" s="550"/>
      <c r="C879" s="550"/>
      <c r="D879" s="64"/>
      <c r="E879" s="64"/>
      <c r="F879" s="64"/>
      <c r="G879" s="64"/>
      <c r="H879" s="64"/>
      <c r="I879" s="64"/>
      <c r="J879" s="64"/>
      <c r="K879" s="64"/>
      <c r="L879" s="64"/>
      <c r="M879" s="64"/>
    </row>
    <row r="880" customFormat="false" ht="15.75" hidden="false" customHeight="true" outlineLevel="0" collapsed="false">
      <c r="A880" s="550"/>
      <c r="B880" s="550"/>
      <c r="C880" s="550"/>
      <c r="D880" s="64"/>
      <c r="E880" s="64"/>
      <c r="F880" s="64"/>
      <c r="G880" s="64"/>
      <c r="H880" s="64"/>
      <c r="I880" s="64"/>
      <c r="J880" s="64"/>
      <c r="K880" s="64"/>
      <c r="L880" s="64"/>
      <c r="M880" s="64"/>
    </row>
    <row r="881" customFormat="false" ht="15.75" hidden="false" customHeight="true" outlineLevel="0" collapsed="false">
      <c r="A881" s="550"/>
      <c r="B881" s="550"/>
      <c r="C881" s="550"/>
      <c r="D881" s="64"/>
      <c r="E881" s="64"/>
      <c r="F881" s="64"/>
      <c r="G881" s="64"/>
      <c r="H881" s="64"/>
      <c r="I881" s="64"/>
      <c r="J881" s="64"/>
      <c r="K881" s="64"/>
      <c r="L881" s="64"/>
      <c r="M881" s="64"/>
    </row>
    <row r="882" customFormat="false" ht="15.75" hidden="false" customHeight="true" outlineLevel="0" collapsed="false">
      <c r="A882" s="550"/>
      <c r="B882" s="550"/>
      <c r="C882" s="550"/>
      <c r="D882" s="64"/>
      <c r="E882" s="64"/>
      <c r="F882" s="64"/>
      <c r="G882" s="64"/>
      <c r="H882" s="64"/>
      <c r="I882" s="64"/>
      <c r="J882" s="64"/>
      <c r="K882" s="64"/>
      <c r="L882" s="64"/>
      <c r="M882" s="64"/>
    </row>
    <row r="883" customFormat="false" ht="15.75" hidden="false" customHeight="true" outlineLevel="0" collapsed="false">
      <c r="A883" s="550"/>
      <c r="B883" s="550"/>
      <c r="C883" s="550"/>
      <c r="D883" s="64"/>
      <c r="E883" s="64"/>
      <c r="F883" s="64"/>
      <c r="G883" s="64"/>
      <c r="H883" s="64"/>
      <c r="I883" s="64"/>
      <c r="J883" s="64"/>
      <c r="K883" s="64"/>
      <c r="L883" s="64"/>
      <c r="M883" s="64"/>
    </row>
    <row r="884" customFormat="false" ht="15.75" hidden="false" customHeight="true" outlineLevel="0" collapsed="false">
      <c r="A884" s="550"/>
      <c r="B884" s="550"/>
      <c r="C884" s="550"/>
      <c r="D884" s="64"/>
      <c r="E884" s="64"/>
      <c r="F884" s="64"/>
      <c r="G884" s="64"/>
      <c r="H884" s="64"/>
      <c r="I884" s="64"/>
      <c r="J884" s="64"/>
      <c r="K884" s="64"/>
      <c r="L884" s="64"/>
      <c r="M884" s="64"/>
    </row>
    <row r="885" customFormat="false" ht="15.75" hidden="false" customHeight="true" outlineLevel="0" collapsed="false">
      <c r="A885" s="550"/>
      <c r="B885" s="550"/>
      <c r="C885" s="550"/>
      <c r="D885" s="64"/>
      <c r="E885" s="64"/>
      <c r="F885" s="64"/>
      <c r="G885" s="64"/>
      <c r="H885" s="64"/>
      <c r="I885" s="64"/>
      <c r="J885" s="64"/>
      <c r="K885" s="64"/>
      <c r="L885" s="64"/>
      <c r="M885" s="64"/>
    </row>
    <row r="886" customFormat="false" ht="15.75" hidden="false" customHeight="true" outlineLevel="0" collapsed="false">
      <c r="A886" s="550"/>
      <c r="B886" s="550"/>
      <c r="C886" s="550"/>
      <c r="D886" s="64"/>
      <c r="E886" s="64"/>
      <c r="F886" s="64"/>
      <c r="G886" s="64"/>
      <c r="H886" s="64"/>
      <c r="I886" s="64"/>
      <c r="J886" s="64"/>
      <c r="K886" s="64"/>
      <c r="L886" s="64"/>
      <c r="M886" s="64"/>
    </row>
    <row r="887" customFormat="false" ht="15.75" hidden="false" customHeight="true" outlineLevel="0" collapsed="false">
      <c r="A887" s="550"/>
      <c r="B887" s="550"/>
      <c r="C887" s="550"/>
      <c r="D887" s="64"/>
      <c r="E887" s="64"/>
      <c r="F887" s="64"/>
      <c r="G887" s="64"/>
      <c r="H887" s="64"/>
      <c r="I887" s="64"/>
      <c r="J887" s="64"/>
      <c r="K887" s="64"/>
      <c r="L887" s="64"/>
      <c r="M887" s="64"/>
    </row>
    <row r="888" customFormat="false" ht="15.75" hidden="false" customHeight="true" outlineLevel="0" collapsed="false">
      <c r="A888" s="550"/>
      <c r="B888" s="550"/>
      <c r="C888" s="550"/>
      <c r="D888" s="64"/>
      <c r="E888" s="64"/>
      <c r="F888" s="64"/>
      <c r="G888" s="64"/>
      <c r="H888" s="64"/>
      <c r="I888" s="64"/>
      <c r="J888" s="64"/>
      <c r="K888" s="64"/>
      <c r="L888" s="64"/>
      <c r="M888" s="64"/>
    </row>
    <row r="889" customFormat="false" ht="15.75" hidden="false" customHeight="true" outlineLevel="0" collapsed="false">
      <c r="A889" s="550"/>
      <c r="B889" s="550"/>
      <c r="C889" s="550"/>
      <c r="D889" s="64"/>
      <c r="E889" s="64"/>
      <c r="F889" s="64"/>
      <c r="G889" s="64"/>
      <c r="H889" s="64"/>
      <c r="I889" s="64"/>
      <c r="J889" s="64"/>
      <c r="K889" s="64"/>
      <c r="L889" s="64"/>
      <c r="M889" s="64"/>
    </row>
    <row r="890" customFormat="false" ht="15.75" hidden="false" customHeight="true" outlineLevel="0" collapsed="false">
      <c r="A890" s="550"/>
      <c r="B890" s="550"/>
      <c r="C890" s="550"/>
      <c r="D890" s="64"/>
      <c r="E890" s="64"/>
      <c r="F890" s="64"/>
      <c r="G890" s="64"/>
      <c r="H890" s="64"/>
      <c r="I890" s="64"/>
      <c r="J890" s="64"/>
      <c r="K890" s="64"/>
      <c r="L890" s="64"/>
      <c r="M890" s="64"/>
    </row>
    <row r="891" customFormat="false" ht="15.75" hidden="false" customHeight="true" outlineLevel="0" collapsed="false">
      <c r="A891" s="550"/>
      <c r="B891" s="550"/>
      <c r="C891" s="550"/>
      <c r="D891" s="64"/>
      <c r="E891" s="64"/>
      <c r="F891" s="64"/>
      <c r="G891" s="64"/>
      <c r="H891" s="64"/>
      <c r="I891" s="64"/>
      <c r="J891" s="64"/>
      <c r="K891" s="64"/>
      <c r="L891" s="64"/>
      <c r="M891" s="64"/>
    </row>
    <row r="892" customFormat="false" ht="15.75" hidden="false" customHeight="true" outlineLevel="0" collapsed="false">
      <c r="A892" s="550"/>
      <c r="B892" s="550"/>
      <c r="C892" s="550"/>
      <c r="D892" s="64"/>
      <c r="E892" s="64"/>
      <c r="F892" s="64"/>
      <c r="G892" s="64"/>
      <c r="H892" s="64"/>
      <c r="I892" s="64"/>
      <c r="J892" s="64"/>
      <c r="K892" s="64"/>
      <c r="L892" s="64"/>
      <c r="M892" s="64"/>
    </row>
    <row r="893" customFormat="false" ht="15.75" hidden="false" customHeight="true" outlineLevel="0" collapsed="false">
      <c r="A893" s="550"/>
      <c r="B893" s="550"/>
      <c r="C893" s="550"/>
      <c r="D893" s="64"/>
      <c r="E893" s="64"/>
      <c r="F893" s="64"/>
      <c r="G893" s="64"/>
      <c r="H893" s="64"/>
      <c r="I893" s="64"/>
      <c r="J893" s="64"/>
      <c r="K893" s="64"/>
      <c r="L893" s="64"/>
      <c r="M893" s="64"/>
    </row>
    <row r="894" customFormat="false" ht="15.75" hidden="false" customHeight="true" outlineLevel="0" collapsed="false">
      <c r="A894" s="550"/>
      <c r="B894" s="550"/>
      <c r="C894" s="550"/>
      <c r="D894" s="64"/>
      <c r="E894" s="64"/>
      <c r="F894" s="64"/>
      <c r="G894" s="64"/>
      <c r="H894" s="64"/>
      <c r="I894" s="64"/>
      <c r="J894" s="64"/>
      <c r="K894" s="64"/>
      <c r="L894" s="64"/>
      <c r="M894" s="64"/>
    </row>
    <row r="895" customFormat="false" ht="15.75" hidden="false" customHeight="true" outlineLevel="0" collapsed="false">
      <c r="A895" s="550"/>
      <c r="B895" s="550"/>
      <c r="C895" s="550"/>
      <c r="D895" s="64"/>
      <c r="E895" s="64"/>
      <c r="F895" s="64"/>
      <c r="G895" s="64"/>
      <c r="H895" s="64"/>
      <c r="I895" s="64"/>
      <c r="J895" s="64"/>
      <c r="K895" s="64"/>
      <c r="L895" s="64"/>
      <c r="M895" s="64"/>
    </row>
    <row r="896" customFormat="false" ht="15.75" hidden="false" customHeight="true" outlineLevel="0" collapsed="false">
      <c r="A896" s="550"/>
      <c r="B896" s="550"/>
      <c r="C896" s="550"/>
      <c r="D896" s="64"/>
      <c r="E896" s="64"/>
      <c r="F896" s="64"/>
      <c r="G896" s="64"/>
      <c r="H896" s="64"/>
      <c r="I896" s="64"/>
      <c r="J896" s="64"/>
      <c r="K896" s="64"/>
      <c r="L896" s="64"/>
      <c r="M896" s="64"/>
    </row>
    <row r="897" customFormat="false" ht="15.75" hidden="false" customHeight="true" outlineLevel="0" collapsed="false">
      <c r="A897" s="550"/>
      <c r="B897" s="550"/>
      <c r="C897" s="550"/>
      <c r="D897" s="64"/>
      <c r="E897" s="64"/>
      <c r="F897" s="64"/>
      <c r="G897" s="64"/>
      <c r="H897" s="64"/>
      <c r="I897" s="64"/>
      <c r="J897" s="64"/>
      <c r="K897" s="64"/>
      <c r="L897" s="64"/>
      <c r="M897" s="64"/>
    </row>
    <row r="898" customFormat="false" ht="15.75" hidden="false" customHeight="true" outlineLevel="0" collapsed="false">
      <c r="A898" s="550"/>
      <c r="B898" s="550"/>
      <c r="C898" s="550"/>
      <c r="D898" s="64"/>
      <c r="E898" s="64"/>
      <c r="F898" s="64"/>
      <c r="G898" s="64"/>
      <c r="H898" s="64"/>
      <c r="I898" s="64"/>
      <c r="J898" s="64"/>
      <c r="K898" s="64"/>
      <c r="L898" s="64"/>
      <c r="M898" s="64"/>
    </row>
    <row r="899" customFormat="false" ht="15.75" hidden="false" customHeight="true" outlineLevel="0" collapsed="false">
      <c r="A899" s="550"/>
      <c r="B899" s="550"/>
      <c r="C899" s="550"/>
      <c r="D899" s="64"/>
      <c r="E899" s="64"/>
      <c r="F899" s="64"/>
      <c r="G899" s="64"/>
      <c r="H899" s="64"/>
      <c r="I899" s="64"/>
      <c r="J899" s="64"/>
      <c r="K899" s="64"/>
      <c r="L899" s="64"/>
      <c r="M899" s="64"/>
    </row>
    <row r="900" customFormat="false" ht="15.75" hidden="false" customHeight="true" outlineLevel="0" collapsed="false">
      <c r="A900" s="550"/>
      <c r="B900" s="550"/>
      <c r="C900" s="550"/>
      <c r="D900" s="64"/>
      <c r="E900" s="64"/>
      <c r="F900" s="64"/>
      <c r="G900" s="64"/>
      <c r="H900" s="64"/>
      <c r="I900" s="64"/>
      <c r="J900" s="64"/>
      <c r="K900" s="64"/>
      <c r="L900" s="64"/>
      <c r="M900" s="64"/>
    </row>
    <row r="901" customFormat="false" ht="15.75" hidden="false" customHeight="true" outlineLevel="0" collapsed="false">
      <c r="A901" s="550"/>
      <c r="B901" s="550"/>
      <c r="C901" s="550"/>
      <c r="D901" s="64"/>
      <c r="E901" s="64"/>
      <c r="F901" s="64"/>
      <c r="G901" s="64"/>
      <c r="H901" s="64"/>
      <c r="I901" s="64"/>
      <c r="J901" s="64"/>
      <c r="K901" s="64"/>
      <c r="L901" s="64"/>
      <c r="M901" s="64"/>
    </row>
    <row r="902" customFormat="false" ht="15.75" hidden="false" customHeight="true" outlineLevel="0" collapsed="false">
      <c r="A902" s="550"/>
      <c r="B902" s="550"/>
      <c r="C902" s="550"/>
      <c r="D902" s="64"/>
      <c r="E902" s="64"/>
      <c r="F902" s="64"/>
      <c r="G902" s="64"/>
      <c r="H902" s="64"/>
      <c r="I902" s="64"/>
      <c r="J902" s="64"/>
      <c r="K902" s="64"/>
      <c r="L902" s="64"/>
      <c r="M902" s="64"/>
    </row>
    <row r="903" customFormat="false" ht="15.75" hidden="false" customHeight="true" outlineLevel="0" collapsed="false">
      <c r="A903" s="550"/>
      <c r="B903" s="550"/>
      <c r="C903" s="550"/>
      <c r="D903" s="64"/>
      <c r="E903" s="64"/>
      <c r="F903" s="64"/>
      <c r="G903" s="64"/>
      <c r="H903" s="64"/>
      <c r="I903" s="64"/>
      <c r="J903" s="64"/>
      <c r="K903" s="64"/>
      <c r="L903" s="64"/>
      <c r="M903" s="64"/>
    </row>
    <row r="904" customFormat="false" ht="15.75" hidden="false" customHeight="true" outlineLevel="0" collapsed="false">
      <c r="A904" s="550"/>
      <c r="B904" s="550"/>
      <c r="C904" s="550"/>
      <c r="D904" s="64"/>
      <c r="E904" s="64"/>
      <c r="F904" s="64"/>
      <c r="G904" s="64"/>
      <c r="H904" s="64"/>
      <c r="I904" s="64"/>
      <c r="J904" s="64"/>
      <c r="K904" s="64"/>
      <c r="L904" s="64"/>
      <c r="M904" s="64"/>
    </row>
    <row r="905" customFormat="false" ht="15.75" hidden="false" customHeight="true" outlineLevel="0" collapsed="false">
      <c r="A905" s="550"/>
      <c r="B905" s="550"/>
      <c r="C905" s="550"/>
      <c r="D905" s="64"/>
      <c r="E905" s="64"/>
      <c r="F905" s="64"/>
      <c r="G905" s="64"/>
      <c r="H905" s="64"/>
      <c r="I905" s="64"/>
      <c r="J905" s="64"/>
      <c r="K905" s="64"/>
      <c r="L905" s="64"/>
      <c r="M905" s="64"/>
    </row>
    <row r="906" customFormat="false" ht="15.75" hidden="false" customHeight="true" outlineLevel="0" collapsed="false">
      <c r="A906" s="550"/>
      <c r="B906" s="550"/>
      <c r="C906" s="550"/>
      <c r="D906" s="64"/>
      <c r="E906" s="64"/>
      <c r="F906" s="64"/>
      <c r="G906" s="64"/>
      <c r="H906" s="64"/>
      <c r="I906" s="64"/>
      <c r="J906" s="64"/>
      <c r="K906" s="64"/>
      <c r="L906" s="64"/>
      <c r="M906" s="64"/>
    </row>
    <row r="907" customFormat="false" ht="15.75" hidden="false" customHeight="true" outlineLevel="0" collapsed="false">
      <c r="A907" s="550"/>
      <c r="B907" s="550"/>
      <c r="C907" s="550"/>
      <c r="D907" s="64"/>
      <c r="E907" s="64"/>
      <c r="F907" s="64"/>
      <c r="G907" s="64"/>
      <c r="H907" s="64"/>
      <c r="I907" s="64"/>
      <c r="J907" s="64"/>
      <c r="K907" s="64"/>
      <c r="L907" s="64"/>
      <c r="M907" s="64"/>
    </row>
    <row r="908" customFormat="false" ht="15.75" hidden="false" customHeight="true" outlineLevel="0" collapsed="false">
      <c r="A908" s="550"/>
      <c r="B908" s="550"/>
      <c r="C908" s="550"/>
      <c r="D908" s="64"/>
      <c r="E908" s="64"/>
      <c r="F908" s="64"/>
      <c r="G908" s="64"/>
      <c r="H908" s="64"/>
      <c r="I908" s="64"/>
      <c r="J908" s="64"/>
      <c r="K908" s="64"/>
      <c r="L908" s="64"/>
      <c r="M908" s="64"/>
    </row>
    <row r="909" customFormat="false" ht="15.75" hidden="false" customHeight="true" outlineLevel="0" collapsed="false">
      <c r="A909" s="550"/>
      <c r="B909" s="550"/>
      <c r="C909" s="550"/>
      <c r="D909" s="64"/>
      <c r="E909" s="64"/>
      <c r="F909" s="64"/>
      <c r="G909" s="64"/>
      <c r="H909" s="64"/>
      <c r="I909" s="64"/>
      <c r="J909" s="64"/>
      <c r="K909" s="64"/>
      <c r="L909" s="64"/>
      <c r="M909" s="64"/>
    </row>
    <row r="910" customFormat="false" ht="15.75" hidden="false" customHeight="true" outlineLevel="0" collapsed="false">
      <c r="A910" s="550"/>
      <c r="B910" s="550"/>
      <c r="C910" s="550"/>
      <c r="D910" s="64"/>
      <c r="E910" s="64"/>
      <c r="F910" s="64"/>
      <c r="G910" s="64"/>
      <c r="H910" s="64"/>
      <c r="I910" s="64"/>
      <c r="J910" s="64"/>
      <c r="K910" s="64"/>
      <c r="L910" s="64"/>
      <c r="M910" s="64"/>
    </row>
    <row r="911" customFormat="false" ht="15.75" hidden="false" customHeight="true" outlineLevel="0" collapsed="false">
      <c r="A911" s="550"/>
      <c r="B911" s="550"/>
      <c r="C911" s="550"/>
      <c r="D911" s="64"/>
      <c r="E911" s="64"/>
      <c r="F911" s="64"/>
      <c r="G911" s="64"/>
      <c r="H911" s="64"/>
      <c r="I911" s="64"/>
      <c r="J911" s="64"/>
      <c r="K911" s="64"/>
      <c r="L911" s="64"/>
      <c r="M911" s="64"/>
    </row>
    <row r="912" customFormat="false" ht="15.75" hidden="false" customHeight="true" outlineLevel="0" collapsed="false">
      <c r="A912" s="550"/>
      <c r="B912" s="550"/>
      <c r="C912" s="550"/>
      <c r="D912" s="64"/>
      <c r="E912" s="64"/>
      <c r="F912" s="64"/>
      <c r="G912" s="64"/>
      <c r="H912" s="64"/>
      <c r="I912" s="64"/>
      <c r="J912" s="64"/>
      <c r="K912" s="64"/>
      <c r="L912" s="64"/>
      <c r="M912" s="64"/>
    </row>
    <row r="913" customFormat="false" ht="15.75" hidden="false" customHeight="true" outlineLevel="0" collapsed="false">
      <c r="A913" s="550"/>
      <c r="B913" s="550"/>
      <c r="C913" s="550"/>
      <c r="D913" s="64"/>
      <c r="E913" s="64"/>
      <c r="F913" s="64"/>
      <c r="G913" s="64"/>
      <c r="H913" s="64"/>
      <c r="I913" s="64"/>
      <c r="J913" s="64"/>
      <c r="K913" s="64"/>
      <c r="L913" s="64"/>
      <c r="M913" s="64"/>
    </row>
    <row r="914" customFormat="false" ht="15.75" hidden="false" customHeight="true" outlineLevel="0" collapsed="false">
      <c r="A914" s="550"/>
      <c r="B914" s="550"/>
      <c r="C914" s="550"/>
      <c r="D914" s="64"/>
      <c r="E914" s="64"/>
      <c r="F914" s="64"/>
      <c r="G914" s="64"/>
      <c r="H914" s="64"/>
      <c r="I914" s="64"/>
      <c r="J914" s="64"/>
      <c r="K914" s="64"/>
      <c r="L914" s="64"/>
      <c r="M914" s="64"/>
    </row>
    <row r="915" customFormat="false" ht="15.75" hidden="false" customHeight="true" outlineLevel="0" collapsed="false">
      <c r="A915" s="550"/>
      <c r="B915" s="550"/>
      <c r="C915" s="550"/>
      <c r="D915" s="64"/>
      <c r="E915" s="64"/>
      <c r="F915" s="64"/>
      <c r="G915" s="64"/>
      <c r="H915" s="64"/>
      <c r="I915" s="64"/>
      <c r="J915" s="64"/>
      <c r="K915" s="64"/>
      <c r="L915" s="64"/>
      <c r="M915" s="64"/>
    </row>
    <row r="916" customFormat="false" ht="15.75" hidden="false" customHeight="true" outlineLevel="0" collapsed="false">
      <c r="A916" s="550"/>
      <c r="B916" s="550"/>
      <c r="C916" s="550"/>
      <c r="D916" s="64"/>
      <c r="E916" s="64"/>
      <c r="F916" s="64"/>
      <c r="G916" s="64"/>
      <c r="H916" s="64"/>
      <c r="I916" s="64"/>
      <c r="J916" s="64"/>
      <c r="K916" s="64"/>
      <c r="L916" s="64"/>
      <c r="M916" s="64"/>
    </row>
    <row r="917" customFormat="false" ht="15.75" hidden="false" customHeight="true" outlineLevel="0" collapsed="false">
      <c r="A917" s="550"/>
      <c r="B917" s="550"/>
      <c r="C917" s="550"/>
      <c r="D917" s="64"/>
      <c r="E917" s="64"/>
      <c r="F917" s="64"/>
      <c r="G917" s="64"/>
      <c r="H917" s="64"/>
      <c r="I917" s="64"/>
      <c r="J917" s="64"/>
      <c r="K917" s="64"/>
      <c r="L917" s="64"/>
      <c r="M917" s="64"/>
    </row>
    <row r="918" customFormat="false" ht="15.75" hidden="false" customHeight="true" outlineLevel="0" collapsed="false">
      <c r="A918" s="550"/>
      <c r="B918" s="550"/>
      <c r="C918" s="550"/>
      <c r="D918" s="64"/>
      <c r="E918" s="64"/>
      <c r="F918" s="64"/>
      <c r="G918" s="64"/>
      <c r="H918" s="64"/>
      <c r="I918" s="64"/>
      <c r="J918" s="64"/>
      <c r="K918" s="64"/>
      <c r="L918" s="64"/>
      <c r="M918" s="64"/>
    </row>
    <row r="919" customFormat="false" ht="15.75" hidden="false" customHeight="true" outlineLevel="0" collapsed="false">
      <c r="A919" s="550"/>
      <c r="B919" s="550"/>
      <c r="C919" s="550"/>
      <c r="D919" s="64"/>
      <c r="E919" s="64"/>
      <c r="F919" s="64"/>
      <c r="G919" s="64"/>
      <c r="H919" s="64"/>
      <c r="I919" s="64"/>
      <c r="J919" s="64"/>
      <c r="K919" s="64"/>
      <c r="L919" s="64"/>
      <c r="M919" s="64"/>
    </row>
    <row r="920" customFormat="false" ht="15.75" hidden="false" customHeight="true" outlineLevel="0" collapsed="false">
      <c r="A920" s="550"/>
      <c r="B920" s="550"/>
      <c r="C920" s="550"/>
      <c r="D920" s="64"/>
      <c r="E920" s="64"/>
      <c r="F920" s="64"/>
      <c r="G920" s="64"/>
      <c r="H920" s="64"/>
      <c r="I920" s="64"/>
      <c r="J920" s="64"/>
      <c r="K920" s="64"/>
      <c r="L920" s="64"/>
      <c r="M920" s="64"/>
    </row>
    <row r="921" customFormat="false" ht="15.75" hidden="false" customHeight="true" outlineLevel="0" collapsed="false">
      <c r="A921" s="550"/>
      <c r="B921" s="550"/>
      <c r="C921" s="550"/>
      <c r="D921" s="64"/>
      <c r="E921" s="64"/>
      <c r="F921" s="64"/>
      <c r="G921" s="64"/>
      <c r="H921" s="64"/>
      <c r="I921" s="64"/>
      <c r="J921" s="64"/>
      <c r="K921" s="64"/>
      <c r="L921" s="64"/>
      <c r="M921" s="64"/>
    </row>
    <row r="922" customFormat="false" ht="15.75" hidden="false" customHeight="true" outlineLevel="0" collapsed="false">
      <c r="A922" s="550"/>
      <c r="B922" s="550"/>
      <c r="C922" s="550"/>
      <c r="D922" s="64"/>
      <c r="E922" s="64"/>
      <c r="F922" s="64"/>
      <c r="G922" s="64"/>
      <c r="H922" s="64"/>
      <c r="I922" s="64"/>
      <c r="J922" s="64"/>
      <c r="K922" s="64"/>
      <c r="L922" s="64"/>
      <c r="M922" s="64"/>
    </row>
    <row r="923" customFormat="false" ht="15.75" hidden="false" customHeight="true" outlineLevel="0" collapsed="false">
      <c r="A923" s="550"/>
      <c r="B923" s="550"/>
      <c r="C923" s="550"/>
      <c r="D923" s="64"/>
      <c r="E923" s="64"/>
      <c r="F923" s="64"/>
      <c r="G923" s="64"/>
      <c r="H923" s="64"/>
      <c r="I923" s="64"/>
      <c r="J923" s="64"/>
      <c r="K923" s="64"/>
      <c r="L923" s="64"/>
      <c r="M923" s="64"/>
    </row>
    <row r="924" customFormat="false" ht="15.75" hidden="false" customHeight="true" outlineLevel="0" collapsed="false">
      <c r="A924" s="550"/>
      <c r="B924" s="550"/>
      <c r="C924" s="550"/>
      <c r="D924" s="64"/>
      <c r="E924" s="64"/>
      <c r="F924" s="64"/>
      <c r="G924" s="64"/>
      <c r="H924" s="64"/>
      <c r="I924" s="64"/>
      <c r="J924" s="64"/>
      <c r="K924" s="64"/>
      <c r="L924" s="64"/>
      <c r="M924" s="64"/>
    </row>
    <row r="925" customFormat="false" ht="15.75" hidden="false" customHeight="true" outlineLevel="0" collapsed="false">
      <c r="A925" s="550"/>
      <c r="B925" s="550"/>
      <c r="C925" s="550"/>
      <c r="D925" s="64"/>
      <c r="E925" s="64"/>
      <c r="F925" s="64"/>
      <c r="G925" s="64"/>
      <c r="H925" s="64"/>
      <c r="I925" s="64"/>
      <c r="J925" s="64"/>
      <c r="K925" s="64"/>
      <c r="L925" s="64"/>
      <c r="M925" s="64"/>
    </row>
    <row r="926" customFormat="false" ht="15.75" hidden="false" customHeight="true" outlineLevel="0" collapsed="false">
      <c r="A926" s="550"/>
      <c r="B926" s="550"/>
      <c r="C926" s="550"/>
      <c r="D926" s="64"/>
      <c r="E926" s="64"/>
      <c r="F926" s="64"/>
      <c r="G926" s="64"/>
      <c r="H926" s="64"/>
      <c r="I926" s="64"/>
      <c r="J926" s="64"/>
      <c r="K926" s="64"/>
      <c r="L926" s="64"/>
      <c r="M926" s="64"/>
    </row>
    <row r="927" customFormat="false" ht="15.75" hidden="false" customHeight="true" outlineLevel="0" collapsed="false">
      <c r="A927" s="550"/>
      <c r="B927" s="550"/>
      <c r="C927" s="550"/>
      <c r="D927" s="64"/>
      <c r="E927" s="64"/>
      <c r="F927" s="64"/>
      <c r="G927" s="64"/>
      <c r="H927" s="64"/>
      <c r="I927" s="64"/>
      <c r="J927" s="64"/>
      <c r="K927" s="64"/>
      <c r="L927" s="64"/>
      <c r="M927" s="64"/>
    </row>
    <row r="928" customFormat="false" ht="15.75" hidden="false" customHeight="true" outlineLevel="0" collapsed="false">
      <c r="A928" s="550"/>
      <c r="B928" s="550"/>
      <c r="C928" s="550"/>
      <c r="D928" s="64"/>
      <c r="E928" s="64"/>
      <c r="F928" s="64"/>
      <c r="G928" s="64"/>
      <c r="H928" s="64"/>
      <c r="I928" s="64"/>
      <c r="J928" s="64"/>
      <c r="K928" s="64"/>
      <c r="L928" s="64"/>
      <c r="M928" s="64"/>
    </row>
    <row r="929" customFormat="false" ht="15.75" hidden="false" customHeight="true" outlineLevel="0" collapsed="false">
      <c r="A929" s="550"/>
      <c r="B929" s="550"/>
      <c r="C929" s="550"/>
      <c r="D929" s="64"/>
      <c r="E929" s="64"/>
      <c r="F929" s="64"/>
      <c r="G929" s="64"/>
      <c r="H929" s="64"/>
      <c r="I929" s="64"/>
      <c r="J929" s="64"/>
      <c r="K929" s="64"/>
      <c r="L929" s="64"/>
      <c r="M929" s="64"/>
    </row>
    <row r="930" customFormat="false" ht="15.75" hidden="false" customHeight="true" outlineLevel="0" collapsed="false">
      <c r="A930" s="550"/>
      <c r="B930" s="550"/>
      <c r="C930" s="550"/>
      <c r="D930" s="64"/>
      <c r="E930" s="64"/>
      <c r="F930" s="64"/>
      <c r="G930" s="64"/>
      <c r="H930" s="64"/>
      <c r="I930" s="64"/>
      <c r="J930" s="64"/>
      <c r="K930" s="64"/>
      <c r="L930" s="64"/>
      <c r="M930" s="64"/>
    </row>
    <row r="931" customFormat="false" ht="15.75" hidden="false" customHeight="true" outlineLevel="0" collapsed="false">
      <c r="A931" s="550"/>
      <c r="B931" s="550"/>
      <c r="C931" s="550"/>
      <c r="D931" s="64"/>
      <c r="E931" s="64"/>
      <c r="F931" s="64"/>
      <c r="G931" s="64"/>
      <c r="H931" s="64"/>
      <c r="I931" s="64"/>
      <c r="J931" s="64"/>
      <c r="K931" s="64"/>
      <c r="L931" s="64"/>
      <c r="M931" s="64"/>
    </row>
    <row r="932" customFormat="false" ht="15.75" hidden="false" customHeight="true" outlineLevel="0" collapsed="false">
      <c r="A932" s="550"/>
      <c r="B932" s="550"/>
      <c r="C932" s="550"/>
      <c r="D932" s="64"/>
      <c r="E932" s="64"/>
      <c r="F932" s="64"/>
      <c r="G932" s="64"/>
      <c r="H932" s="64"/>
      <c r="I932" s="64"/>
      <c r="J932" s="64"/>
      <c r="K932" s="64"/>
      <c r="L932" s="64"/>
      <c r="M932" s="64"/>
    </row>
    <row r="933" customFormat="false" ht="15.75" hidden="false" customHeight="true" outlineLevel="0" collapsed="false">
      <c r="A933" s="550"/>
      <c r="B933" s="550"/>
      <c r="C933" s="550"/>
      <c r="D933" s="64"/>
      <c r="E933" s="64"/>
      <c r="F933" s="64"/>
      <c r="G933" s="64"/>
      <c r="H933" s="64"/>
      <c r="I933" s="64"/>
      <c r="J933" s="64"/>
      <c r="K933" s="64"/>
      <c r="L933" s="64"/>
      <c r="M933" s="64"/>
    </row>
    <row r="934" customFormat="false" ht="15.75" hidden="false" customHeight="true" outlineLevel="0" collapsed="false">
      <c r="A934" s="550"/>
      <c r="B934" s="550"/>
      <c r="C934" s="550"/>
      <c r="D934" s="64"/>
      <c r="E934" s="64"/>
      <c r="F934" s="64"/>
      <c r="G934" s="64"/>
      <c r="H934" s="64"/>
      <c r="I934" s="64"/>
      <c r="J934" s="64"/>
      <c r="K934" s="64"/>
      <c r="L934" s="64"/>
      <c r="M934" s="64"/>
    </row>
    <row r="935" customFormat="false" ht="15.75" hidden="false" customHeight="true" outlineLevel="0" collapsed="false">
      <c r="A935" s="550"/>
      <c r="B935" s="550"/>
      <c r="C935" s="550"/>
      <c r="D935" s="64"/>
      <c r="E935" s="64"/>
      <c r="F935" s="64"/>
      <c r="G935" s="64"/>
      <c r="H935" s="64"/>
      <c r="I935" s="64"/>
      <c r="J935" s="64"/>
      <c r="K935" s="64"/>
      <c r="L935" s="64"/>
      <c r="M935" s="64"/>
    </row>
    <row r="936" customFormat="false" ht="15.75" hidden="false" customHeight="true" outlineLevel="0" collapsed="false">
      <c r="A936" s="550"/>
      <c r="B936" s="550"/>
      <c r="C936" s="550"/>
      <c r="D936" s="64"/>
      <c r="E936" s="64"/>
      <c r="F936" s="64"/>
      <c r="G936" s="64"/>
      <c r="H936" s="64"/>
      <c r="I936" s="64"/>
      <c r="J936" s="64"/>
      <c r="K936" s="64"/>
      <c r="L936" s="64"/>
      <c r="M936" s="64"/>
    </row>
    <row r="937" customFormat="false" ht="15.75" hidden="false" customHeight="true" outlineLevel="0" collapsed="false">
      <c r="A937" s="550"/>
      <c r="B937" s="550"/>
      <c r="C937" s="550"/>
      <c r="D937" s="64"/>
      <c r="E937" s="64"/>
      <c r="F937" s="64"/>
      <c r="G937" s="64"/>
      <c r="H937" s="64"/>
      <c r="I937" s="64"/>
      <c r="J937" s="64"/>
      <c r="K937" s="64"/>
      <c r="L937" s="64"/>
      <c r="M937" s="64"/>
    </row>
    <row r="938" customFormat="false" ht="15.75" hidden="false" customHeight="true" outlineLevel="0" collapsed="false">
      <c r="A938" s="550"/>
      <c r="B938" s="550"/>
      <c r="C938" s="550"/>
      <c r="D938" s="64"/>
      <c r="E938" s="64"/>
      <c r="F938" s="64"/>
      <c r="G938" s="64"/>
      <c r="H938" s="64"/>
      <c r="I938" s="64"/>
      <c r="J938" s="64"/>
      <c r="K938" s="64"/>
      <c r="L938" s="64"/>
      <c r="M938" s="64"/>
    </row>
    <row r="939" customFormat="false" ht="15.75" hidden="false" customHeight="true" outlineLevel="0" collapsed="false">
      <c r="A939" s="550"/>
      <c r="B939" s="550"/>
      <c r="C939" s="550"/>
      <c r="D939" s="64"/>
      <c r="E939" s="64"/>
      <c r="F939" s="64"/>
      <c r="G939" s="64"/>
      <c r="H939" s="64"/>
      <c r="I939" s="64"/>
      <c r="J939" s="64"/>
      <c r="K939" s="64"/>
      <c r="L939" s="64"/>
      <c r="M939" s="64"/>
    </row>
  </sheetData>
  <mergeCells count="46">
    <mergeCell ref="A1:A2"/>
    <mergeCell ref="B3:C3"/>
    <mergeCell ref="B4:C4"/>
    <mergeCell ref="B5:C5"/>
    <mergeCell ref="B6:C6"/>
    <mergeCell ref="B7:C7"/>
    <mergeCell ref="B8:C8"/>
    <mergeCell ref="A9:C9"/>
    <mergeCell ref="A13:C13"/>
    <mergeCell ref="A19:C19"/>
    <mergeCell ref="A26:C26"/>
    <mergeCell ref="B27:C27"/>
    <mergeCell ref="B28:C28"/>
    <mergeCell ref="B29:C29"/>
    <mergeCell ref="B30:C30"/>
    <mergeCell ref="A31:A32"/>
    <mergeCell ref="B31:C31"/>
    <mergeCell ref="B32:C32"/>
    <mergeCell ref="A33:A34"/>
    <mergeCell ref="B33:C33"/>
    <mergeCell ref="B34:C34"/>
    <mergeCell ref="A35:C35"/>
    <mergeCell ref="B38:C38"/>
    <mergeCell ref="B40:C40"/>
    <mergeCell ref="B41:C41"/>
    <mergeCell ref="B42:C42"/>
    <mergeCell ref="B43:C43"/>
    <mergeCell ref="A44:A45"/>
    <mergeCell ref="B44:C44"/>
    <mergeCell ref="B45:C45"/>
    <mergeCell ref="B46:C46"/>
    <mergeCell ref="B47:C47"/>
    <mergeCell ref="A48:C48"/>
    <mergeCell ref="A49:A50"/>
    <mergeCell ref="B49:C49"/>
    <mergeCell ref="B50:C50"/>
    <mergeCell ref="A51:A52"/>
    <mergeCell ref="B51:C51"/>
    <mergeCell ref="H51:I51"/>
    <mergeCell ref="B52:C52"/>
    <mergeCell ref="B53:C53"/>
    <mergeCell ref="B54:C54"/>
    <mergeCell ref="A55:A56"/>
    <mergeCell ref="B57:C57"/>
    <mergeCell ref="B58:C58"/>
    <mergeCell ref="B59:C59"/>
  </mergeCells>
  <conditionalFormatting sqref="B17 B21 B24:B25">
    <cfRule type="containsText" priority="2" operator="containsText" aboveAverage="0" equalAverage="0" bottom="0" percent="0" rank="0" text="Выберите цвет плёнки наружней отделки" dxfId="1">
      <formula>NOT(ISERROR(SEARCH("Выберите цвет плёнки наружней отделки",B17)))</formula>
    </cfRule>
  </conditionalFormatting>
  <conditionalFormatting sqref="B17 B21 B24:B25 B17">
    <cfRule type="containsText" priority="3" operator="containsText" aboveAverage="0" equalAverage="0" bottom="0" percent="0" rank="0" text="Отделка металлом - ПВХ не используется" dxfId="2">
      <formula>NOT(ISERROR(SEARCH("Отделка металлом - ПВХ не используется",B17)))</formula>
    </cfRule>
  </conditionalFormatting>
  <conditionalFormatting sqref="B21 B24:B25">
    <cfRule type="containsText" priority="4" operator="containsText" aboveAverage="0" equalAverage="0" bottom="0" percent="0" rank="0" text="Выберите цвет дополнительного элемента" dxfId="1">
      <formula>NOT(ISERROR(SEARCH("Выберите цвет дополнительного элемента",B21)))</formula>
    </cfRule>
  </conditionalFormatting>
  <conditionalFormatting sqref="C17 B21 B24:B25 B21 B24:B25">
    <cfRule type="containsText" priority="5" operator="containsText" aboveAverage="0" equalAverage="0" bottom="0" percent="0" rank="0" text="Выберите цвет" dxfId="1">
      <formula>NOT(ISERROR(SEARCH("Выберите цвет",B17)))</formula>
    </cfRule>
  </conditionalFormatting>
  <conditionalFormatting sqref="B42:C42">
    <cfRule type="containsText" priority="6" operator="containsText" aboveAverage="0" equalAverage="0" bottom="0" percent="0" rank="0" text="Электр" dxfId="6">
      <formula>NOT(ISERROR(SEARCH("Электр",B42)))</formula>
    </cfRule>
  </conditionalFormatting>
  <conditionalFormatting sqref="B31:C31">
    <cfRule type="containsText" priority="7" operator="containsText" aboveAverage="0" equalAverage="0" bottom="0" percent="0" rank="0" text="Пожалуйста" dxfId="7">
      <formula>NOT(ISERROR(SEARCH("Пожалуйста",B31)))</formula>
    </cfRule>
  </conditionalFormatting>
  <conditionalFormatting sqref="B33:C33">
    <cfRule type="containsText" priority="8" operator="containsText" aboveAverage="0" equalAverage="0" bottom="0" percent="0" rank="0" text="Пожалуйста" dxfId="8">
      <formula>NOT(ISERROR(SEARCH("Пожалуйста",B33)))</formula>
    </cfRule>
  </conditionalFormatting>
  <conditionalFormatting sqref="B17">
    <cfRule type="containsText" priority="9" operator="containsText" aboveAverage="0" equalAverage="0" bottom="0" percent="0" rank="0" text="Выберите цвет плёнки наружней отделки!" dxfId="8">
      <formula>NOT(ISERROR(SEARCH("Выберите цвет плёнки наружней отделки!",B17)))</formula>
    </cfRule>
  </conditionalFormatting>
  <conditionalFormatting sqref="C17">
    <cfRule type="containsText" priority="10" operator="containsText" aboveAverage="0" equalAverage="0" bottom="0" percent="0" rank="0" text="Выберите цвет" dxfId="8">
      <formula>NOT(ISERROR(SEARCH("Выберите цвет",C17)))</formula>
    </cfRule>
  </conditionalFormatting>
  <conditionalFormatting sqref="B27:C27">
    <cfRule type="containsText" priority="11" operator="containsText" aboveAverage="0" equalAverage="0" bottom="0" percent="0" rank="0" text="пожалуйста" dxfId="3">
      <formula>NOT(ISERROR(SEARCH("пожалуйста",B27)))</formula>
    </cfRule>
  </conditionalFormatting>
  <conditionalFormatting sqref="A24:B25">
    <cfRule type="containsText" priority="12" operator="containsText" aboveAverage="0" equalAverage="0" bottom="0" percent="0" rank="0" text="без" dxfId="2">
      <formula>NOT(ISERROR(SEARCH("без",A24)))</formula>
    </cfRule>
  </conditionalFormatting>
  <conditionalFormatting sqref="B33:C33 B29:C29">
    <cfRule type="containsText" priority="13" operator="containsText" aboveAverage="0" equalAverage="0" bottom="0" percent="0" rank="0" text="Без" dxfId="2">
      <formula>NOT(ISERROR(SEARCH("Без",B29)))</formula>
    </cfRule>
  </conditionalFormatting>
  <conditionalFormatting sqref="B43:C43">
    <cfRule type="containsText" priority="14" operator="containsText" aboveAverage="0" equalAverage="0" bottom="0" percent="0" rank="0" text="Без" dxfId="9">
      <formula>NOT(ISERROR(SEARCH("Без",B43)))</formula>
    </cfRule>
  </conditionalFormatting>
  <conditionalFormatting sqref="C24:C25">
    <cfRule type="containsText" priority="15" operator="containsText" aboveAverage="0" equalAverage="0" bottom="0" percent="0" rank="0" text="пожалуйста" dxfId="7">
      <formula>NOT(ISERROR(SEARCH("пожалуйста",C24)))</formula>
    </cfRule>
  </conditionalFormatting>
  <conditionalFormatting sqref="A44:C44">
    <cfRule type="expression" priority="16" aboveAverage="0" equalAverage="0" bottom="0" percent="0" rank="0" text="" dxfId="7">
      <formula>LEN(TRIM(A44))=0</formula>
    </cfRule>
  </conditionalFormatting>
  <dataValidations count="22">
    <dataValidation allowBlank="true" errorStyle="stop" operator="between" showDropDown="false" showErrorMessage="true" showInputMessage="false" sqref="A22" type="list">
      <formula1>Термо!$I$19:$J$19</formula1>
      <formula2>0</formula2>
    </dataValidation>
    <dataValidation allowBlank="true" errorStyle="stop" operator="between" showDropDown="false" showErrorMessage="true" showInputMessage="false" sqref="B32" type="list">
      <formula1>Цилиндр!$I$10:$J$10</formula1>
      <formula2>0</formula2>
    </dataValidation>
    <dataValidation allowBlank="true" errorStyle="stop" operator="between" showDropDown="false" showErrorMessage="true" showInputMessage="false" sqref="C16" type="list">
      <formula1>'Внутренняя отделка'!$C$42:$C$75</formula1>
      <formula2>0</formula2>
    </dataValidation>
    <dataValidation allowBlank="true" errorStyle="stop" operator="between" showDropDown="false" showErrorMessage="true" showInputMessage="false" sqref="C22" type="list">
      <formula1>"Как основной,Антик медь,Антик серебро,Букле серый,Букле чёрный,Букле капучино,Муар 1019,Муар чёрный 9005,Муар 7021,Муар 7024,Муар 9003,Муар 6028,Бронза 74П-566,Синий 74П-220,Золото на белом,Серебро на белом,Шагрень 9003,Муар металлик бронзовый,Муар металл"&amp;"ик 8019,Муар металлик синий,Муар металлик чёрный,Муар металлик серый"</formula1>
      <formula2>0</formula2>
    </dataValidation>
    <dataValidation allowBlank="true" errorStyle="stop" operator="between" showDropDown="false" showErrorMessage="true" showInputMessage="false" sqref="A25:B25" type="list">
      <formula1>"Нет,Серебро,Бронза,Графит,Золото,Коричневая,Чёрная"</formula1>
      <formula2>0</formula2>
    </dataValidation>
    <dataValidation allowBlank="true" errorStyle="stop" operator="between" showDropDown="false" showErrorMessage="true" showInputMessage="false" sqref="B11" type="list">
      <formula1>'Не удалять'!$D$5:$AA$5</formula1>
      <formula2>0</formula2>
    </dataValidation>
    <dataValidation allowBlank="true" errorStyle="stop" operator="between" showDropDown="false" showErrorMessage="true" showInputMessage="false" sqref="B47" type="list">
      <formula1>"Да,Нет"</formula1>
      <formula2>0</formula2>
    </dataValidation>
    <dataValidation allowBlank="true" errorStyle="stop" operator="between" showDropDown="false" showErrorMessage="true" showInputMessage="false" sqref="B16" type="list">
      <formula1>"Optima,Credo,Credo SP,Senator SP,Senator Max SP,Nova,Imperato,Darkwood SP Дуб чарлстон,Darkwood SP Вудлайн тёмный,Darkwood SP Вяз шоколад,Darkwood SP Пино,Drevos SP Дуб чарлстон,Drevos SP Вяз шоколад,Drevos SP Вудлайн тёмный,Drevos SP Пино+чёрный,Veles Вя"&amp;"з шоколад,Veles Вудлайн тёмный,Veles Дуб чарлстон,Veles Пино,Soros Дуб чарлстон,Soros Вудлайн тёмный,Soros Вяз шоколад,Soros Пино"</formula1>
      <formula2>0</formula2>
    </dataValidation>
    <dataValidation allowBlank="true" errorStyle="stop" operator="between" showDropDown="false" showErrorMessage="true" showInputMessage="false" sqref="B45 B52" type="list">
      <formula1>"Да,Нет"</formula1>
      <formula2>0</formula2>
    </dataValidation>
    <dataValidation allowBlank="true" errorStyle="stop" operator="between" showDropDown="false" showErrorMessage="true" showInputMessage="false" sqref="C25" type="list">
      <formula1>"Нет,Антик медь,Антик серебро,Букле серый,Букле чёрный,Букле капучино,Муар 1019,Муар чёрный 9005,Муар 7021,Муар 7024,Муар 9003,Муар 6028,Бронза 74П-566,Синий 74П-220,Золото на белом,Серебро на белом,Шагрень 9003,Муар металлик бронзовый,Муар металлик 8019,М"&amp;"уар металлик синий,Муар металлик чёрный,Муар металлик серый"</formula1>
      <formula2>0</formula2>
    </dataValidation>
    <dataValidation allowBlank="true" errorStyle="stop" operator="between" showDropDown="false" showErrorMessage="true" showInputMessage="false" sqref="B37" type="list">
      <formula1>Фурнитура!$B$31:$B$34</formula1>
      <formula2>0</formula2>
    </dataValidation>
    <dataValidation allowBlank="true" errorStyle="stop" operator="between" showDropDown="false" showErrorMessage="true" showInputMessage="false" sqref="B50" type="list">
      <formula1>"Порог шлифованный. Цвет: Хром,Нет"</formula1>
      <formula2>0</formula2>
    </dataValidation>
    <dataValidation allowBlank="true" errorStyle="stop" operator="between" showDropDown="false" showErrorMessage="true" showInputMessage="false" sqref="B22" type="list">
      <formula1>"Антик медь,Антик серебро,Букле серый,Букле чёрный,Букле опал,Муар 1019,Муар чёрный 9005,Муар 7021,Муар 7024,Муар 9003,Муар 6028,Бронза 74П-566,Синий 74П-220,Золото на белом,Серебро на белом,Шагрень 9003,Муар металлик бронзовый,Муар металлик 8019,Муар мета"&amp;"ллик синий,Муар металлик чёрный,Муар металлик серый"</formula1>
      <formula2>0</formula2>
    </dataValidation>
    <dataValidation allowBlank="true" errorStyle="stop" operator="between" showDropDown="false" showErrorMessage="true" showInputMessage="false" sqref="B30" type="list">
      <formula1>'Замки '!$A$9:$H$9</formula1>
      <formula2>0</formula2>
    </dataValidation>
    <dataValidation allowBlank="true" errorStyle="stop" operator="between" showDropDown="false" showErrorMessage="true" showInputMessage="false" sqref="C37" type="list">
      <formula1>"Овальное,Квадратное"</formula1>
      <formula2>0</formula2>
    </dataValidation>
    <dataValidation allowBlank="true" errorStyle="stop" operator="between" showDropDown="false" showErrorMessage="true" showInputMessage="false" sqref="B28" type="list">
      <formula1>'Замки '!$B$3:$I$3</formula1>
      <formula2>0</formula2>
    </dataValidation>
    <dataValidation allowBlank="true" errorStyle="stop" operator="between" showDropDown="false" showErrorMessage="true" showInputMessage="false" sqref="C18" type="list">
      <formula1>"Нет,Астана Эш Уайт,Английский дуб фог,Бетон снежный,Бетон тёмный,Лиственница белая,Ривьера айс,Лиственница капучино,Канадский дуб арктик горизонтальный,Канадский дуб пацифик горизонтальный,Статус коньяк,Дуб морёный,Орех каньон коньяк,Дуб мадейра песок,Дуб"&amp;" мадейра янтарь,Дуб честерфилд лайт-грей,Дуб седан белый,Дуб Седан сиеста,Шпон дуб натуральный,Дуб бодега коричневый,Бетон светлый,Дуб бодега натуральный,Дуб бодега золотой,Верона графит,Санд айс,Санд лайт грей,Санд cмоук,Санд грей,Санд миди грей,Санд дар"&amp;"к грей,Санд антрацит,Секвойя милк,Секвойя какао,Секвойя латте,Секвойя графит,Олива,Морская волна,Зелёный камень,Лофт белый,Чёрный матовый,Синий,Красная Бургундия,Белый матовый,Шпон дуб коньяк,Грей"</formula1>
      <formula2>0</formula2>
    </dataValidation>
    <dataValidation allowBlank="true" errorStyle="stop" operator="between" showDropDown="false" showErrorMessage="true" showInputMessage="false" sqref="B39" type="list">
      <formula1>Термо!$I$38:$K$38</formula1>
      <formula2>0</formula2>
    </dataValidation>
    <dataValidation allowBlank="true" errorStyle="stop" operator="between" showDropDown="false" showErrorMessage="true" showInputMessage="false" sqref="C39" type="list">
      <formula1>Термо!$I$37:$K$37</formula1>
      <formula2>0</formula2>
    </dataValidation>
    <dataValidation allowBlank="true" errorStyle="stop" operator="between" showDropDown="false" showErrorMessage="true" showInputMessage="false" sqref="B10" type="list">
      <formula1>'Не удалять'!$B$3:$AZ$3</formula1>
      <formula2>0</formula2>
    </dataValidation>
    <dataValidation allowBlank="true" errorStyle="stop" operator="between" showDropDown="false" showErrorMessage="true" showInputMessage="false" sqref="B12" type="list">
      <formula1>"Правое,Левое"</formula1>
      <formula2>0</formula2>
    </dataValidation>
    <dataValidation allowBlank="true" errorStyle="stop" operator="between" showDropDown="false" showErrorMessage="true" showInputMessage="false" sqref="B34" type="list">
      <formula1>Цилиндр!$H$11:$J$11</formula1>
      <formula2>0</formula2>
    </dataValidation>
  </dataValidations>
  <printOptions headings="false" gridLines="false" gridLinesSet="true" horizontalCentered="false" verticalCentered="false"/>
  <pageMargins left="0.25" right="0.25" top="0.75" bottom="0.75" header="0.511811023622047" footer="0.511811023622047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C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25.14"/>
    <col collapsed="false" customWidth="true" hidden="false" outlineLevel="0" max="3" min="2" style="0" width="76.29"/>
  </cols>
  <sheetData>
    <row r="1" customFormat="false" ht="32.25" hidden="false" customHeight="true" outlineLevel="0" collapsed="false">
      <c r="A1" s="522" t="s">
        <v>514</v>
      </c>
      <c r="B1" s="522"/>
      <c r="C1" s="522"/>
    </row>
    <row r="2" customFormat="false" ht="32.25" hidden="false" customHeight="true" outlineLevel="0" collapsed="false">
      <c r="A2" s="569"/>
      <c r="B2" s="570" t="s">
        <v>515</v>
      </c>
      <c r="C2" s="570" t="s">
        <v>440</v>
      </c>
    </row>
    <row r="3" customFormat="false" ht="317.25" hidden="false" customHeight="true" outlineLevel="0" collapsed="false">
      <c r="A3" s="571"/>
      <c r="B3" s="571"/>
      <c r="C3" s="571"/>
    </row>
    <row r="4" customFormat="false" ht="16.15" hidden="false" customHeight="false" outlineLevel="0" collapsed="false">
      <c r="A4" s="572" t="s">
        <v>516</v>
      </c>
      <c r="B4" s="573"/>
      <c r="C4" s="573"/>
    </row>
    <row r="5" customFormat="false" ht="46.25" hidden="false" customHeight="false" outlineLevel="0" collapsed="false">
      <c r="A5" s="574" t="s">
        <v>517</v>
      </c>
      <c r="B5" s="575" t="s">
        <v>518</v>
      </c>
      <c r="C5" s="575" t="s">
        <v>519</v>
      </c>
    </row>
    <row r="6" customFormat="false" ht="15" hidden="false" customHeight="false" outlineLevel="0" collapsed="false">
      <c r="A6" s="575" t="s">
        <v>520</v>
      </c>
      <c r="B6" s="575" t="s">
        <v>521</v>
      </c>
      <c r="C6" s="575" t="s">
        <v>521</v>
      </c>
    </row>
    <row r="7" customFormat="false" ht="15" hidden="false" customHeight="false" outlineLevel="0" collapsed="false">
      <c r="A7" s="575" t="s">
        <v>522</v>
      </c>
      <c r="B7" s="575" t="s">
        <v>523</v>
      </c>
      <c r="C7" s="575" t="s">
        <v>524</v>
      </c>
    </row>
    <row r="8" customFormat="false" ht="15" hidden="false" customHeight="false" outlineLevel="0" collapsed="false">
      <c r="A8" s="575" t="s">
        <v>525</v>
      </c>
      <c r="B8" s="575" t="s">
        <v>526</v>
      </c>
      <c r="C8" s="575" t="s">
        <v>527</v>
      </c>
    </row>
    <row r="9" customFormat="false" ht="15" hidden="false" customHeight="false" outlineLevel="0" collapsed="false">
      <c r="A9" s="576"/>
    </row>
    <row r="10" customFormat="false" ht="32.25" hidden="false" customHeight="true" outlineLevel="0" collapsed="false">
      <c r="A10" s="569"/>
      <c r="B10" s="570" t="s">
        <v>528</v>
      </c>
      <c r="C10" s="570" t="s">
        <v>529</v>
      </c>
    </row>
    <row r="11" customFormat="false" ht="317.25" hidden="false" customHeight="true" outlineLevel="0" collapsed="false">
      <c r="A11" s="571"/>
      <c r="B11" s="571"/>
      <c r="C11" s="317"/>
    </row>
    <row r="12" customFormat="false" ht="16.15" hidden="false" customHeight="false" outlineLevel="0" collapsed="false">
      <c r="A12" s="572" t="s">
        <v>516</v>
      </c>
      <c r="B12" s="573"/>
      <c r="C12" s="573"/>
    </row>
    <row r="13" customFormat="false" ht="46.25" hidden="false" customHeight="false" outlineLevel="0" collapsed="false">
      <c r="A13" s="574" t="s">
        <v>517</v>
      </c>
      <c r="B13" s="575" t="s">
        <v>530</v>
      </c>
      <c r="C13" s="575" t="s">
        <v>531</v>
      </c>
    </row>
    <row r="14" customFormat="false" ht="15" hidden="false" customHeight="false" outlineLevel="0" collapsed="false">
      <c r="A14" s="575" t="s">
        <v>520</v>
      </c>
      <c r="B14" s="575" t="s">
        <v>532</v>
      </c>
      <c r="C14" s="575" t="s">
        <v>532</v>
      </c>
    </row>
    <row r="15" customFormat="false" ht="15" hidden="false" customHeight="false" outlineLevel="0" collapsed="false">
      <c r="A15" s="575" t="s">
        <v>522</v>
      </c>
      <c r="B15" s="575" t="s">
        <v>524</v>
      </c>
      <c r="C15" s="575" t="s">
        <v>524</v>
      </c>
    </row>
    <row r="16" customFormat="false" ht="15" hidden="false" customHeight="false" outlineLevel="0" collapsed="false">
      <c r="A16" s="575" t="s">
        <v>525</v>
      </c>
      <c r="B16" s="575" t="s">
        <v>533</v>
      </c>
      <c r="C16" s="575" t="s">
        <v>533</v>
      </c>
    </row>
  </sheetData>
  <mergeCells count="1">
    <mergeCell ref="A1:C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A10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21.43"/>
    <col collapsed="false" customWidth="true" hidden="false" outlineLevel="0" max="53" min="2" style="0" width="8.71"/>
  </cols>
  <sheetData>
    <row r="1" customFormat="false" ht="16.15" hidden="true" customHeight="false" outlineLevel="0" collapsed="false">
      <c r="A1" s="577" t="n">
        <v>3</v>
      </c>
    </row>
    <row r="2" customFormat="false" ht="15" hidden="true" customHeight="false" outlineLevel="0" collapsed="false">
      <c r="A2" s="4" t="s">
        <v>534</v>
      </c>
      <c r="AA2" s="6" t="n">
        <v>1922</v>
      </c>
      <c r="AH2" s="6" t="n">
        <v>1992</v>
      </c>
    </row>
    <row r="3" customFormat="false" ht="15" hidden="true" customHeight="false" outlineLevel="0" collapsed="false">
      <c r="A3" s="571" t="s">
        <v>535</v>
      </c>
      <c r="B3" s="578" t="n">
        <v>1800</v>
      </c>
      <c r="C3" s="578" t="n">
        <v>1810</v>
      </c>
      <c r="D3" s="578" t="n">
        <v>1820</v>
      </c>
      <c r="E3" s="578" t="n">
        <v>1830</v>
      </c>
      <c r="F3" s="578" t="n">
        <v>1840</v>
      </c>
      <c r="G3" s="578" t="n">
        <v>1850</v>
      </c>
      <c r="H3" s="578" t="n">
        <v>1860</v>
      </c>
      <c r="I3" s="578" t="n">
        <v>1870</v>
      </c>
      <c r="J3" s="578" t="n">
        <v>1880</v>
      </c>
      <c r="K3" s="578" t="n">
        <v>1890</v>
      </c>
      <c r="L3" s="578" t="n">
        <v>1900</v>
      </c>
      <c r="M3" s="578" t="n">
        <v>1910</v>
      </c>
      <c r="N3" s="578" t="n">
        <v>1920</v>
      </c>
      <c r="O3" s="578" t="n">
        <v>1930</v>
      </c>
      <c r="P3" s="578" t="n">
        <v>1940</v>
      </c>
      <c r="Q3" s="578" t="n">
        <v>1950</v>
      </c>
      <c r="R3" s="578" t="n">
        <v>1960</v>
      </c>
      <c r="S3" s="578" t="n">
        <v>1970</v>
      </c>
      <c r="T3" s="578" t="n">
        <v>1980</v>
      </c>
      <c r="U3" s="578" t="n">
        <v>1990</v>
      </c>
      <c r="V3" s="578" t="n">
        <v>2000</v>
      </c>
      <c r="W3" s="578" t="n">
        <v>2010</v>
      </c>
      <c r="X3" s="578" t="n">
        <v>2020</v>
      </c>
      <c r="Y3" s="578" t="n">
        <v>2030</v>
      </c>
      <c r="Z3" s="578" t="n">
        <v>2040</v>
      </c>
      <c r="AA3" s="578" t="n">
        <v>2050</v>
      </c>
      <c r="AB3" s="578" t="n">
        <v>2060</v>
      </c>
      <c r="AC3" s="578" t="n">
        <v>2070</v>
      </c>
      <c r="AD3" s="578" t="n">
        <v>2080</v>
      </c>
      <c r="AE3" s="578" t="n">
        <v>2090</v>
      </c>
      <c r="AF3" s="578" t="n">
        <v>2100</v>
      </c>
      <c r="AG3" s="578" t="n">
        <v>2110</v>
      </c>
      <c r="AH3" s="578" t="n">
        <v>2120</v>
      </c>
      <c r="AI3" s="578" t="n">
        <v>2130</v>
      </c>
      <c r="AJ3" s="578" t="n">
        <v>2140</v>
      </c>
      <c r="AK3" s="578" t="n">
        <v>2150</v>
      </c>
      <c r="AL3" s="578" t="n">
        <v>2160</v>
      </c>
      <c r="AM3" s="578" t="n">
        <v>2170</v>
      </c>
      <c r="AN3" s="571" t="n">
        <v>2180</v>
      </c>
      <c r="AO3" s="571" t="n">
        <v>2190</v>
      </c>
      <c r="AP3" s="571" t="n">
        <v>2200</v>
      </c>
      <c r="AQ3" s="571" t="n">
        <v>2210</v>
      </c>
      <c r="AR3" s="571" t="n">
        <v>2220</v>
      </c>
      <c r="AS3" s="571" t="n">
        <v>2230</v>
      </c>
      <c r="AT3" s="571" t="n">
        <v>2240</v>
      </c>
      <c r="AU3" s="571" t="n">
        <v>2250</v>
      </c>
      <c r="AV3" s="571" t="n">
        <v>2260</v>
      </c>
      <c r="AW3" s="571" t="n">
        <v>2270</v>
      </c>
      <c r="AX3" s="571" t="n">
        <v>2280</v>
      </c>
      <c r="AY3" s="571" t="n">
        <v>2290</v>
      </c>
      <c r="AZ3" s="571" t="n">
        <v>2300</v>
      </c>
    </row>
    <row r="4" customFormat="false" ht="15" hidden="true" customHeight="false" outlineLevel="0" collapsed="false">
      <c r="A4" s="571" t="s">
        <v>536</v>
      </c>
      <c r="B4" s="579" t="n">
        <v>1673</v>
      </c>
      <c r="C4" s="579" t="n">
        <v>1683</v>
      </c>
      <c r="D4" s="579" t="n">
        <v>1693</v>
      </c>
      <c r="E4" s="579" t="n">
        <v>1703</v>
      </c>
      <c r="F4" s="579" t="n">
        <v>1713</v>
      </c>
      <c r="G4" s="579" t="n">
        <v>1723</v>
      </c>
      <c r="H4" s="579" t="n">
        <v>1733</v>
      </c>
      <c r="I4" s="579" t="n">
        <v>1743</v>
      </c>
      <c r="J4" s="579" t="n">
        <v>1753</v>
      </c>
      <c r="K4" s="579" t="n">
        <v>1763</v>
      </c>
      <c r="L4" s="579" t="n">
        <v>1773</v>
      </c>
      <c r="M4" s="579" t="n">
        <v>1783</v>
      </c>
      <c r="N4" s="579" t="n">
        <v>1793</v>
      </c>
      <c r="O4" s="579" t="n">
        <v>1803</v>
      </c>
      <c r="P4" s="579" t="n">
        <v>1813</v>
      </c>
      <c r="Q4" s="579" t="n">
        <v>1823</v>
      </c>
      <c r="R4" s="579" t="n">
        <v>1833</v>
      </c>
      <c r="S4" s="579" t="n">
        <v>1843</v>
      </c>
      <c r="T4" s="579" t="n">
        <v>1853</v>
      </c>
      <c r="U4" s="579" t="n">
        <v>1863</v>
      </c>
      <c r="V4" s="579" t="n">
        <v>1873</v>
      </c>
      <c r="W4" s="579" t="n">
        <v>1883</v>
      </c>
      <c r="X4" s="579" t="n">
        <v>1893</v>
      </c>
      <c r="Y4" s="579" t="n">
        <v>1903</v>
      </c>
      <c r="Z4" s="579" t="n">
        <v>1913</v>
      </c>
      <c r="AA4" s="579" t="n">
        <v>1923</v>
      </c>
      <c r="AB4" s="579" t="n">
        <v>1933</v>
      </c>
      <c r="AC4" s="579" t="n">
        <v>1943</v>
      </c>
      <c r="AD4" s="579" t="n">
        <v>1953</v>
      </c>
      <c r="AE4" s="579" t="n">
        <v>1963</v>
      </c>
      <c r="AF4" s="579" t="n">
        <v>1973</v>
      </c>
      <c r="AG4" s="579" t="n">
        <v>1983</v>
      </c>
      <c r="AH4" s="579" t="n">
        <v>1993</v>
      </c>
      <c r="AI4" s="580" t="n">
        <v>2003</v>
      </c>
      <c r="AJ4" s="580" t="n">
        <v>2013</v>
      </c>
      <c r="AK4" s="580" t="n">
        <v>2023</v>
      </c>
      <c r="AL4" s="580" t="n">
        <v>2033</v>
      </c>
      <c r="AM4" s="580" t="n">
        <v>2043</v>
      </c>
      <c r="AN4" s="80" t="n">
        <v>2053</v>
      </c>
      <c r="AO4" s="80" t="n">
        <v>2063</v>
      </c>
      <c r="AP4" s="80" t="n">
        <v>2073</v>
      </c>
      <c r="AQ4" s="80" t="n">
        <v>2083</v>
      </c>
      <c r="AR4" s="80" t="n">
        <v>2093</v>
      </c>
      <c r="AS4" s="80" t="n">
        <v>2103</v>
      </c>
      <c r="AT4" s="80" t="n">
        <v>2113</v>
      </c>
      <c r="AU4" s="80" t="n">
        <v>2123</v>
      </c>
      <c r="AV4" s="80" t="n">
        <v>2133</v>
      </c>
      <c r="AW4" s="80" t="n">
        <v>2143</v>
      </c>
      <c r="AX4" s="80" t="n">
        <v>2153</v>
      </c>
      <c r="AY4" s="80" t="n">
        <v>2163</v>
      </c>
      <c r="AZ4" s="80" t="n">
        <v>2173</v>
      </c>
    </row>
    <row r="5" customFormat="false" ht="15" hidden="true" customHeight="false" outlineLevel="0" collapsed="false">
      <c r="A5" s="571" t="s">
        <v>537</v>
      </c>
      <c r="B5" s="571"/>
      <c r="C5" s="571"/>
      <c r="D5" s="578" t="n">
        <v>800</v>
      </c>
      <c r="E5" s="578" t="n">
        <v>810</v>
      </c>
      <c r="F5" s="578" t="n">
        <v>820</v>
      </c>
      <c r="G5" s="578" t="n">
        <v>830</v>
      </c>
      <c r="H5" s="578" t="n">
        <v>840</v>
      </c>
      <c r="I5" s="578" t="n">
        <v>850</v>
      </c>
      <c r="J5" s="578" t="n">
        <v>860</v>
      </c>
      <c r="K5" s="578" t="n">
        <v>870</v>
      </c>
      <c r="L5" s="578" t="n">
        <v>880</v>
      </c>
      <c r="M5" s="578" t="n">
        <v>890</v>
      </c>
      <c r="N5" s="578" t="n">
        <v>900</v>
      </c>
      <c r="O5" s="578" t="n">
        <v>910</v>
      </c>
      <c r="P5" s="578" t="n">
        <v>920</v>
      </c>
      <c r="Q5" s="578" t="n">
        <v>930</v>
      </c>
      <c r="R5" s="578" t="n">
        <v>940</v>
      </c>
      <c r="S5" s="578" t="n">
        <v>950</v>
      </c>
      <c r="T5" s="578" t="n">
        <v>960</v>
      </c>
      <c r="U5" s="578" t="n">
        <v>970</v>
      </c>
      <c r="V5" s="578" t="n">
        <v>980</v>
      </c>
      <c r="W5" s="578" t="n">
        <v>990</v>
      </c>
      <c r="X5" s="578" t="n">
        <v>1000</v>
      </c>
      <c r="Y5" s="578" t="n">
        <v>1010</v>
      </c>
      <c r="Z5" s="578" t="n">
        <v>1020</v>
      </c>
      <c r="AA5" s="578" t="n">
        <v>1030</v>
      </c>
      <c r="AB5" s="578" t="n">
        <v>1040</v>
      </c>
      <c r="AC5" s="578" t="n">
        <v>1050</v>
      </c>
      <c r="AD5" s="571"/>
      <c r="AE5" s="571"/>
      <c r="AF5" s="571"/>
      <c r="AG5" s="571"/>
      <c r="AH5" s="571"/>
      <c r="AI5" s="571"/>
      <c r="AJ5" s="571"/>
      <c r="AK5" s="571"/>
      <c r="AL5" s="571"/>
      <c r="AM5" s="571"/>
      <c r="AN5" s="571"/>
      <c r="AO5" s="571"/>
      <c r="AP5" s="571"/>
      <c r="AQ5" s="571"/>
      <c r="AR5" s="571"/>
      <c r="AS5" s="571"/>
      <c r="AT5" s="571"/>
      <c r="AU5" s="571"/>
      <c r="AV5" s="571"/>
      <c r="AW5" s="571"/>
      <c r="AX5" s="571"/>
      <c r="AY5" s="571"/>
      <c r="AZ5" s="571"/>
    </row>
    <row r="6" customFormat="false" ht="15" hidden="true" customHeight="false" outlineLevel="0" collapsed="false">
      <c r="A6" s="571" t="s">
        <v>538</v>
      </c>
      <c r="B6" s="571"/>
      <c r="C6" s="571"/>
      <c r="D6" s="579" t="n">
        <v>672</v>
      </c>
      <c r="E6" s="579" t="n">
        <v>682</v>
      </c>
      <c r="F6" s="579" t="n">
        <v>692</v>
      </c>
      <c r="G6" s="579" t="n">
        <v>702</v>
      </c>
      <c r="H6" s="579" t="n">
        <v>712</v>
      </c>
      <c r="I6" s="579" t="n">
        <v>722</v>
      </c>
      <c r="J6" s="579" t="n">
        <v>732</v>
      </c>
      <c r="K6" s="579" t="n">
        <v>742</v>
      </c>
      <c r="L6" s="579" t="n">
        <v>752</v>
      </c>
      <c r="M6" s="579" t="n">
        <v>762</v>
      </c>
      <c r="N6" s="579" t="n">
        <v>772</v>
      </c>
      <c r="O6" s="579" t="n">
        <v>782</v>
      </c>
      <c r="P6" s="579" t="n">
        <v>792</v>
      </c>
      <c r="Q6" s="579" t="n">
        <v>802</v>
      </c>
      <c r="R6" s="579" t="n">
        <v>812</v>
      </c>
      <c r="S6" s="579" t="n">
        <v>822</v>
      </c>
      <c r="T6" s="579" t="n">
        <v>832</v>
      </c>
      <c r="U6" s="579" t="n">
        <v>842</v>
      </c>
      <c r="V6" s="579" t="n">
        <v>852</v>
      </c>
      <c r="W6" s="579" t="n">
        <v>862</v>
      </c>
      <c r="X6" s="579" t="n">
        <v>872</v>
      </c>
      <c r="Y6" s="579" t="n">
        <v>882</v>
      </c>
      <c r="Z6" s="579" t="n">
        <v>892</v>
      </c>
      <c r="AA6" s="579" t="n">
        <v>902</v>
      </c>
      <c r="AB6" s="579" t="n">
        <v>912</v>
      </c>
      <c r="AC6" s="579" t="n">
        <v>922</v>
      </c>
      <c r="AD6" s="571"/>
      <c r="AE6" s="571"/>
      <c r="AF6" s="571"/>
      <c r="AG6" s="571"/>
      <c r="AH6" s="571"/>
      <c r="AI6" s="571"/>
      <c r="AJ6" s="571"/>
      <c r="AK6" s="571"/>
      <c r="AL6" s="571"/>
      <c r="AM6" s="571"/>
      <c r="AN6" s="571"/>
      <c r="AO6" s="571"/>
      <c r="AP6" s="571"/>
      <c r="AQ6" s="571"/>
      <c r="AR6" s="571"/>
      <c r="AS6" s="571"/>
      <c r="AT6" s="571"/>
      <c r="AU6" s="571"/>
      <c r="AV6" s="571"/>
      <c r="AW6" s="571"/>
      <c r="AX6" s="571"/>
      <c r="AY6" s="571"/>
      <c r="AZ6" s="571"/>
    </row>
    <row r="7" customFormat="false" ht="15" hidden="true" customHeight="false" outlineLevel="0" collapsed="false"/>
    <row r="8" customFormat="false" ht="15" hidden="true" customHeight="false" outlineLevel="0" collapsed="false">
      <c r="A8" s="4" t="s">
        <v>539</v>
      </c>
    </row>
    <row r="9" customFormat="false" ht="15" hidden="true" customHeight="false" outlineLevel="0" collapsed="false">
      <c r="A9" s="571" t="s">
        <v>535</v>
      </c>
      <c r="B9" s="578" t="n">
        <v>1800</v>
      </c>
      <c r="C9" s="578" t="n">
        <v>1810</v>
      </c>
      <c r="D9" s="578" t="n">
        <v>1820</v>
      </c>
      <c r="E9" s="578" t="n">
        <v>1830</v>
      </c>
      <c r="F9" s="578" t="n">
        <v>1840</v>
      </c>
      <c r="G9" s="578" t="n">
        <v>1850</v>
      </c>
      <c r="H9" s="578" t="n">
        <v>1860</v>
      </c>
      <c r="I9" s="578" t="n">
        <v>1870</v>
      </c>
      <c r="J9" s="578" t="n">
        <v>1880</v>
      </c>
      <c r="K9" s="578" t="n">
        <v>1890</v>
      </c>
      <c r="L9" s="578" t="n">
        <v>1900</v>
      </c>
      <c r="M9" s="578" t="n">
        <v>1910</v>
      </c>
      <c r="N9" s="578" t="n">
        <v>1920</v>
      </c>
      <c r="O9" s="578" t="n">
        <v>1930</v>
      </c>
      <c r="P9" s="578" t="n">
        <v>1940</v>
      </c>
      <c r="Q9" s="578" t="n">
        <v>1950</v>
      </c>
      <c r="R9" s="578" t="n">
        <v>1960</v>
      </c>
      <c r="S9" s="578" t="n">
        <v>1970</v>
      </c>
      <c r="T9" s="578" t="n">
        <v>1980</v>
      </c>
      <c r="U9" s="578" t="n">
        <v>1990</v>
      </c>
      <c r="V9" s="578" t="n">
        <v>2000</v>
      </c>
      <c r="W9" s="578" t="n">
        <v>2010</v>
      </c>
      <c r="X9" s="578" t="n">
        <v>2020</v>
      </c>
      <c r="Y9" s="578" t="n">
        <v>2030</v>
      </c>
      <c r="Z9" s="578" t="n">
        <v>2040</v>
      </c>
      <c r="AA9" s="578" t="n">
        <v>2050</v>
      </c>
      <c r="AB9" s="578" t="n">
        <v>2060</v>
      </c>
      <c r="AC9" s="578" t="n">
        <v>2070</v>
      </c>
      <c r="AD9" s="578" t="n">
        <v>2080</v>
      </c>
      <c r="AE9" s="578" t="n">
        <v>2090</v>
      </c>
      <c r="AF9" s="578" t="n">
        <v>2100</v>
      </c>
      <c r="AG9" s="578" t="n">
        <v>2110</v>
      </c>
      <c r="AH9" s="571" t="n">
        <v>2120</v>
      </c>
      <c r="AI9" s="571" t="n">
        <v>2130</v>
      </c>
      <c r="AJ9" s="571" t="n">
        <v>2140</v>
      </c>
      <c r="AK9" s="571" t="n">
        <v>2150</v>
      </c>
      <c r="AL9" s="571" t="n">
        <v>2160</v>
      </c>
      <c r="AM9" s="571" t="n">
        <v>2170</v>
      </c>
      <c r="AN9" s="571" t="n">
        <v>2180</v>
      </c>
      <c r="AO9" s="571" t="n">
        <v>2190</v>
      </c>
      <c r="AP9" s="571" t="n">
        <v>2200</v>
      </c>
      <c r="AQ9" s="571" t="n">
        <v>2210</v>
      </c>
      <c r="AR9" s="571" t="n">
        <v>2220</v>
      </c>
      <c r="AS9" s="571" t="n">
        <v>2230</v>
      </c>
      <c r="AT9" s="571" t="n">
        <v>2240</v>
      </c>
      <c r="AU9" s="571" t="n">
        <v>2250</v>
      </c>
      <c r="AV9" s="571" t="n">
        <v>2260</v>
      </c>
      <c r="AW9" s="571" t="n">
        <v>2270</v>
      </c>
      <c r="AX9" s="571" t="n">
        <v>2280</v>
      </c>
      <c r="AY9" s="571" t="n">
        <v>2290</v>
      </c>
      <c r="AZ9" s="571" t="n">
        <v>2300</v>
      </c>
    </row>
    <row r="10" customFormat="false" ht="15" hidden="true" customHeight="false" outlineLevel="0" collapsed="false">
      <c r="A10" s="571" t="s">
        <v>536</v>
      </c>
      <c r="B10" s="578" t="n">
        <v>1733</v>
      </c>
      <c r="C10" s="578" t="n">
        <v>1743</v>
      </c>
      <c r="D10" s="578" t="n">
        <v>1753</v>
      </c>
      <c r="E10" s="578" t="n">
        <v>1763</v>
      </c>
      <c r="F10" s="578" t="n">
        <v>1773</v>
      </c>
      <c r="G10" s="578" t="n">
        <v>1783</v>
      </c>
      <c r="H10" s="578" t="n">
        <v>1793</v>
      </c>
      <c r="I10" s="578" t="n">
        <v>1803</v>
      </c>
      <c r="J10" s="578" t="n">
        <v>1813</v>
      </c>
      <c r="K10" s="578" t="n">
        <v>1823</v>
      </c>
      <c r="L10" s="578" t="n">
        <v>1833</v>
      </c>
      <c r="M10" s="578" t="n">
        <v>1843</v>
      </c>
      <c r="N10" s="578" t="n">
        <v>1853</v>
      </c>
      <c r="O10" s="578" t="n">
        <v>1863</v>
      </c>
      <c r="P10" s="578" t="n">
        <v>1873</v>
      </c>
      <c r="Q10" s="578" t="n">
        <v>1883</v>
      </c>
      <c r="R10" s="578" t="n">
        <v>1893</v>
      </c>
      <c r="S10" s="578" t="n">
        <v>1903</v>
      </c>
      <c r="T10" s="578" t="n">
        <v>1913</v>
      </c>
      <c r="U10" s="578" t="n">
        <v>1923</v>
      </c>
      <c r="V10" s="578" t="n">
        <v>1933</v>
      </c>
      <c r="W10" s="578" t="n">
        <v>1943</v>
      </c>
      <c r="X10" s="578" t="n">
        <v>1953</v>
      </c>
      <c r="Y10" s="578" t="n">
        <v>1963</v>
      </c>
      <c r="Z10" s="578" t="n">
        <v>1973</v>
      </c>
      <c r="AA10" s="578" t="n">
        <v>1983</v>
      </c>
      <c r="AB10" s="578" t="n">
        <v>1993</v>
      </c>
      <c r="AC10" s="578" t="n">
        <v>2003</v>
      </c>
      <c r="AD10" s="578" t="n">
        <v>2013</v>
      </c>
      <c r="AE10" s="578" t="n">
        <v>2023</v>
      </c>
      <c r="AF10" s="578" t="n">
        <v>2033</v>
      </c>
      <c r="AG10" s="578" t="n">
        <v>2043</v>
      </c>
      <c r="AH10" s="571" t="n">
        <v>2053</v>
      </c>
      <c r="AI10" s="571" t="n">
        <v>2063</v>
      </c>
      <c r="AJ10" s="571" t="n">
        <v>2073</v>
      </c>
      <c r="AK10" s="571" t="n">
        <v>2083</v>
      </c>
      <c r="AL10" s="571" t="n">
        <v>2093</v>
      </c>
      <c r="AM10" s="571" t="n">
        <v>2103</v>
      </c>
      <c r="AN10" s="571" t="n">
        <v>2113</v>
      </c>
      <c r="AO10" s="571" t="n">
        <v>2123</v>
      </c>
      <c r="AP10" s="571" t="n">
        <v>2133</v>
      </c>
      <c r="AQ10" s="571" t="n">
        <v>2143</v>
      </c>
      <c r="AR10" s="571" t="n">
        <v>2153</v>
      </c>
      <c r="AS10" s="571" t="n">
        <v>2163</v>
      </c>
      <c r="AT10" s="571" t="n">
        <v>2173</v>
      </c>
      <c r="AU10" s="571" t="n">
        <v>2183</v>
      </c>
      <c r="AV10" s="571" t="n">
        <v>2193</v>
      </c>
      <c r="AW10" s="571" t="n">
        <v>2203</v>
      </c>
      <c r="AX10" s="571" t="n">
        <v>2213</v>
      </c>
      <c r="AY10" s="571" t="n">
        <v>2223</v>
      </c>
      <c r="AZ10" s="571" t="n">
        <v>2233</v>
      </c>
    </row>
    <row r="11" customFormat="false" ht="15" hidden="true" customHeight="false" outlineLevel="0" collapsed="false">
      <c r="A11" s="571" t="s">
        <v>537</v>
      </c>
      <c r="B11" s="571"/>
      <c r="C11" s="571"/>
      <c r="D11" s="578" t="n">
        <v>800</v>
      </c>
      <c r="E11" s="578" t="n">
        <v>810</v>
      </c>
      <c r="F11" s="578" t="n">
        <v>820</v>
      </c>
      <c r="G11" s="578" t="n">
        <v>830</v>
      </c>
      <c r="H11" s="578" t="n">
        <v>840</v>
      </c>
      <c r="I11" s="578" t="n">
        <v>850</v>
      </c>
      <c r="J11" s="578" t="n">
        <v>860</v>
      </c>
      <c r="K11" s="578" t="n">
        <v>870</v>
      </c>
      <c r="L11" s="578" t="n">
        <v>880</v>
      </c>
      <c r="M11" s="578" t="n">
        <v>890</v>
      </c>
      <c r="N11" s="578" t="n">
        <v>900</v>
      </c>
      <c r="O11" s="578" t="n">
        <v>910</v>
      </c>
      <c r="P11" s="578" t="n">
        <v>920</v>
      </c>
      <c r="Q11" s="578" t="n">
        <v>930</v>
      </c>
      <c r="R11" s="578" t="n">
        <v>940</v>
      </c>
      <c r="S11" s="578" t="n">
        <v>950</v>
      </c>
      <c r="T11" s="578" t="n">
        <v>960</v>
      </c>
      <c r="U11" s="578" t="n">
        <v>970</v>
      </c>
      <c r="V11" s="578" t="n">
        <v>980</v>
      </c>
      <c r="W11" s="578" t="n">
        <v>990</v>
      </c>
      <c r="X11" s="571" t="n">
        <v>1000</v>
      </c>
      <c r="Y11" s="571" t="n">
        <v>1010</v>
      </c>
      <c r="Z11" s="571" t="n">
        <v>1020</v>
      </c>
      <c r="AA11" s="571" t="n">
        <v>1030</v>
      </c>
      <c r="AB11" s="571" t="n">
        <v>1040</v>
      </c>
      <c r="AC11" s="571" t="n">
        <v>1050</v>
      </c>
      <c r="AD11" s="571"/>
      <c r="AE11" s="571"/>
      <c r="AF11" s="571"/>
      <c r="AG11" s="571"/>
      <c r="AH11" s="571"/>
      <c r="AI11" s="571"/>
      <c r="AJ11" s="571"/>
      <c r="AK11" s="571"/>
      <c r="AL11" s="571"/>
      <c r="AM11" s="571"/>
      <c r="AN11" s="571"/>
      <c r="AO11" s="571"/>
      <c r="AP11" s="571"/>
      <c r="AQ11" s="571"/>
      <c r="AR11" s="571"/>
      <c r="AS11" s="571"/>
      <c r="AT11" s="571"/>
      <c r="AU11" s="571"/>
      <c r="AV11" s="571"/>
      <c r="AW11" s="571"/>
      <c r="AX11" s="571"/>
      <c r="AY11" s="571"/>
      <c r="AZ11" s="571"/>
    </row>
    <row r="12" customFormat="false" ht="15" hidden="true" customHeight="false" outlineLevel="0" collapsed="false">
      <c r="A12" s="571" t="s">
        <v>538</v>
      </c>
      <c r="B12" s="571"/>
      <c r="C12" s="571"/>
      <c r="D12" s="578" t="n">
        <v>735</v>
      </c>
      <c r="E12" s="578" t="n">
        <v>745</v>
      </c>
      <c r="F12" s="578" t="n">
        <v>755</v>
      </c>
      <c r="G12" s="578" t="n">
        <v>765</v>
      </c>
      <c r="H12" s="578" t="n">
        <v>775</v>
      </c>
      <c r="I12" s="578" t="n">
        <v>785</v>
      </c>
      <c r="J12" s="578" t="n">
        <v>795</v>
      </c>
      <c r="K12" s="578" t="n">
        <v>805</v>
      </c>
      <c r="L12" s="578" t="n">
        <v>815</v>
      </c>
      <c r="M12" s="578" t="n">
        <v>825</v>
      </c>
      <c r="N12" s="578" t="n">
        <v>835</v>
      </c>
      <c r="O12" s="578" t="n">
        <v>845</v>
      </c>
      <c r="P12" s="578" t="n">
        <v>855</v>
      </c>
      <c r="Q12" s="578" t="n">
        <v>865</v>
      </c>
      <c r="R12" s="578" t="n">
        <v>875</v>
      </c>
      <c r="S12" s="578" t="n">
        <v>885</v>
      </c>
      <c r="T12" s="578" t="n">
        <v>895</v>
      </c>
      <c r="U12" s="578" t="n">
        <v>905</v>
      </c>
      <c r="V12" s="578" t="n">
        <v>915</v>
      </c>
      <c r="W12" s="578" t="n">
        <v>925</v>
      </c>
      <c r="X12" s="571" t="n">
        <v>935</v>
      </c>
      <c r="Y12" s="571" t="n">
        <v>945</v>
      </c>
      <c r="Z12" s="571" t="n">
        <v>955</v>
      </c>
      <c r="AA12" s="571" t="n">
        <v>965</v>
      </c>
      <c r="AB12" s="571" t="n">
        <v>975</v>
      </c>
      <c r="AC12" s="571" t="n">
        <v>985</v>
      </c>
      <c r="AD12" s="571"/>
      <c r="AE12" s="571"/>
      <c r="AF12" s="571"/>
      <c r="AG12" s="571"/>
      <c r="AH12" s="571"/>
      <c r="AI12" s="571"/>
      <c r="AJ12" s="571"/>
      <c r="AK12" s="571"/>
      <c r="AL12" s="571"/>
      <c r="AM12" s="571"/>
      <c r="AN12" s="571"/>
      <c r="AO12" s="571"/>
      <c r="AP12" s="571"/>
      <c r="AQ12" s="571"/>
      <c r="AR12" s="571"/>
      <c r="AS12" s="571"/>
      <c r="AT12" s="571"/>
      <c r="AU12" s="571"/>
      <c r="AV12" s="571"/>
      <c r="AW12" s="571"/>
      <c r="AX12" s="571"/>
      <c r="AY12" s="571"/>
      <c r="AZ12" s="571"/>
    </row>
    <row r="13" customFormat="false" ht="15" hidden="true" customHeight="false" outlineLevel="0" collapsed="false"/>
    <row r="14" customFormat="false" ht="15" hidden="true" customHeight="false" outlineLevel="0" collapsed="false">
      <c r="A14" s="4" t="s">
        <v>540</v>
      </c>
    </row>
    <row r="15" customFormat="false" ht="15" hidden="true" customHeight="false" outlineLevel="0" collapsed="false">
      <c r="A15" s="571" t="s">
        <v>535</v>
      </c>
      <c r="B15" s="571" t="n">
        <v>1800</v>
      </c>
      <c r="C15" s="571" t="n">
        <v>1810</v>
      </c>
      <c r="D15" s="571" t="n">
        <v>1820</v>
      </c>
      <c r="E15" s="571" t="n">
        <v>1830</v>
      </c>
      <c r="F15" s="571" t="n">
        <v>1840</v>
      </c>
      <c r="G15" s="571" t="n">
        <v>1850</v>
      </c>
      <c r="H15" s="571" t="n">
        <v>1860</v>
      </c>
      <c r="I15" s="571" t="n">
        <v>1870</v>
      </c>
      <c r="J15" s="571" t="n">
        <v>1880</v>
      </c>
      <c r="K15" s="571" t="n">
        <v>1890</v>
      </c>
      <c r="L15" s="571" t="n">
        <v>1900</v>
      </c>
      <c r="M15" s="571" t="n">
        <v>1910</v>
      </c>
      <c r="N15" s="571" t="n">
        <v>1920</v>
      </c>
      <c r="O15" s="571" t="n">
        <v>1930</v>
      </c>
      <c r="P15" s="571" t="n">
        <v>1940</v>
      </c>
      <c r="Q15" s="571" t="n">
        <v>1950</v>
      </c>
      <c r="R15" s="571" t="n">
        <v>1960</v>
      </c>
      <c r="S15" s="571" t="n">
        <v>1970</v>
      </c>
      <c r="T15" s="571" t="n">
        <v>1980</v>
      </c>
      <c r="U15" s="571" t="n">
        <v>1990</v>
      </c>
      <c r="V15" s="571" t="n">
        <v>2000</v>
      </c>
      <c r="W15" s="571" t="n">
        <v>2010</v>
      </c>
      <c r="X15" s="571" t="n">
        <v>2020</v>
      </c>
      <c r="Y15" s="571" t="n">
        <v>2030</v>
      </c>
      <c r="Z15" s="571" t="n">
        <v>2040</v>
      </c>
      <c r="AA15" s="571" t="n">
        <v>2050</v>
      </c>
      <c r="AB15" s="571" t="n">
        <v>2060</v>
      </c>
      <c r="AC15" s="571" t="n">
        <v>2070</v>
      </c>
      <c r="AD15" s="571" t="n">
        <v>2080</v>
      </c>
      <c r="AE15" s="571" t="n">
        <v>2090</v>
      </c>
      <c r="AF15" s="571" t="n">
        <v>2100</v>
      </c>
      <c r="AG15" s="571" t="n">
        <v>2110</v>
      </c>
      <c r="AH15" s="571" t="n">
        <v>2120</v>
      </c>
      <c r="AI15" s="571" t="n">
        <v>2130</v>
      </c>
      <c r="AJ15" s="571" t="n">
        <v>2140</v>
      </c>
      <c r="AK15" s="571" t="n">
        <v>2150</v>
      </c>
      <c r="AL15" s="571" t="n">
        <v>2160</v>
      </c>
      <c r="AM15" s="571" t="n">
        <v>2170</v>
      </c>
      <c r="AN15" s="571" t="n">
        <v>2180</v>
      </c>
      <c r="AO15" s="571" t="n">
        <v>2190</v>
      </c>
      <c r="AP15" s="571" t="n">
        <v>2200</v>
      </c>
      <c r="AQ15" s="571" t="n">
        <v>2210</v>
      </c>
      <c r="AR15" s="571" t="n">
        <v>2220</v>
      </c>
      <c r="AS15" s="571" t="n">
        <v>2230</v>
      </c>
      <c r="AT15" s="571" t="n">
        <v>2240</v>
      </c>
      <c r="AU15" s="571" t="n">
        <v>2250</v>
      </c>
      <c r="AV15" s="571" t="n">
        <v>2260</v>
      </c>
      <c r="AW15" s="571" t="n">
        <v>2270</v>
      </c>
      <c r="AX15" s="571" t="n">
        <v>2280</v>
      </c>
      <c r="AY15" s="571" t="n">
        <v>2290</v>
      </c>
      <c r="AZ15" s="571" t="n">
        <v>2300</v>
      </c>
    </row>
    <row r="16" customFormat="false" ht="15" hidden="true" customHeight="false" outlineLevel="0" collapsed="false">
      <c r="A16" s="571" t="s">
        <v>536</v>
      </c>
      <c r="B16" s="80" t="n">
        <v>1740</v>
      </c>
      <c r="C16" s="80" t="n">
        <v>1750</v>
      </c>
      <c r="D16" s="80" t="n">
        <v>1760</v>
      </c>
      <c r="E16" s="80" t="n">
        <v>1770</v>
      </c>
      <c r="F16" s="80" t="n">
        <v>1780</v>
      </c>
      <c r="G16" s="80" t="n">
        <v>1790</v>
      </c>
      <c r="H16" s="80" t="n">
        <v>1800</v>
      </c>
      <c r="I16" s="80" t="n">
        <v>1810</v>
      </c>
      <c r="J16" s="80" t="n">
        <v>1820</v>
      </c>
      <c r="K16" s="80" t="n">
        <v>1830</v>
      </c>
      <c r="L16" s="80" t="n">
        <v>1840</v>
      </c>
      <c r="M16" s="80" t="n">
        <v>1850</v>
      </c>
      <c r="N16" s="80" t="n">
        <v>1860</v>
      </c>
      <c r="O16" s="80" t="n">
        <v>1870</v>
      </c>
      <c r="P16" s="80" t="n">
        <v>1880</v>
      </c>
      <c r="Q16" s="80" t="n">
        <v>1890</v>
      </c>
      <c r="R16" s="80" t="n">
        <v>1900</v>
      </c>
      <c r="S16" s="80" t="n">
        <v>1910</v>
      </c>
      <c r="T16" s="80" t="n">
        <v>1920</v>
      </c>
      <c r="U16" s="80" t="n">
        <v>1930</v>
      </c>
      <c r="V16" s="80" t="n">
        <v>1940</v>
      </c>
      <c r="W16" s="80" t="n">
        <v>1950</v>
      </c>
      <c r="X16" s="80" t="n">
        <v>1960</v>
      </c>
      <c r="Y16" s="80" t="n">
        <v>1970</v>
      </c>
      <c r="Z16" s="80" t="n">
        <v>1980</v>
      </c>
      <c r="AA16" s="80" t="n">
        <v>1990</v>
      </c>
      <c r="AB16" s="80" t="n">
        <v>2000</v>
      </c>
      <c r="AC16" s="80" t="n">
        <v>2010</v>
      </c>
      <c r="AD16" s="80" t="n">
        <v>2020</v>
      </c>
      <c r="AE16" s="80" t="n">
        <v>2030</v>
      </c>
      <c r="AF16" s="80" t="n">
        <v>2040</v>
      </c>
      <c r="AG16" s="80" t="n">
        <v>2050</v>
      </c>
      <c r="AH16" s="80" t="n">
        <v>2060</v>
      </c>
      <c r="AI16" s="80" t="n">
        <v>2070</v>
      </c>
      <c r="AJ16" s="80" t="n">
        <v>2080</v>
      </c>
      <c r="AK16" s="80" t="n">
        <v>2090</v>
      </c>
      <c r="AL16" s="80" t="n">
        <v>2100</v>
      </c>
      <c r="AM16" s="80" t="n">
        <v>2110</v>
      </c>
      <c r="AN16" s="80" t="n">
        <v>2120</v>
      </c>
      <c r="AO16" s="80" t="n">
        <v>2130</v>
      </c>
      <c r="AP16" s="80" t="n">
        <v>2140</v>
      </c>
      <c r="AQ16" s="80" t="n">
        <v>2150</v>
      </c>
      <c r="AR16" s="80" t="n">
        <v>2160</v>
      </c>
      <c r="AS16" s="80" t="n">
        <v>2170</v>
      </c>
      <c r="AT16" s="80" t="n">
        <v>2180</v>
      </c>
      <c r="AU16" s="80" t="n">
        <v>2190</v>
      </c>
      <c r="AV16" s="80" t="n">
        <v>2200</v>
      </c>
      <c r="AW16" s="80" t="n">
        <v>2210</v>
      </c>
      <c r="AX16" s="80" t="n">
        <v>2220</v>
      </c>
      <c r="AY16" s="80" t="n">
        <v>2230</v>
      </c>
      <c r="AZ16" s="80" t="n">
        <v>2240</v>
      </c>
    </row>
    <row r="17" customFormat="false" ht="15" hidden="true" customHeight="false" outlineLevel="0" collapsed="false">
      <c r="A17" s="571" t="s">
        <v>537</v>
      </c>
      <c r="B17" s="571"/>
      <c r="C17" s="571"/>
      <c r="D17" s="571" t="n">
        <v>800</v>
      </c>
      <c r="E17" s="571" t="n">
        <v>810</v>
      </c>
      <c r="F17" s="571" t="n">
        <v>820</v>
      </c>
      <c r="G17" s="571" t="n">
        <v>830</v>
      </c>
      <c r="H17" s="571" t="n">
        <v>840</v>
      </c>
      <c r="I17" s="571" t="n">
        <v>850</v>
      </c>
      <c r="J17" s="571" t="n">
        <v>860</v>
      </c>
      <c r="K17" s="571" t="n">
        <v>870</v>
      </c>
      <c r="L17" s="571" t="n">
        <v>880</v>
      </c>
      <c r="M17" s="571" t="n">
        <v>890</v>
      </c>
      <c r="N17" s="571" t="n">
        <v>900</v>
      </c>
      <c r="O17" s="571" t="n">
        <v>910</v>
      </c>
      <c r="P17" s="571" t="n">
        <v>920</v>
      </c>
      <c r="Q17" s="571" t="n">
        <v>930</v>
      </c>
      <c r="R17" s="571" t="n">
        <v>940</v>
      </c>
      <c r="S17" s="571" t="n">
        <v>950</v>
      </c>
      <c r="T17" s="571" t="n">
        <v>960</v>
      </c>
      <c r="U17" s="571" t="n">
        <v>970</v>
      </c>
      <c r="V17" s="571" t="n">
        <v>980</v>
      </c>
      <c r="W17" s="571" t="n">
        <v>990</v>
      </c>
      <c r="X17" s="571" t="n">
        <v>1000</v>
      </c>
      <c r="Y17" s="571" t="n">
        <v>1010</v>
      </c>
      <c r="Z17" s="571" t="n">
        <v>1020</v>
      </c>
      <c r="AA17" s="571" t="n">
        <v>1030</v>
      </c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1"/>
      <c r="AQ17" s="571"/>
      <c r="AR17" s="571"/>
      <c r="AS17" s="571"/>
      <c r="AT17" s="571"/>
      <c r="AU17" s="571"/>
      <c r="AV17" s="571"/>
      <c r="AW17" s="571"/>
      <c r="AX17" s="571"/>
      <c r="AY17" s="571"/>
      <c r="AZ17" s="571"/>
    </row>
    <row r="18" customFormat="false" ht="15" hidden="true" customHeight="false" outlineLevel="0" collapsed="false">
      <c r="A18" s="571" t="s">
        <v>538</v>
      </c>
      <c r="B18" s="571"/>
      <c r="C18" s="571"/>
      <c r="D18" s="80" t="n">
        <v>740</v>
      </c>
      <c r="E18" s="80" t="n">
        <v>750</v>
      </c>
      <c r="F18" s="80" t="n">
        <v>760</v>
      </c>
      <c r="G18" s="80" t="n">
        <v>770</v>
      </c>
      <c r="H18" s="80" t="n">
        <v>780</v>
      </c>
      <c r="I18" s="80" t="n">
        <v>790</v>
      </c>
      <c r="J18" s="80" t="n">
        <v>800</v>
      </c>
      <c r="K18" s="80" t="n">
        <v>810</v>
      </c>
      <c r="L18" s="80" t="n">
        <v>820</v>
      </c>
      <c r="M18" s="80" t="n">
        <v>830</v>
      </c>
      <c r="N18" s="80" t="n">
        <v>840</v>
      </c>
      <c r="O18" s="80" t="n">
        <v>850</v>
      </c>
      <c r="P18" s="80" t="n">
        <v>860</v>
      </c>
      <c r="Q18" s="80" t="n">
        <v>870</v>
      </c>
      <c r="R18" s="80" t="n">
        <v>880</v>
      </c>
      <c r="S18" s="80" t="n">
        <v>890</v>
      </c>
      <c r="T18" s="80" t="n">
        <v>900</v>
      </c>
      <c r="U18" s="80" t="n">
        <v>910</v>
      </c>
      <c r="V18" s="80" t="n">
        <v>920</v>
      </c>
      <c r="W18" s="80" t="n">
        <v>930</v>
      </c>
      <c r="X18" s="80" t="n">
        <v>940</v>
      </c>
      <c r="Y18" s="80" t="n">
        <v>950</v>
      </c>
      <c r="Z18" s="80" t="n">
        <v>960</v>
      </c>
      <c r="AA18" s="80" t="n">
        <v>970</v>
      </c>
      <c r="AB18" s="80"/>
      <c r="AC18" s="80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1"/>
      <c r="AQ18" s="571"/>
      <c r="AR18" s="571"/>
      <c r="AS18" s="571"/>
      <c r="AT18" s="571"/>
      <c r="AU18" s="571"/>
      <c r="AV18" s="571"/>
      <c r="AW18" s="571"/>
      <c r="AX18" s="571"/>
      <c r="AY18" s="571"/>
      <c r="AZ18" s="571"/>
    </row>
    <row r="19" customFormat="false" ht="15" hidden="true" customHeight="false" outlineLevel="0" collapsed="false"/>
    <row r="20" customFormat="false" ht="16.15" hidden="true" customHeight="false" outlineLevel="0" collapsed="false">
      <c r="A20" s="577"/>
    </row>
    <row r="21" customFormat="false" ht="16.15" hidden="true" customHeight="false" outlineLevel="0" collapsed="false">
      <c r="A21" s="577"/>
    </row>
    <row r="22" customFormat="false" ht="16.15" hidden="true" customHeight="false" outlineLevel="0" collapsed="false">
      <c r="A22" s="577"/>
    </row>
    <row r="23" customFormat="false" ht="16.15" hidden="true" customHeight="false" outlineLevel="0" collapsed="false">
      <c r="A23" s="577"/>
    </row>
    <row r="24" customFormat="false" ht="16.15" hidden="true" customHeight="false" outlineLevel="0" collapsed="false">
      <c r="A24" s="577"/>
    </row>
    <row r="25" customFormat="false" ht="16.15" hidden="true" customHeight="false" outlineLevel="0" collapsed="false">
      <c r="A25" s="577"/>
    </row>
    <row r="26" customFormat="false" ht="16.15" hidden="true" customHeight="false" outlineLevel="0" collapsed="false">
      <c r="A26" s="577" t="s">
        <v>541</v>
      </c>
    </row>
    <row r="27" customFormat="false" ht="15" hidden="true" customHeight="false" outlineLevel="0" collapsed="false">
      <c r="A27" s="6" t="s">
        <v>542</v>
      </c>
    </row>
    <row r="28" customFormat="false" ht="15" hidden="true" customHeight="false" outlineLevel="0" collapsed="false">
      <c r="B28" s="571"/>
      <c r="C28" s="571" t="n">
        <v>1800</v>
      </c>
      <c r="D28" s="571" t="n">
        <v>1810</v>
      </c>
      <c r="E28" s="571" t="n">
        <v>1820</v>
      </c>
      <c r="F28" s="571" t="n">
        <v>1830</v>
      </c>
      <c r="G28" s="571" t="n">
        <v>1840</v>
      </c>
      <c r="H28" s="571" t="n">
        <v>1850</v>
      </c>
      <c r="I28" s="571" t="n">
        <v>1860</v>
      </c>
      <c r="J28" s="571" t="n">
        <v>1870</v>
      </c>
      <c r="K28" s="571" t="n">
        <v>1880</v>
      </c>
      <c r="L28" s="571" t="n">
        <v>1890</v>
      </c>
      <c r="M28" s="571" t="n">
        <v>1900</v>
      </c>
      <c r="N28" s="571" t="n">
        <v>1910</v>
      </c>
      <c r="O28" s="571" t="n">
        <v>1920</v>
      </c>
      <c r="P28" s="571" t="n">
        <v>1930</v>
      </c>
      <c r="Q28" s="571" t="n">
        <v>1940</v>
      </c>
      <c r="R28" s="571" t="n">
        <v>1950</v>
      </c>
      <c r="S28" s="571" t="n">
        <v>1960</v>
      </c>
      <c r="T28" s="571" t="n">
        <v>1970</v>
      </c>
      <c r="U28" s="571" t="n">
        <v>1980</v>
      </c>
      <c r="V28" s="571" t="n">
        <v>1990</v>
      </c>
      <c r="W28" s="571" t="n">
        <v>2000</v>
      </c>
      <c r="X28" s="571" t="n">
        <v>2010</v>
      </c>
      <c r="Y28" s="571" t="n">
        <v>2020</v>
      </c>
      <c r="Z28" s="571" t="n">
        <v>2030</v>
      </c>
      <c r="AA28" s="571" t="n">
        <v>2040</v>
      </c>
      <c r="AB28" s="571" t="n">
        <v>2050</v>
      </c>
      <c r="AC28" s="571" t="n">
        <v>2060</v>
      </c>
      <c r="AD28" s="571" t="n">
        <v>2070</v>
      </c>
      <c r="AE28" s="571" t="n">
        <v>2080</v>
      </c>
      <c r="AF28" s="571" t="n">
        <v>2090</v>
      </c>
      <c r="AG28" s="571" t="n">
        <v>2100</v>
      </c>
      <c r="AH28" s="571" t="n">
        <v>2110</v>
      </c>
      <c r="AI28" s="571" t="n">
        <v>2120</v>
      </c>
      <c r="AJ28" s="571" t="n">
        <v>2130</v>
      </c>
      <c r="AK28" s="571" t="n">
        <v>2140</v>
      </c>
      <c r="AL28" s="571" t="n">
        <v>2150</v>
      </c>
      <c r="AM28" s="571" t="n">
        <v>2160</v>
      </c>
      <c r="AN28" s="571" t="n">
        <v>2170</v>
      </c>
      <c r="AO28" s="571" t="n">
        <v>2180</v>
      </c>
      <c r="AP28" s="571" t="n">
        <v>2190</v>
      </c>
      <c r="AQ28" s="571" t="n">
        <v>2200</v>
      </c>
      <c r="AR28" s="571" t="n">
        <v>2210</v>
      </c>
      <c r="AS28" s="571" t="n">
        <v>2220</v>
      </c>
      <c r="AT28" s="571" t="n">
        <v>2230</v>
      </c>
      <c r="AU28" s="571" t="n">
        <v>2240</v>
      </c>
      <c r="AV28" s="571" t="n">
        <v>2250</v>
      </c>
      <c r="AW28" s="571" t="n">
        <v>2260</v>
      </c>
      <c r="AX28" s="571" t="n">
        <v>2270</v>
      </c>
      <c r="AY28" s="571" t="n">
        <v>2280</v>
      </c>
      <c r="AZ28" s="571" t="n">
        <v>2290</v>
      </c>
      <c r="BA28" s="571" t="n">
        <v>2300</v>
      </c>
    </row>
    <row r="29" customFormat="false" ht="15" hidden="true" customHeight="false" outlineLevel="0" collapsed="false">
      <c r="B29" s="571" t="n">
        <v>800</v>
      </c>
      <c r="C29" s="581" t="s">
        <v>543</v>
      </c>
      <c r="D29" s="342" t="s">
        <v>543</v>
      </c>
      <c r="E29" s="581" t="s">
        <v>543</v>
      </c>
      <c r="F29" s="342" t="s">
        <v>543</v>
      </c>
      <c r="G29" s="581" t="s">
        <v>543</v>
      </c>
      <c r="H29" s="342" t="s">
        <v>543</v>
      </c>
      <c r="I29" s="581" t="s">
        <v>543</v>
      </c>
      <c r="J29" s="342" t="s">
        <v>543</v>
      </c>
      <c r="K29" s="581" t="s">
        <v>543</v>
      </c>
      <c r="L29" s="342" t="s">
        <v>543</v>
      </c>
      <c r="M29" s="581" t="s">
        <v>543</v>
      </c>
      <c r="N29" s="342" t="s">
        <v>543</v>
      </c>
      <c r="O29" s="581" t="s">
        <v>543</v>
      </c>
      <c r="P29" s="342" t="s">
        <v>543</v>
      </c>
      <c r="Q29" s="581" t="s">
        <v>543</v>
      </c>
      <c r="R29" s="342" t="s">
        <v>543</v>
      </c>
      <c r="S29" s="581" t="s">
        <v>543</v>
      </c>
      <c r="T29" s="342" t="s">
        <v>543</v>
      </c>
      <c r="U29" s="581" t="s">
        <v>543</v>
      </c>
      <c r="V29" s="342" t="s">
        <v>543</v>
      </c>
      <c r="W29" s="581" t="s">
        <v>543</v>
      </c>
      <c r="X29" s="342" t="s">
        <v>543</v>
      </c>
      <c r="Y29" s="581" t="s">
        <v>543</v>
      </c>
      <c r="Z29" s="342" t="s">
        <v>543</v>
      </c>
      <c r="AA29" s="581" t="s">
        <v>543</v>
      </c>
      <c r="AB29" s="342" t="s">
        <v>543</v>
      </c>
      <c r="AC29" s="581" t="s">
        <v>543</v>
      </c>
      <c r="AD29" s="342" t="s">
        <v>543</v>
      </c>
      <c r="AE29" s="581" t="s">
        <v>543</v>
      </c>
      <c r="AF29" s="342" t="s">
        <v>543</v>
      </c>
      <c r="AG29" s="581" t="s">
        <v>543</v>
      </c>
      <c r="AH29" s="582" t="s">
        <v>544</v>
      </c>
      <c r="AI29" s="583" t="s">
        <v>544</v>
      </c>
      <c r="AJ29" s="582" t="s">
        <v>544</v>
      </c>
      <c r="AK29" s="583" t="s">
        <v>544</v>
      </c>
      <c r="AL29" s="582" t="s">
        <v>544</v>
      </c>
      <c r="AM29" s="583" t="s">
        <v>544</v>
      </c>
      <c r="AN29" s="582" t="s">
        <v>544</v>
      </c>
      <c r="AO29" s="583" t="s">
        <v>544</v>
      </c>
      <c r="AP29" s="582" t="s">
        <v>544</v>
      </c>
      <c r="AQ29" s="583" t="s">
        <v>544</v>
      </c>
      <c r="AR29" s="582" t="s">
        <v>544</v>
      </c>
      <c r="AS29" s="583" t="s">
        <v>544</v>
      </c>
      <c r="AT29" s="582" t="s">
        <v>544</v>
      </c>
      <c r="AU29" s="583" t="s">
        <v>544</v>
      </c>
      <c r="AV29" s="582" t="s">
        <v>544</v>
      </c>
      <c r="AW29" s="583" t="s">
        <v>544</v>
      </c>
      <c r="AX29" s="582" t="s">
        <v>544</v>
      </c>
      <c r="AY29" s="583" t="s">
        <v>544</v>
      </c>
      <c r="AZ29" s="582" t="s">
        <v>544</v>
      </c>
      <c r="BA29" s="582" t="s">
        <v>544</v>
      </c>
    </row>
    <row r="30" customFormat="false" ht="15" hidden="true" customHeight="false" outlineLevel="0" collapsed="false">
      <c r="B30" s="571" t="n">
        <v>810</v>
      </c>
      <c r="C30" s="342" t="s">
        <v>543</v>
      </c>
      <c r="D30" s="581" t="s">
        <v>543</v>
      </c>
      <c r="E30" s="342" t="s">
        <v>543</v>
      </c>
      <c r="F30" s="581" t="s">
        <v>543</v>
      </c>
      <c r="G30" s="342" t="s">
        <v>543</v>
      </c>
      <c r="H30" s="581" t="s">
        <v>543</v>
      </c>
      <c r="I30" s="342" t="s">
        <v>543</v>
      </c>
      <c r="J30" s="581" t="s">
        <v>543</v>
      </c>
      <c r="K30" s="342" t="s">
        <v>543</v>
      </c>
      <c r="L30" s="581" t="s">
        <v>543</v>
      </c>
      <c r="M30" s="342" t="s">
        <v>543</v>
      </c>
      <c r="N30" s="581" t="s">
        <v>543</v>
      </c>
      <c r="O30" s="342" t="s">
        <v>543</v>
      </c>
      <c r="P30" s="581" t="s">
        <v>543</v>
      </c>
      <c r="Q30" s="342" t="s">
        <v>543</v>
      </c>
      <c r="R30" s="581" t="s">
        <v>543</v>
      </c>
      <c r="S30" s="342" t="s">
        <v>543</v>
      </c>
      <c r="T30" s="581" t="s">
        <v>543</v>
      </c>
      <c r="U30" s="342" t="s">
        <v>543</v>
      </c>
      <c r="V30" s="581" t="s">
        <v>543</v>
      </c>
      <c r="W30" s="342" t="s">
        <v>543</v>
      </c>
      <c r="X30" s="581" t="s">
        <v>543</v>
      </c>
      <c r="Y30" s="342" t="s">
        <v>543</v>
      </c>
      <c r="Z30" s="581" t="s">
        <v>543</v>
      </c>
      <c r="AA30" s="342" t="s">
        <v>543</v>
      </c>
      <c r="AB30" s="581" t="s">
        <v>543</v>
      </c>
      <c r="AC30" s="342" t="s">
        <v>543</v>
      </c>
      <c r="AD30" s="581" t="s">
        <v>543</v>
      </c>
      <c r="AE30" s="342" t="s">
        <v>543</v>
      </c>
      <c r="AF30" s="581" t="s">
        <v>543</v>
      </c>
      <c r="AG30" s="342" t="s">
        <v>543</v>
      </c>
      <c r="AH30" s="583" t="s">
        <v>544</v>
      </c>
      <c r="AI30" s="582" t="s">
        <v>544</v>
      </c>
      <c r="AJ30" s="583" t="s">
        <v>544</v>
      </c>
      <c r="AK30" s="582" t="s">
        <v>544</v>
      </c>
      <c r="AL30" s="583" t="s">
        <v>544</v>
      </c>
      <c r="AM30" s="582" t="s">
        <v>544</v>
      </c>
      <c r="AN30" s="583" t="s">
        <v>544</v>
      </c>
      <c r="AO30" s="582" t="s">
        <v>544</v>
      </c>
      <c r="AP30" s="583" t="s">
        <v>544</v>
      </c>
      <c r="AQ30" s="582" t="s">
        <v>544</v>
      </c>
      <c r="AR30" s="583" t="s">
        <v>544</v>
      </c>
      <c r="AS30" s="582" t="s">
        <v>544</v>
      </c>
      <c r="AT30" s="583" t="s">
        <v>544</v>
      </c>
      <c r="AU30" s="582" t="s">
        <v>544</v>
      </c>
      <c r="AV30" s="583" t="s">
        <v>544</v>
      </c>
      <c r="AW30" s="582" t="s">
        <v>544</v>
      </c>
      <c r="AX30" s="583" t="s">
        <v>544</v>
      </c>
      <c r="AY30" s="582" t="s">
        <v>544</v>
      </c>
      <c r="AZ30" s="583" t="s">
        <v>544</v>
      </c>
      <c r="BA30" s="582" t="s">
        <v>544</v>
      </c>
    </row>
    <row r="31" customFormat="false" ht="15" hidden="true" customHeight="false" outlineLevel="0" collapsed="false">
      <c r="B31" s="571" t="n">
        <v>820</v>
      </c>
      <c r="C31" s="581" t="s">
        <v>543</v>
      </c>
      <c r="D31" s="342" t="s">
        <v>543</v>
      </c>
      <c r="E31" s="581" t="s">
        <v>543</v>
      </c>
      <c r="F31" s="342" t="s">
        <v>543</v>
      </c>
      <c r="G31" s="581" t="s">
        <v>543</v>
      </c>
      <c r="H31" s="342" t="s">
        <v>543</v>
      </c>
      <c r="I31" s="581" t="s">
        <v>543</v>
      </c>
      <c r="J31" s="342" t="s">
        <v>543</v>
      </c>
      <c r="K31" s="581" t="s">
        <v>543</v>
      </c>
      <c r="L31" s="342" t="s">
        <v>543</v>
      </c>
      <c r="M31" s="581" t="s">
        <v>543</v>
      </c>
      <c r="N31" s="342" t="s">
        <v>543</v>
      </c>
      <c r="O31" s="581" t="s">
        <v>543</v>
      </c>
      <c r="P31" s="342" t="s">
        <v>543</v>
      </c>
      <c r="Q31" s="581" t="s">
        <v>543</v>
      </c>
      <c r="R31" s="342" t="s">
        <v>543</v>
      </c>
      <c r="S31" s="581" t="s">
        <v>543</v>
      </c>
      <c r="T31" s="342" t="s">
        <v>543</v>
      </c>
      <c r="U31" s="581" t="s">
        <v>543</v>
      </c>
      <c r="V31" s="342" t="s">
        <v>543</v>
      </c>
      <c r="W31" s="581" t="s">
        <v>543</v>
      </c>
      <c r="X31" s="342" t="s">
        <v>543</v>
      </c>
      <c r="Y31" s="581" t="s">
        <v>543</v>
      </c>
      <c r="Z31" s="342" t="s">
        <v>543</v>
      </c>
      <c r="AA31" s="581" t="s">
        <v>543</v>
      </c>
      <c r="AB31" s="342" t="s">
        <v>543</v>
      </c>
      <c r="AC31" s="581" t="s">
        <v>543</v>
      </c>
      <c r="AD31" s="342" t="s">
        <v>543</v>
      </c>
      <c r="AE31" s="581" t="s">
        <v>543</v>
      </c>
      <c r="AF31" s="342" t="s">
        <v>543</v>
      </c>
      <c r="AG31" s="581" t="s">
        <v>543</v>
      </c>
      <c r="AH31" s="582" t="s">
        <v>544</v>
      </c>
      <c r="AI31" s="583" t="s">
        <v>544</v>
      </c>
      <c r="AJ31" s="582" t="s">
        <v>544</v>
      </c>
      <c r="AK31" s="583" t="s">
        <v>544</v>
      </c>
      <c r="AL31" s="582" t="s">
        <v>544</v>
      </c>
      <c r="AM31" s="583" t="s">
        <v>544</v>
      </c>
      <c r="AN31" s="582" t="s">
        <v>544</v>
      </c>
      <c r="AO31" s="583" t="s">
        <v>544</v>
      </c>
      <c r="AP31" s="582" t="s">
        <v>544</v>
      </c>
      <c r="AQ31" s="583" t="s">
        <v>544</v>
      </c>
      <c r="AR31" s="582" t="s">
        <v>544</v>
      </c>
      <c r="AS31" s="583" t="s">
        <v>544</v>
      </c>
      <c r="AT31" s="582" t="s">
        <v>544</v>
      </c>
      <c r="AU31" s="583" t="s">
        <v>544</v>
      </c>
      <c r="AV31" s="582" t="s">
        <v>544</v>
      </c>
      <c r="AW31" s="583" t="s">
        <v>544</v>
      </c>
      <c r="AX31" s="582" t="s">
        <v>544</v>
      </c>
      <c r="AY31" s="583" t="s">
        <v>544</v>
      </c>
      <c r="AZ31" s="582" t="s">
        <v>544</v>
      </c>
      <c r="BA31" s="582" t="s">
        <v>544</v>
      </c>
    </row>
    <row r="32" customFormat="false" ht="15" hidden="true" customHeight="false" outlineLevel="0" collapsed="false">
      <c r="B32" s="571" t="n">
        <v>830</v>
      </c>
      <c r="C32" s="342" t="s">
        <v>543</v>
      </c>
      <c r="D32" s="581" t="s">
        <v>543</v>
      </c>
      <c r="E32" s="342" t="s">
        <v>543</v>
      </c>
      <c r="F32" s="581" t="s">
        <v>543</v>
      </c>
      <c r="G32" s="342" t="s">
        <v>543</v>
      </c>
      <c r="H32" s="581" t="s">
        <v>543</v>
      </c>
      <c r="I32" s="342" t="s">
        <v>543</v>
      </c>
      <c r="J32" s="581" t="s">
        <v>543</v>
      </c>
      <c r="K32" s="342" t="s">
        <v>543</v>
      </c>
      <c r="L32" s="581" t="s">
        <v>543</v>
      </c>
      <c r="M32" s="342" t="s">
        <v>543</v>
      </c>
      <c r="N32" s="581" t="s">
        <v>543</v>
      </c>
      <c r="O32" s="342" t="s">
        <v>543</v>
      </c>
      <c r="P32" s="581" t="s">
        <v>543</v>
      </c>
      <c r="Q32" s="342" t="s">
        <v>543</v>
      </c>
      <c r="R32" s="581" t="s">
        <v>543</v>
      </c>
      <c r="S32" s="342" t="s">
        <v>543</v>
      </c>
      <c r="T32" s="581" t="s">
        <v>543</v>
      </c>
      <c r="U32" s="342" t="s">
        <v>543</v>
      </c>
      <c r="V32" s="581" t="s">
        <v>543</v>
      </c>
      <c r="W32" s="342" t="s">
        <v>543</v>
      </c>
      <c r="X32" s="581" t="s">
        <v>543</v>
      </c>
      <c r="Y32" s="342" t="s">
        <v>543</v>
      </c>
      <c r="Z32" s="581" t="s">
        <v>543</v>
      </c>
      <c r="AA32" s="342" t="s">
        <v>543</v>
      </c>
      <c r="AB32" s="581" t="s">
        <v>543</v>
      </c>
      <c r="AC32" s="342" t="s">
        <v>543</v>
      </c>
      <c r="AD32" s="581" t="s">
        <v>543</v>
      </c>
      <c r="AE32" s="342" t="s">
        <v>543</v>
      </c>
      <c r="AF32" s="581" t="s">
        <v>543</v>
      </c>
      <c r="AG32" s="342" t="s">
        <v>543</v>
      </c>
      <c r="AH32" s="583" t="s">
        <v>544</v>
      </c>
      <c r="AI32" s="582" t="s">
        <v>544</v>
      </c>
      <c r="AJ32" s="583" t="s">
        <v>544</v>
      </c>
      <c r="AK32" s="582" t="s">
        <v>544</v>
      </c>
      <c r="AL32" s="583" t="s">
        <v>544</v>
      </c>
      <c r="AM32" s="582" t="s">
        <v>544</v>
      </c>
      <c r="AN32" s="583" t="s">
        <v>544</v>
      </c>
      <c r="AO32" s="582" t="s">
        <v>544</v>
      </c>
      <c r="AP32" s="583" t="s">
        <v>544</v>
      </c>
      <c r="AQ32" s="582" t="s">
        <v>544</v>
      </c>
      <c r="AR32" s="583" t="s">
        <v>544</v>
      </c>
      <c r="AS32" s="582" t="s">
        <v>544</v>
      </c>
      <c r="AT32" s="583" t="s">
        <v>544</v>
      </c>
      <c r="AU32" s="582" t="s">
        <v>544</v>
      </c>
      <c r="AV32" s="583" t="s">
        <v>544</v>
      </c>
      <c r="AW32" s="582" t="s">
        <v>544</v>
      </c>
      <c r="AX32" s="583" t="s">
        <v>544</v>
      </c>
      <c r="AY32" s="582" t="s">
        <v>544</v>
      </c>
      <c r="AZ32" s="583" t="s">
        <v>544</v>
      </c>
      <c r="BA32" s="582" t="s">
        <v>544</v>
      </c>
    </row>
    <row r="33" customFormat="false" ht="15" hidden="true" customHeight="false" outlineLevel="0" collapsed="false">
      <c r="B33" s="571" t="n">
        <v>840</v>
      </c>
      <c r="C33" s="581" t="s">
        <v>543</v>
      </c>
      <c r="D33" s="342" t="s">
        <v>543</v>
      </c>
      <c r="E33" s="581" t="s">
        <v>543</v>
      </c>
      <c r="F33" s="342" t="s">
        <v>543</v>
      </c>
      <c r="G33" s="581" t="s">
        <v>543</v>
      </c>
      <c r="H33" s="342" t="s">
        <v>543</v>
      </c>
      <c r="I33" s="581" t="s">
        <v>543</v>
      </c>
      <c r="J33" s="342" t="s">
        <v>543</v>
      </c>
      <c r="K33" s="581" t="s">
        <v>543</v>
      </c>
      <c r="L33" s="342" t="s">
        <v>543</v>
      </c>
      <c r="M33" s="581" t="s">
        <v>543</v>
      </c>
      <c r="N33" s="342" t="s">
        <v>543</v>
      </c>
      <c r="O33" s="581" t="s">
        <v>543</v>
      </c>
      <c r="P33" s="342" t="s">
        <v>543</v>
      </c>
      <c r="Q33" s="581" t="s">
        <v>543</v>
      </c>
      <c r="R33" s="342" t="s">
        <v>543</v>
      </c>
      <c r="S33" s="581" t="s">
        <v>543</v>
      </c>
      <c r="T33" s="342" t="s">
        <v>543</v>
      </c>
      <c r="U33" s="581" t="s">
        <v>543</v>
      </c>
      <c r="V33" s="342" t="s">
        <v>543</v>
      </c>
      <c r="W33" s="581" t="s">
        <v>543</v>
      </c>
      <c r="X33" s="342" t="s">
        <v>543</v>
      </c>
      <c r="Y33" s="581" t="s">
        <v>543</v>
      </c>
      <c r="Z33" s="342" t="s">
        <v>543</v>
      </c>
      <c r="AA33" s="581" t="s">
        <v>543</v>
      </c>
      <c r="AB33" s="342" t="s">
        <v>543</v>
      </c>
      <c r="AC33" s="581" t="s">
        <v>543</v>
      </c>
      <c r="AD33" s="342" t="s">
        <v>543</v>
      </c>
      <c r="AE33" s="581" t="s">
        <v>543</v>
      </c>
      <c r="AF33" s="342" t="s">
        <v>543</v>
      </c>
      <c r="AG33" s="581" t="s">
        <v>543</v>
      </c>
      <c r="AH33" s="582" t="s">
        <v>544</v>
      </c>
      <c r="AI33" s="583" t="s">
        <v>544</v>
      </c>
      <c r="AJ33" s="582" t="s">
        <v>544</v>
      </c>
      <c r="AK33" s="583" t="s">
        <v>544</v>
      </c>
      <c r="AL33" s="582" t="s">
        <v>544</v>
      </c>
      <c r="AM33" s="583" t="s">
        <v>544</v>
      </c>
      <c r="AN33" s="582" t="s">
        <v>544</v>
      </c>
      <c r="AO33" s="583" t="s">
        <v>544</v>
      </c>
      <c r="AP33" s="582" t="s">
        <v>544</v>
      </c>
      <c r="AQ33" s="583" t="s">
        <v>544</v>
      </c>
      <c r="AR33" s="582" t="s">
        <v>544</v>
      </c>
      <c r="AS33" s="583" t="s">
        <v>544</v>
      </c>
      <c r="AT33" s="582" t="s">
        <v>544</v>
      </c>
      <c r="AU33" s="583" t="s">
        <v>544</v>
      </c>
      <c r="AV33" s="582" t="s">
        <v>544</v>
      </c>
      <c r="AW33" s="583" t="s">
        <v>544</v>
      </c>
      <c r="AX33" s="582" t="s">
        <v>544</v>
      </c>
      <c r="AY33" s="583" t="s">
        <v>544</v>
      </c>
      <c r="AZ33" s="582" t="s">
        <v>544</v>
      </c>
      <c r="BA33" s="582" t="s">
        <v>544</v>
      </c>
    </row>
    <row r="34" customFormat="false" ht="15.75" hidden="true" customHeight="true" outlineLevel="0" collapsed="false">
      <c r="B34" s="571" t="n">
        <v>850</v>
      </c>
      <c r="C34" s="342" t="s">
        <v>543</v>
      </c>
      <c r="D34" s="581" t="s">
        <v>543</v>
      </c>
      <c r="E34" s="342" t="s">
        <v>543</v>
      </c>
      <c r="F34" s="581" t="s">
        <v>543</v>
      </c>
      <c r="G34" s="342" t="s">
        <v>543</v>
      </c>
      <c r="H34" s="581" t="s">
        <v>543</v>
      </c>
      <c r="I34" s="342" t="s">
        <v>543</v>
      </c>
      <c r="J34" s="581" t="s">
        <v>543</v>
      </c>
      <c r="K34" s="342" t="s">
        <v>543</v>
      </c>
      <c r="L34" s="581" t="s">
        <v>543</v>
      </c>
      <c r="M34" s="342" t="s">
        <v>543</v>
      </c>
      <c r="N34" s="581" t="s">
        <v>543</v>
      </c>
      <c r="O34" s="342" t="s">
        <v>543</v>
      </c>
      <c r="P34" s="581" t="s">
        <v>543</v>
      </c>
      <c r="Q34" s="342" t="s">
        <v>543</v>
      </c>
      <c r="R34" s="581" t="s">
        <v>543</v>
      </c>
      <c r="S34" s="342" t="s">
        <v>543</v>
      </c>
      <c r="T34" s="581" t="s">
        <v>543</v>
      </c>
      <c r="U34" s="342" t="s">
        <v>543</v>
      </c>
      <c r="V34" s="581" t="s">
        <v>543</v>
      </c>
      <c r="W34" s="342" t="s">
        <v>543</v>
      </c>
      <c r="X34" s="581" t="s">
        <v>543</v>
      </c>
      <c r="Y34" s="342" t="s">
        <v>543</v>
      </c>
      <c r="Z34" s="581" t="s">
        <v>543</v>
      </c>
      <c r="AA34" s="342" t="s">
        <v>543</v>
      </c>
      <c r="AB34" s="581" t="s">
        <v>543</v>
      </c>
      <c r="AC34" s="342" t="s">
        <v>543</v>
      </c>
      <c r="AD34" s="581" t="s">
        <v>543</v>
      </c>
      <c r="AE34" s="342" t="s">
        <v>543</v>
      </c>
      <c r="AF34" s="581" t="s">
        <v>543</v>
      </c>
      <c r="AG34" s="342" t="s">
        <v>543</v>
      </c>
      <c r="AH34" s="583" t="s">
        <v>544</v>
      </c>
      <c r="AI34" s="582" t="s">
        <v>544</v>
      </c>
      <c r="AJ34" s="583" t="s">
        <v>544</v>
      </c>
      <c r="AK34" s="582" t="s">
        <v>544</v>
      </c>
      <c r="AL34" s="583" t="s">
        <v>544</v>
      </c>
      <c r="AM34" s="582" t="s">
        <v>544</v>
      </c>
      <c r="AN34" s="583" t="s">
        <v>544</v>
      </c>
      <c r="AO34" s="582" t="s">
        <v>544</v>
      </c>
      <c r="AP34" s="583" t="s">
        <v>544</v>
      </c>
      <c r="AQ34" s="582" t="s">
        <v>544</v>
      </c>
      <c r="AR34" s="583" t="s">
        <v>544</v>
      </c>
      <c r="AS34" s="582" t="s">
        <v>544</v>
      </c>
      <c r="AT34" s="583" t="s">
        <v>544</v>
      </c>
      <c r="AU34" s="582" t="s">
        <v>544</v>
      </c>
      <c r="AV34" s="583" t="s">
        <v>544</v>
      </c>
      <c r="AW34" s="582" t="s">
        <v>544</v>
      </c>
      <c r="AX34" s="583" t="s">
        <v>544</v>
      </c>
      <c r="AY34" s="582" t="s">
        <v>544</v>
      </c>
      <c r="AZ34" s="583" t="s">
        <v>544</v>
      </c>
      <c r="BA34" s="582" t="s">
        <v>544</v>
      </c>
    </row>
    <row r="35" customFormat="false" ht="15.75" hidden="true" customHeight="true" outlineLevel="0" collapsed="false">
      <c r="B35" s="571" t="n">
        <v>860</v>
      </c>
      <c r="C35" s="342" t="s">
        <v>543</v>
      </c>
      <c r="D35" s="342" t="s">
        <v>543</v>
      </c>
      <c r="E35" s="342" t="s">
        <v>543</v>
      </c>
      <c r="F35" s="342" t="s">
        <v>543</v>
      </c>
      <c r="G35" s="342" t="s">
        <v>543</v>
      </c>
      <c r="H35" s="342" t="s">
        <v>543</v>
      </c>
      <c r="I35" s="342" t="s">
        <v>543</v>
      </c>
      <c r="J35" s="342" t="s">
        <v>543</v>
      </c>
      <c r="K35" s="342" t="s">
        <v>543</v>
      </c>
      <c r="L35" s="342" t="s">
        <v>543</v>
      </c>
      <c r="M35" s="342" t="s">
        <v>543</v>
      </c>
      <c r="N35" s="342" t="s">
        <v>543</v>
      </c>
      <c r="O35" s="342" t="s">
        <v>543</v>
      </c>
      <c r="P35" s="342" t="s">
        <v>543</v>
      </c>
      <c r="Q35" s="342" t="s">
        <v>543</v>
      </c>
      <c r="R35" s="342" t="s">
        <v>543</v>
      </c>
      <c r="S35" s="342" t="s">
        <v>543</v>
      </c>
      <c r="T35" s="342" t="s">
        <v>543</v>
      </c>
      <c r="U35" s="342" t="s">
        <v>543</v>
      </c>
      <c r="V35" s="342" t="s">
        <v>543</v>
      </c>
      <c r="W35" s="342" t="s">
        <v>543</v>
      </c>
      <c r="X35" s="342" t="s">
        <v>543</v>
      </c>
      <c r="Y35" s="342" t="s">
        <v>543</v>
      </c>
      <c r="Z35" s="342" t="s">
        <v>543</v>
      </c>
      <c r="AA35" s="342" t="s">
        <v>543</v>
      </c>
      <c r="AB35" s="342" t="s">
        <v>543</v>
      </c>
      <c r="AC35" s="581" t="s">
        <v>543</v>
      </c>
      <c r="AD35" s="342" t="s">
        <v>543</v>
      </c>
      <c r="AE35" s="581" t="s">
        <v>543</v>
      </c>
      <c r="AF35" s="342" t="s">
        <v>543</v>
      </c>
      <c r="AG35" s="581" t="s">
        <v>543</v>
      </c>
      <c r="AH35" s="582" t="s">
        <v>544</v>
      </c>
      <c r="AI35" s="583" t="s">
        <v>544</v>
      </c>
      <c r="AJ35" s="582" t="s">
        <v>544</v>
      </c>
      <c r="AK35" s="583" t="s">
        <v>544</v>
      </c>
      <c r="AL35" s="582" t="s">
        <v>544</v>
      </c>
      <c r="AM35" s="583" t="s">
        <v>544</v>
      </c>
      <c r="AN35" s="582" t="s">
        <v>544</v>
      </c>
      <c r="AO35" s="583" t="s">
        <v>544</v>
      </c>
      <c r="AP35" s="582" t="s">
        <v>544</v>
      </c>
      <c r="AQ35" s="583" t="s">
        <v>544</v>
      </c>
      <c r="AR35" s="582" t="s">
        <v>544</v>
      </c>
      <c r="AS35" s="583" t="s">
        <v>544</v>
      </c>
      <c r="AT35" s="582" t="s">
        <v>544</v>
      </c>
      <c r="AU35" s="583" t="s">
        <v>544</v>
      </c>
      <c r="AV35" s="582" t="s">
        <v>544</v>
      </c>
      <c r="AW35" s="583" t="s">
        <v>544</v>
      </c>
      <c r="AX35" s="582" t="s">
        <v>544</v>
      </c>
      <c r="AY35" s="583" t="s">
        <v>544</v>
      </c>
      <c r="AZ35" s="582" t="s">
        <v>544</v>
      </c>
      <c r="BA35" s="582" t="s">
        <v>544</v>
      </c>
    </row>
    <row r="36" customFormat="false" ht="15.75" hidden="true" customHeight="true" outlineLevel="0" collapsed="false">
      <c r="B36" s="571" t="n">
        <v>870</v>
      </c>
      <c r="C36" s="581" t="s">
        <v>543</v>
      </c>
      <c r="D36" s="342" t="s">
        <v>543</v>
      </c>
      <c r="E36" s="581" t="s">
        <v>543</v>
      </c>
      <c r="F36" s="342" t="s">
        <v>543</v>
      </c>
      <c r="G36" s="581" t="s">
        <v>543</v>
      </c>
      <c r="H36" s="342" t="s">
        <v>543</v>
      </c>
      <c r="I36" s="581" t="s">
        <v>543</v>
      </c>
      <c r="J36" s="342" t="s">
        <v>543</v>
      </c>
      <c r="K36" s="581" t="s">
        <v>543</v>
      </c>
      <c r="L36" s="342" t="s">
        <v>543</v>
      </c>
      <c r="M36" s="581" t="s">
        <v>543</v>
      </c>
      <c r="N36" s="342" t="s">
        <v>543</v>
      </c>
      <c r="O36" s="581" t="s">
        <v>543</v>
      </c>
      <c r="P36" s="342" t="s">
        <v>543</v>
      </c>
      <c r="Q36" s="581" t="s">
        <v>543</v>
      </c>
      <c r="R36" s="342" t="s">
        <v>543</v>
      </c>
      <c r="S36" s="581" t="s">
        <v>543</v>
      </c>
      <c r="T36" s="342" t="s">
        <v>543</v>
      </c>
      <c r="U36" s="581" t="s">
        <v>543</v>
      </c>
      <c r="V36" s="342" t="s">
        <v>543</v>
      </c>
      <c r="W36" s="581" t="s">
        <v>543</v>
      </c>
      <c r="X36" s="342" t="s">
        <v>543</v>
      </c>
      <c r="Y36" s="581" t="s">
        <v>543</v>
      </c>
      <c r="Z36" s="342" t="s">
        <v>543</v>
      </c>
      <c r="AA36" s="581" t="s">
        <v>543</v>
      </c>
      <c r="AB36" s="342" t="s">
        <v>543</v>
      </c>
      <c r="AC36" s="342" t="s">
        <v>543</v>
      </c>
      <c r="AD36" s="581" t="s">
        <v>543</v>
      </c>
      <c r="AE36" s="342" t="s">
        <v>543</v>
      </c>
      <c r="AF36" s="581" t="s">
        <v>543</v>
      </c>
      <c r="AG36" s="342" t="s">
        <v>543</v>
      </c>
      <c r="AH36" s="583" t="s">
        <v>544</v>
      </c>
      <c r="AI36" s="582" t="s">
        <v>544</v>
      </c>
      <c r="AJ36" s="583" t="s">
        <v>544</v>
      </c>
      <c r="AK36" s="582" t="s">
        <v>544</v>
      </c>
      <c r="AL36" s="583" t="s">
        <v>544</v>
      </c>
      <c r="AM36" s="582" t="s">
        <v>544</v>
      </c>
      <c r="AN36" s="583" t="s">
        <v>544</v>
      </c>
      <c r="AO36" s="582" t="s">
        <v>544</v>
      </c>
      <c r="AP36" s="583" t="s">
        <v>544</v>
      </c>
      <c r="AQ36" s="582" t="s">
        <v>544</v>
      </c>
      <c r="AR36" s="583" t="s">
        <v>544</v>
      </c>
      <c r="AS36" s="582" t="s">
        <v>544</v>
      </c>
      <c r="AT36" s="583" t="s">
        <v>544</v>
      </c>
      <c r="AU36" s="582" t="s">
        <v>544</v>
      </c>
      <c r="AV36" s="583" t="s">
        <v>544</v>
      </c>
      <c r="AW36" s="582" t="s">
        <v>544</v>
      </c>
      <c r="AX36" s="583" t="s">
        <v>544</v>
      </c>
      <c r="AY36" s="582" t="s">
        <v>544</v>
      </c>
      <c r="AZ36" s="583" t="s">
        <v>544</v>
      </c>
      <c r="BA36" s="582" t="s">
        <v>544</v>
      </c>
    </row>
    <row r="37" customFormat="false" ht="15.75" hidden="true" customHeight="true" outlineLevel="0" collapsed="false">
      <c r="B37" s="571" t="n">
        <v>880</v>
      </c>
      <c r="C37" s="342" t="s">
        <v>543</v>
      </c>
      <c r="D37" s="581" t="s">
        <v>543</v>
      </c>
      <c r="E37" s="342" t="s">
        <v>543</v>
      </c>
      <c r="F37" s="581" t="s">
        <v>543</v>
      </c>
      <c r="G37" s="342" t="s">
        <v>543</v>
      </c>
      <c r="H37" s="581" t="s">
        <v>543</v>
      </c>
      <c r="I37" s="342" t="s">
        <v>543</v>
      </c>
      <c r="J37" s="581" t="s">
        <v>543</v>
      </c>
      <c r="K37" s="342" t="s">
        <v>543</v>
      </c>
      <c r="L37" s="581" t="s">
        <v>543</v>
      </c>
      <c r="M37" s="342" t="s">
        <v>543</v>
      </c>
      <c r="N37" s="581" t="s">
        <v>543</v>
      </c>
      <c r="O37" s="342" t="s">
        <v>543</v>
      </c>
      <c r="P37" s="581" t="s">
        <v>543</v>
      </c>
      <c r="Q37" s="342" t="s">
        <v>543</v>
      </c>
      <c r="R37" s="581" t="s">
        <v>543</v>
      </c>
      <c r="S37" s="342" t="s">
        <v>543</v>
      </c>
      <c r="T37" s="581" t="s">
        <v>543</v>
      </c>
      <c r="U37" s="342" t="s">
        <v>543</v>
      </c>
      <c r="V37" s="581" t="s">
        <v>543</v>
      </c>
      <c r="W37" s="342" t="s">
        <v>543</v>
      </c>
      <c r="X37" s="581" t="s">
        <v>543</v>
      </c>
      <c r="Y37" s="342" t="s">
        <v>543</v>
      </c>
      <c r="Z37" s="581" t="s">
        <v>543</v>
      </c>
      <c r="AA37" s="342" t="s">
        <v>543</v>
      </c>
      <c r="AB37" s="342" t="s">
        <v>543</v>
      </c>
      <c r="AC37" s="581" t="s">
        <v>543</v>
      </c>
      <c r="AD37" s="342" t="s">
        <v>543</v>
      </c>
      <c r="AE37" s="581" t="s">
        <v>543</v>
      </c>
      <c r="AF37" s="342" t="s">
        <v>543</v>
      </c>
      <c r="AG37" s="581" t="s">
        <v>543</v>
      </c>
      <c r="AH37" s="582" t="s">
        <v>544</v>
      </c>
      <c r="AI37" s="583" t="s">
        <v>544</v>
      </c>
      <c r="AJ37" s="582" t="s">
        <v>544</v>
      </c>
      <c r="AK37" s="583" t="s">
        <v>544</v>
      </c>
      <c r="AL37" s="582" t="s">
        <v>544</v>
      </c>
      <c r="AM37" s="583" t="s">
        <v>544</v>
      </c>
      <c r="AN37" s="582" t="s">
        <v>544</v>
      </c>
      <c r="AO37" s="583" t="s">
        <v>544</v>
      </c>
      <c r="AP37" s="582" t="s">
        <v>544</v>
      </c>
      <c r="AQ37" s="583" t="s">
        <v>544</v>
      </c>
      <c r="AR37" s="582" t="s">
        <v>544</v>
      </c>
      <c r="AS37" s="583" t="s">
        <v>544</v>
      </c>
      <c r="AT37" s="582" t="s">
        <v>544</v>
      </c>
      <c r="AU37" s="583" t="s">
        <v>544</v>
      </c>
      <c r="AV37" s="582" t="s">
        <v>544</v>
      </c>
      <c r="AW37" s="583" t="s">
        <v>544</v>
      </c>
      <c r="AX37" s="582" t="s">
        <v>544</v>
      </c>
      <c r="AY37" s="583" t="s">
        <v>544</v>
      </c>
      <c r="AZ37" s="582" t="s">
        <v>544</v>
      </c>
      <c r="BA37" s="582" t="s">
        <v>544</v>
      </c>
    </row>
    <row r="38" customFormat="false" ht="15.75" hidden="true" customHeight="true" outlineLevel="0" collapsed="false">
      <c r="B38" s="571" t="n">
        <v>890</v>
      </c>
      <c r="C38" s="581" t="s">
        <v>543</v>
      </c>
      <c r="D38" s="342" t="s">
        <v>543</v>
      </c>
      <c r="E38" s="581" t="s">
        <v>543</v>
      </c>
      <c r="F38" s="342" t="s">
        <v>543</v>
      </c>
      <c r="G38" s="581" t="s">
        <v>543</v>
      </c>
      <c r="H38" s="342" t="s">
        <v>543</v>
      </c>
      <c r="I38" s="581" t="s">
        <v>543</v>
      </c>
      <c r="J38" s="342" t="s">
        <v>543</v>
      </c>
      <c r="K38" s="581" t="s">
        <v>543</v>
      </c>
      <c r="L38" s="342" t="s">
        <v>543</v>
      </c>
      <c r="M38" s="581" t="s">
        <v>543</v>
      </c>
      <c r="N38" s="342" t="s">
        <v>543</v>
      </c>
      <c r="O38" s="581" t="s">
        <v>543</v>
      </c>
      <c r="P38" s="342" t="s">
        <v>543</v>
      </c>
      <c r="Q38" s="581" t="s">
        <v>543</v>
      </c>
      <c r="R38" s="342" t="s">
        <v>543</v>
      </c>
      <c r="S38" s="581" t="s">
        <v>543</v>
      </c>
      <c r="T38" s="342" t="s">
        <v>543</v>
      </c>
      <c r="U38" s="581" t="s">
        <v>543</v>
      </c>
      <c r="V38" s="342" t="s">
        <v>543</v>
      </c>
      <c r="W38" s="581" t="s">
        <v>543</v>
      </c>
      <c r="X38" s="342" t="s">
        <v>543</v>
      </c>
      <c r="Y38" s="581" t="s">
        <v>543</v>
      </c>
      <c r="Z38" s="342" t="s">
        <v>543</v>
      </c>
      <c r="AA38" s="581" t="s">
        <v>543</v>
      </c>
      <c r="AB38" s="342" t="s">
        <v>543</v>
      </c>
      <c r="AC38" s="342" t="s">
        <v>543</v>
      </c>
      <c r="AD38" s="581" t="s">
        <v>543</v>
      </c>
      <c r="AE38" s="342" t="s">
        <v>543</v>
      </c>
      <c r="AF38" s="581" t="s">
        <v>543</v>
      </c>
      <c r="AG38" s="342" t="s">
        <v>543</v>
      </c>
      <c r="AH38" s="583" t="s">
        <v>544</v>
      </c>
      <c r="AI38" s="582" t="s">
        <v>544</v>
      </c>
      <c r="AJ38" s="583" t="s">
        <v>544</v>
      </c>
      <c r="AK38" s="582" t="s">
        <v>544</v>
      </c>
      <c r="AL38" s="583" t="s">
        <v>544</v>
      </c>
      <c r="AM38" s="582" t="s">
        <v>544</v>
      </c>
      <c r="AN38" s="583" t="s">
        <v>544</v>
      </c>
      <c r="AO38" s="582" t="s">
        <v>544</v>
      </c>
      <c r="AP38" s="583" t="s">
        <v>544</v>
      </c>
      <c r="AQ38" s="582" t="s">
        <v>544</v>
      </c>
      <c r="AR38" s="583" t="s">
        <v>544</v>
      </c>
      <c r="AS38" s="582" t="s">
        <v>544</v>
      </c>
      <c r="AT38" s="583" t="s">
        <v>544</v>
      </c>
      <c r="AU38" s="582" t="s">
        <v>544</v>
      </c>
      <c r="AV38" s="583" t="s">
        <v>544</v>
      </c>
      <c r="AW38" s="582" t="s">
        <v>544</v>
      </c>
      <c r="AX38" s="583" t="s">
        <v>544</v>
      </c>
      <c r="AY38" s="582" t="s">
        <v>544</v>
      </c>
      <c r="AZ38" s="583" t="s">
        <v>544</v>
      </c>
      <c r="BA38" s="582" t="s">
        <v>544</v>
      </c>
    </row>
    <row r="39" customFormat="false" ht="15.75" hidden="true" customHeight="true" outlineLevel="0" collapsed="false">
      <c r="B39" s="571" t="n">
        <v>900</v>
      </c>
      <c r="C39" s="342" t="s">
        <v>543</v>
      </c>
      <c r="D39" s="581" t="s">
        <v>543</v>
      </c>
      <c r="E39" s="342" t="s">
        <v>543</v>
      </c>
      <c r="F39" s="581" t="s">
        <v>543</v>
      </c>
      <c r="G39" s="342" t="s">
        <v>543</v>
      </c>
      <c r="H39" s="581" t="s">
        <v>543</v>
      </c>
      <c r="I39" s="342" t="s">
        <v>543</v>
      </c>
      <c r="J39" s="581" t="s">
        <v>543</v>
      </c>
      <c r="K39" s="342" t="s">
        <v>543</v>
      </c>
      <c r="L39" s="581" t="s">
        <v>543</v>
      </c>
      <c r="M39" s="342" t="s">
        <v>543</v>
      </c>
      <c r="N39" s="581" t="s">
        <v>543</v>
      </c>
      <c r="O39" s="342" t="s">
        <v>543</v>
      </c>
      <c r="P39" s="581" t="s">
        <v>543</v>
      </c>
      <c r="Q39" s="342" t="s">
        <v>543</v>
      </c>
      <c r="R39" s="581" t="s">
        <v>543</v>
      </c>
      <c r="S39" s="342" t="s">
        <v>543</v>
      </c>
      <c r="T39" s="581" t="s">
        <v>543</v>
      </c>
      <c r="U39" s="342" t="s">
        <v>543</v>
      </c>
      <c r="V39" s="581" t="s">
        <v>543</v>
      </c>
      <c r="W39" s="342" t="s">
        <v>543</v>
      </c>
      <c r="X39" s="581" t="s">
        <v>543</v>
      </c>
      <c r="Y39" s="342" t="s">
        <v>543</v>
      </c>
      <c r="Z39" s="581" t="s">
        <v>543</v>
      </c>
      <c r="AA39" s="342" t="s">
        <v>543</v>
      </c>
      <c r="AB39" s="342" t="s">
        <v>543</v>
      </c>
      <c r="AC39" s="581" t="s">
        <v>543</v>
      </c>
      <c r="AD39" s="342" t="s">
        <v>543</v>
      </c>
      <c r="AE39" s="581" t="s">
        <v>543</v>
      </c>
      <c r="AF39" s="342" t="s">
        <v>543</v>
      </c>
      <c r="AG39" s="581" t="s">
        <v>543</v>
      </c>
      <c r="AH39" s="582" t="s">
        <v>544</v>
      </c>
      <c r="AI39" s="583" t="s">
        <v>544</v>
      </c>
      <c r="AJ39" s="582" t="s">
        <v>544</v>
      </c>
      <c r="AK39" s="583" t="s">
        <v>544</v>
      </c>
      <c r="AL39" s="582" t="s">
        <v>544</v>
      </c>
      <c r="AM39" s="583" t="s">
        <v>544</v>
      </c>
      <c r="AN39" s="582" t="s">
        <v>544</v>
      </c>
      <c r="AO39" s="583" t="s">
        <v>544</v>
      </c>
      <c r="AP39" s="582" t="s">
        <v>544</v>
      </c>
      <c r="AQ39" s="583" t="s">
        <v>544</v>
      </c>
      <c r="AR39" s="582" t="s">
        <v>544</v>
      </c>
      <c r="AS39" s="583" t="s">
        <v>544</v>
      </c>
      <c r="AT39" s="582" t="s">
        <v>544</v>
      </c>
      <c r="AU39" s="583" t="s">
        <v>544</v>
      </c>
      <c r="AV39" s="582" t="s">
        <v>544</v>
      </c>
      <c r="AW39" s="583" t="s">
        <v>544</v>
      </c>
      <c r="AX39" s="582" t="s">
        <v>544</v>
      </c>
      <c r="AY39" s="583" t="s">
        <v>544</v>
      </c>
      <c r="AZ39" s="582" t="s">
        <v>544</v>
      </c>
      <c r="BA39" s="582" t="s">
        <v>544</v>
      </c>
    </row>
    <row r="40" customFormat="false" ht="15.75" hidden="true" customHeight="true" outlineLevel="0" collapsed="false">
      <c r="B40" s="571" t="n">
        <v>910</v>
      </c>
      <c r="C40" s="581" t="s">
        <v>543</v>
      </c>
      <c r="D40" s="342" t="s">
        <v>543</v>
      </c>
      <c r="E40" s="581" t="s">
        <v>543</v>
      </c>
      <c r="F40" s="342" t="s">
        <v>543</v>
      </c>
      <c r="G40" s="581" t="s">
        <v>543</v>
      </c>
      <c r="H40" s="342" t="s">
        <v>543</v>
      </c>
      <c r="I40" s="581" t="s">
        <v>543</v>
      </c>
      <c r="J40" s="342" t="s">
        <v>543</v>
      </c>
      <c r="K40" s="581" t="s">
        <v>543</v>
      </c>
      <c r="L40" s="342" t="s">
        <v>543</v>
      </c>
      <c r="M40" s="581" t="s">
        <v>543</v>
      </c>
      <c r="N40" s="342" t="s">
        <v>543</v>
      </c>
      <c r="O40" s="581" t="s">
        <v>543</v>
      </c>
      <c r="P40" s="342" t="s">
        <v>543</v>
      </c>
      <c r="Q40" s="581" t="s">
        <v>543</v>
      </c>
      <c r="R40" s="342" t="s">
        <v>543</v>
      </c>
      <c r="S40" s="581" t="s">
        <v>543</v>
      </c>
      <c r="T40" s="342" t="s">
        <v>543</v>
      </c>
      <c r="U40" s="581" t="s">
        <v>543</v>
      </c>
      <c r="V40" s="342" t="s">
        <v>543</v>
      </c>
      <c r="W40" s="581" t="s">
        <v>543</v>
      </c>
      <c r="X40" s="342" t="s">
        <v>543</v>
      </c>
      <c r="Y40" s="581" t="s">
        <v>543</v>
      </c>
      <c r="Z40" s="342" t="s">
        <v>543</v>
      </c>
      <c r="AA40" s="581" t="s">
        <v>543</v>
      </c>
      <c r="AB40" s="342" t="s">
        <v>543</v>
      </c>
      <c r="AC40" s="342" t="s">
        <v>543</v>
      </c>
      <c r="AD40" s="581" t="s">
        <v>543</v>
      </c>
      <c r="AE40" s="342" t="s">
        <v>543</v>
      </c>
      <c r="AF40" s="581" t="s">
        <v>543</v>
      </c>
      <c r="AG40" s="342" t="s">
        <v>543</v>
      </c>
      <c r="AH40" s="583" t="s">
        <v>544</v>
      </c>
      <c r="AI40" s="582" t="s">
        <v>544</v>
      </c>
      <c r="AJ40" s="583" t="s">
        <v>544</v>
      </c>
      <c r="AK40" s="582" t="s">
        <v>544</v>
      </c>
      <c r="AL40" s="583" t="s">
        <v>544</v>
      </c>
      <c r="AM40" s="582" t="s">
        <v>544</v>
      </c>
      <c r="AN40" s="583" t="s">
        <v>544</v>
      </c>
      <c r="AO40" s="582" t="s">
        <v>544</v>
      </c>
      <c r="AP40" s="583" t="s">
        <v>544</v>
      </c>
      <c r="AQ40" s="582" t="s">
        <v>544</v>
      </c>
      <c r="AR40" s="583" t="s">
        <v>544</v>
      </c>
      <c r="AS40" s="582" t="s">
        <v>544</v>
      </c>
      <c r="AT40" s="583" t="s">
        <v>544</v>
      </c>
      <c r="AU40" s="582" t="s">
        <v>544</v>
      </c>
      <c r="AV40" s="583" t="s">
        <v>544</v>
      </c>
      <c r="AW40" s="582" t="s">
        <v>544</v>
      </c>
      <c r="AX40" s="583" t="s">
        <v>544</v>
      </c>
      <c r="AY40" s="582" t="s">
        <v>544</v>
      </c>
      <c r="AZ40" s="583" t="s">
        <v>544</v>
      </c>
      <c r="BA40" s="582" t="s">
        <v>544</v>
      </c>
    </row>
    <row r="41" customFormat="false" ht="15.75" hidden="true" customHeight="true" outlineLevel="0" collapsed="false">
      <c r="B41" s="571" t="n">
        <v>920</v>
      </c>
      <c r="C41" s="342" t="s">
        <v>543</v>
      </c>
      <c r="D41" s="581" t="s">
        <v>543</v>
      </c>
      <c r="E41" s="342" t="s">
        <v>543</v>
      </c>
      <c r="F41" s="581" t="s">
        <v>543</v>
      </c>
      <c r="G41" s="342" t="s">
        <v>543</v>
      </c>
      <c r="H41" s="581" t="s">
        <v>543</v>
      </c>
      <c r="I41" s="342" t="s">
        <v>543</v>
      </c>
      <c r="J41" s="581" t="s">
        <v>543</v>
      </c>
      <c r="K41" s="342" t="s">
        <v>543</v>
      </c>
      <c r="L41" s="581" t="s">
        <v>543</v>
      </c>
      <c r="M41" s="342" t="s">
        <v>543</v>
      </c>
      <c r="N41" s="581" t="s">
        <v>543</v>
      </c>
      <c r="O41" s="342" t="s">
        <v>543</v>
      </c>
      <c r="P41" s="581" t="s">
        <v>543</v>
      </c>
      <c r="Q41" s="342" t="s">
        <v>543</v>
      </c>
      <c r="R41" s="581" t="s">
        <v>543</v>
      </c>
      <c r="S41" s="342" t="s">
        <v>543</v>
      </c>
      <c r="T41" s="581" t="s">
        <v>543</v>
      </c>
      <c r="U41" s="342" t="s">
        <v>543</v>
      </c>
      <c r="V41" s="581" t="s">
        <v>543</v>
      </c>
      <c r="W41" s="342" t="s">
        <v>543</v>
      </c>
      <c r="X41" s="581" t="s">
        <v>543</v>
      </c>
      <c r="Y41" s="342" t="s">
        <v>543</v>
      </c>
      <c r="Z41" s="581" t="s">
        <v>543</v>
      </c>
      <c r="AA41" s="342" t="s">
        <v>543</v>
      </c>
      <c r="AB41" s="342" t="s">
        <v>543</v>
      </c>
      <c r="AC41" s="581" t="s">
        <v>543</v>
      </c>
      <c r="AD41" s="342" t="s">
        <v>543</v>
      </c>
      <c r="AE41" s="581" t="s">
        <v>543</v>
      </c>
      <c r="AF41" s="342" t="s">
        <v>543</v>
      </c>
      <c r="AG41" s="581" t="s">
        <v>543</v>
      </c>
      <c r="AH41" s="582" t="s">
        <v>544</v>
      </c>
      <c r="AI41" s="583" t="s">
        <v>544</v>
      </c>
      <c r="AJ41" s="582" t="s">
        <v>544</v>
      </c>
      <c r="AK41" s="583" t="s">
        <v>544</v>
      </c>
      <c r="AL41" s="582" t="s">
        <v>544</v>
      </c>
      <c r="AM41" s="583" t="s">
        <v>544</v>
      </c>
      <c r="AN41" s="582" t="s">
        <v>544</v>
      </c>
      <c r="AO41" s="583" t="s">
        <v>544</v>
      </c>
      <c r="AP41" s="582" t="s">
        <v>544</v>
      </c>
      <c r="AQ41" s="583" t="s">
        <v>544</v>
      </c>
      <c r="AR41" s="582" t="s">
        <v>544</v>
      </c>
      <c r="AS41" s="583" t="s">
        <v>544</v>
      </c>
      <c r="AT41" s="582" t="s">
        <v>544</v>
      </c>
      <c r="AU41" s="583" t="s">
        <v>544</v>
      </c>
      <c r="AV41" s="582" t="s">
        <v>544</v>
      </c>
      <c r="AW41" s="583" t="s">
        <v>544</v>
      </c>
      <c r="AX41" s="582" t="s">
        <v>544</v>
      </c>
      <c r="AY41" s="583" t="s">
        <v>544</v>
      </c>
      <c r="AZ41" s="582" t="s">
        <v>544</v>
      </c>
      <c r="BA41" s="582" t="s">
        <v>544</v>
      </c>
    </row>
    <row r="42" customFormat="false" ht="15.75" hidden="true" customHeight="true" outlineLevel="0" collapsed="false">
      <c r="B42" s="571" t="n">
        <v>930</v>
      </c>
      <c r="C42" s="581" t="s">
        <v>543</v>
      </c>
      <c r="D42" s="342" t="s">
        <v>543</v>
      </c>
      <c r="E42" s="581" t="s">
        <v>543</v>
      </c>
      <c r="F42" s="342" t="s">
        <v>543</v>
      </c>
      <c r="G42" s="581" t="s">
        <v>543</v>
      </c>
      <c r="H42" s="342" t="s">
        <v>543</v>
      </c>
      <c r="I42" s="581" t="s">
        <v>543</v>
      </c>
      <c r="J42" s="342" t="s">
        <v>543</v>
      </c>
      <c r="K42" s="581" t="s">
        <v>543</v>
      </c>
      <c r="L42" s="342" t="s">
        <v>543</v>
      </c>
      <c r="M42" s="581" t="s">
        <v>543</v>
      </c>
      <c r="N42" s="342" t="s">
        <v>543</v>
      </c>
      <c r="O42" s="581" t="s">
        <v>543</v>
      </c>
      <c r="P42" s="342" t="s">
        <v>543</v>
      </c>
      <c r="Q42" s="581" t="s">
        <v>543</v>
      </c>
      <c r="R42" s="342" t="s">
        <v>543</v>
      </c>
      <c r="S42" s="581" t="s">
        <v>543</v>
      </c>
      <c r="T42" s="342" t="s">
        <v>543</v>
      </c>
      <c r="U42" s="581" t="s">
        <v>543</v>
      </c>
      <c r="V42" s="342" t="s">
        <v>543</v>
      </c>
      <c r="W42" s="581" t="s">
        <v>543</v>
      </c>
      <c r="X42" s="342" t="s">
        <v>543</v>
      </c>
      <c r="Y42" s="581" t="s">
        <v>543</v>
      </c>
      <c r="Z42" s="342" t="s">
        <v>543</v>
      </c>
      <c r="AA42" s="581" t="s">
        <v>543</v>
      </c>
      <c r="AB42" s="342" t="s">
        <v>543</v>
      </c>
      <c r="AC42" s="342" t="s">
        <v>543</v>
      </c>
      <c r="AD42" s="581" t="s">
        <v>543</v>
      </c>
      <c r="AE42" s="342" t="s">
        <v>543</v>
      </c>
      <c r="AF42" s="581" t="s">
        <v>543</v>
      </c>
      <c r="AG42" s="342" t="s">
        <v>543</v>
      </c>
      <c r="AH42" s="583" t="s">
        <v>544</v>
      </c>
      <c r="AI42" s="582" t="s">
        <v>544</v>
      </c>
      <c r="AJ42" s="583" t="s">
        <v>544</v>
      </c>
      <c r="AK42" s="582" t="s">
        <v>544</v>
      </c>
      <c r="AL42" s="583" t="s">
        <v>544</v>
      </c>
      <c r="AM42" s="582" t="s">
        <v>544</v>
      </c>
      <c r="AN42" s="583" t="s">
        <v>544</v>
      </c>
      <c r="AO42" s="582" t="s">
        <v>544</v>
      </c>
      <c r="AP42" s="583" t="s">
        <v>544</v>
      </c>
      <c r="AQ42" s="582" t="s">
        <v>544</v>
      </c>
      <c r="AR42" s="583" t="s">
        <v>544</v>
      </c>
      <c r="AS42" s="582" t="s">
        <v>544</v>
      </c>
      <c r="AT42" s="583" t="s">
        <v>544</v>
      </c>
      <c r="AU42" s="582" t="s">
        <v>544</v>
      </c>
      <c r="AV42" s="583" t="s">
        <v>544</v>
      </c>
      <c r="AW42" s="582" t="s">
        <v>544</v>
      </c>
      <c r="AX42" s="583" t="s">
        <v>544</v>
      </c>
      <c r="AY42" s="582" t="s">
        <v>544</v>
      </c>
      <c r="AZ42" s="583" t="s">
        <v>544</v>
      </c>
      <c r="BA42" s="582" t="s">
        <v>544</v>
      </c>
    </row>
    <row r="43" customFormat="false" ht="15.75" hidden="true" customHeight="true" outlineLevel="0" collapsed="false">
      <c r="B43" s="571" t="n">
        <v>940</v>
      </c>
      <c r="C43" s="342" t="s">
        <v>543</v>
      </c>
      <c r="D43" s="581" t="s">
        <v>543</v>
      </c>
      <c r="E43" s="342" t="s">
        <v>543</v>
      </c>
      <c r="F43" s="581" t="s">
        <v>543</v>
      </c>
      <c r="G43" s="342" t="s">
        <v>543</v>
      </c>
      <c r="H43" s="581" t="s">
        <v>543</v>
      </c>
      <c r="I43" s="342" t="s">
        <v>543</v>
      </c>
      <c r="J43" s="581" t="s">
        <v>543</v>
      </c>
      <c r="K43" s="342" t="s">
        <v>543</v>
      </c>
      <c r="L43" s="581" t="s">
        <v>543</v>
      </c>
      <c r="M43" s="342" t="s">
        <v>543</v>
      </c>
      <c r="N43" s="581" t="s">
        <v>543</v>
      </c>
      <c r="O43" s="342" t="s">
        <v>543</v>
      </c>
      <c r="P43" s="581" t="s">
        <v>543</v>
      </c>
      <c r="Q43" s="342" t="s">
        <v>543</v>
      </c>
      <c r="R43" s="581" t="s">
        <v>543</v>
      </c>
      <c r="S43" s="342" t="s">
        <v>543</v>
      </c>
      <c r="T43" s="581" t="s">
        <v>543</v>
      </c>
      <c r="U43" s="342" t="s">
        <v>543</v>
      </c>
      <c r="V43" s="581" t="s">
        <v>543</v>
      </c>
      <c r="W43" s="342" t="s">
        <v>543</v>
      </c>
      <c r="X43" s="581" t="s">
        <v>543</v>
      </c>
      <c r="Y43" s="342" t="s">
        <v>543</v>
      </c>
      <c r="Z43" s="581" t="s">
        <v>543</v>
      </c>
      <c r="AA43" s="342" t="s">
        <v>543</v>
      </c>
      <c r="AB43" s="342" t="s">
        <v>543</v>
      </c>
      <c r="AC43" s="581" t="s">
        <v>543</v>
      </c>
      <c r="AD43" s="342" t="s">
        <v>543</v>
      </c>
      <c r="AE43" s="581" t="s">
        <v>543</v>
      </c>
      <c r="AF43" s="342" t="s">
        <v>543</v>
      </c>
      <c r="AG43" s="581" t="s">
        <v>543</v>
      </c>
      <c r="AH43" s="582" t="s">
        <v>544</v>
      </c>
      <c r="AI43" s="583" t="s">
        <v>544</v>
      </c>
      <c r="AJ43" s="582" t="s">
        <v>544</v>
      </c>
      <c r="AK43" s="583" t="s">
        <v>544</v>
      </c>
      <c r="AL43" s="582" t="s">
        <v>544</v>
      </c>
      <c r="AM43" s="583" t="s">
        <v>544</v>
      </c>
      <c r="AN43" s="582" t="s">
        <v>544</v>
      </c>
      <c r="AO43" s="583" t="s">
        <v>544</v>
      </c>
      <c r="AP43" s="582" t="s">
        <v>544</v>
      </c>
      <c r="AQ43" s="583" t="s">
        <v>544</v>
      </c>
      <c r="AR43" s="582" t="s">
        <v>544</v>
      </c>
      <c r="AS43" s="583" t="s">
        <v>544</v>
      </c>
      <c r="AT43" s="582" t="s">
        <v>544</v>
      </c>
      <c r="AU43" s="583" t="s">
        <v>544</v>
      </c>
      <c r="AV43" s="582" t="s">
        <v>544</v>
      </c>
      <c r="AW43" s="583" t="s">
        <v>544</v>
      </c>
      <c r="AX43" s="582" t="s">
        <v>544</v>
      </c>
      <c r="AY43" s="583" t="s">
        <v>544</v>
      </c>
      <c r="AZ43" s="582" t="s">
        <v>544</v>
      </c>
      <c r="BA43" s="582" t="s">
        <v>544</v>
      </c>
    </row>
    <row r="44" customFormat="false" ht="15.75" hidden="true" customHeight="true" outlineLevel="0" collapsed="false">
      <c r="B44" s="571" t="n">
        <v>950</v>
      </c>
      <c r="C44" s="581" t="s">
        <v>543</v>
      </c>
      <c r="D44" s="342" t="s">
        <v>543</v>
      </c>
      <c r="E44" s="581" t="s">
        <v>543</v>
      </c>
      <c r="F44" s="342" t="s">
        <v>543</v>
      </c>
      <c r="G44" s="581" t="s">
        <v>543</v>
      </c>
      <c r="H44" s="342" t="s">
        <v>543</v>
      </c>
      <c r="I44" s="581" t="s">
        <v>543</v>
      </c>
      <c r="J44" s="342" t="s">
        <v>543</v>
      </c>
      <c r="K44" s="581" t="s">
        <v>543</v>
      </c>
      <c r="L44" s="342" t="s">
        <v>543</v>
      </c>
      <c r="M44" s="581" t="s">
        <v>543</v>
      </c>
      <c r="N44" s="342" t="s">
        <v>543</v>
      </c>
      <c r="O44" s="581" t="s">
        <v>543</v>
      </c>
      <c r="P44" s="342" t="s">
        <v>543</v>
      </c>
      <c r="Q44" s="581" t="s">
        <v>543</v>
      </c>
      <c r="R44" s="342" t="s">
        <v>543</v>
      </c>
      <c r="S44" s="581" t="s">
        <v>543</v>
      </c>
      <c r="T44" s="342" t="s">
        <v>543</v>
      </c>
      <c r="U44" s="581" t="s">
        <v>543</v>
      </c>
      <c r="V44" s="342" t="s">
        <v>543</v>
      </c>
      <c r="W44" s="581" t="s">
        <v>543</v>
      </c>
      <c r="X44" s="342" t="s">
        <v>543</v>
      </c>
      <c r="Y44" s="581" t="s">
        <v>543</v>
      </c>
      <c r="Z44" s="342" t="s">
        <v>543</v>
      </c>
      <c r="AA44" s="581" t="s">
        <v>543</v>
      </c>
      <c r="AB44" s="342" t="s">
        <v>543</v>
      </c>
      <c r="AC44" s="342" t="s">
        <v>543</v>
      </c>
      <c r="AD44" s="581" t="s">
        <v>543</v>
      </c>
      <c r="AE44" s="342" t="s">
        <v>543</v>
      </c>
      <c r="AF44" s="581" t="s">
        <v>543</v>
      </c>
      <c r="AG44" s="342" t="s">
        <v>543</v>
      </c>
      <c r="AH44" s="583" t="s">
        <v>544</v>
      </c>
      <c r="AI44" s="582" t="s">
        <v>544</v>
      </c>
      <c r="AJ44" s="583" t="s">
        <v>544</v>
      </c>
      <c r="AK44" s="582" t="s">
        <v>544</v>
      </c>
      <c r="AL44" s="583" t="s">
        <v>544</v>
      </c>
      <c r="AM44" s="582" t="s">
        <v>544</v>
      </c>
      <c r="AN44" s="583" t="s">
        <v>544</v>
      </c>
      <c r="AO44" s="582" t="s">
        <v>544</v>
      </c>
      <c r="AP44" s="583" t="s">
        <v>544</v>
      </c>
      <c r="AQ44" s="582" t="s">
        <v>544</v>
      </c>
      <c r="AR44" s="583" t="s">
        <v>544</v>
      </c>
      <c r="AS44" s="582" t="s">
        <v>544</v>
      </c>
      <c r="AT44" s="583" t="s">
        <v>544</v>
      </c>
      <c r="AU44" s="582" t="s">
        <v>544</v>
      </c>
      <c r="AV44" s="583" t="s">
        <v>544</v>
      </c>
      <c r="AW44" s="582" t="s">
        <v>544</v>
      </c>
      <c r="AX44" s="583" t="s">
        <v>544</v>
      </c>
      <c r="AY44" s="582" t="s">
        <v>544</v>
      </c>
      <c r="AZ44" s="583" t="s">
        <v>544</v>
      </c>
      <c r="BA44" s="582" t="s">
        <v>544</v>
      </c>
    </row>
    <row r="45" customFormat="false" ht="15.75" hidden="true" customHeight="true" outlineLevel="0" collapsed="false">
      <c r="B45" s="571" t="n">
        <v>960</v>
      </c>
      <c r="C45" s="342" t="s">
        <v>543</v>
      </c>
      <c r="D45" s="581" t="s">
        <v>543</v>
      </c>
      <c r="E45" s="342" t="s">
        <v>543</v>
      </c>
      <c r="F45" s="581" t="s">
        <v>543</v>
      </c>
      <c r="G45" s="342" t="s">
        <v>543</v>
      </c>
      <c r="H45" s="581" t="s">
        <v>543</v>
      </c>
      <c r="I45" s="342" t="s">
        <v>543</v>
      </c>
      <c r="J45" s="581" t="s">
        <v>543</v>
      </c>
      <c r="K45" s="342" t="s">
        <v>543</v>
      </c>
      <c r="L45" s="581" t="s">
        <v>543</v>
      </c>
      <c r="M45" s="342" t="s">
        <v>543</v>
      </c>
      <c r="N45" s="581" t="s">
        <v>543</v>
      </c>
      <c r="O45" s="342" t="s">
        <v>543</v>
      </c>
      <c r="P45" s="581" t="s">
        <v>543</v>
      </c>
      <c r="Q45" s="342" t="s">
        <v>543</v>
      </c>
      <c r="R45" s="581" t="s">
        <v>543</v>
      </c>
      <c r="S45" s="342" t="s">
        <v>543</v>
      </c>
      <c r="T45" s="581" t="s">
        <v>543</v>
      </c>
      <c r="U45" s="342" t="s">
        <v>543</v>
      </c>
      <c r="V45" s="581" t="s">
        <v>543</v>
      </c>
      <c r="W45" s="342" t="s">
        <v>543</v>
      </c>
      <c r="X45" s="581" t="s">
        <v>543</v>
      </c>
      <c r="Y45" s="342" t="s">
        <v>543</v>
      </c>
      <c r="Z45" s="581" t="s">
        <v>543</v>
      </c>
      <c r="AA45" s="342" t="s">
        <v>543</v>
      </c>
      <c r="AB45" s="342" t="s">
        <v>543</v>
      </c>
      <c r="AC45" s="581" t="s">
        <v>543</v>
      </c>
      <c r="AD45" s="342" t="s">
        <v>543</v>
      </c>
      <c r="AE45" s="581" t="s">
        <v>543</v>
      </c>
      <c r="AF45" s="342" t="s">
        <v>543</v>
      </c>
      <c r="AG45" s="581" t="s">
        <v>543</v>
      </c>
      <c r="AH45" s="582" t="s">
        <v>544</v>
      </c>
      <c r="AI45" s="583" t="s">
        <v>544</v>
      </c>
      <c r="AJ45" s="582" t="s">
        <v>544</v>
      </c>
      <c r="AK45" s="583" t="s">
        <v>544</v>
      </c>
      <c r="AL45" s="582" t="s">
        <v>544</v>
      </c>
      <c r="AM45" s="583" t="s">
        <v>544</v>
      </c>
      <c r="AN45" s="582" t="s">
        <v>544</v>
      </c>
      <c r="AO45" s="583" t="s">
        <v>544</v>
      </c>
      <c r="AP45" s="582" t="s">
        <v>544</v>
      </c>
      <c r="AQ45" s="583" t="s">
        <v>544</v>
      </c>
      <c r="AR45" s="582" t="s">
        <v>544</v>
      </c>
      <c r="AS45" s="583" t="s">
        <v>544</v>
      </c>
      <c r="AT45" s="582" t="s">
        <v>544</v>
      </c>
      <c r="AU45" s="583" t="s">
        <v>544</v>
      </c>
      <c r="AV45" s="582" t="s">
        <v>544</v>
      </c>
      <c r="AW45" s="583" t="s">
        <v>544</v>
      </c>
      <c r="AX45" s="582" t="s">
        <v>544</v>
      </c>
      <c r="AY45" s="583" t="s">
        <v>544</v>
      </c>
      <c r="AZ45" s="582" t="s">
        <v>544</v>
      </c>
      <c r="BA45" s="582" t="s">
        <v>544</v>
      </c>
    </row>
    <row r="46" customFormat="false" ht="15.75" hidden="true" customHeight="true" outlineLevel="0" collapsed="false">
      <c r="B46" s="571" t="n">
        <v>970</v>
      </c>
      <c r="C46" s="581" t="s">
        <v>543</v>
      </c>
      <c r="D46" s="342" t="s">
        <v>543</v>
      </c>
      <c r="E46" s="581" t="s">
        <v>543</v>
      </c>
      <c r="F46" s="342" t="s">
        <v>543</v>
      </c>
      <c r="G46" s="581" t="s">
        <v>543</v>
      </c>
      <c r="H46" s="342" t="s">
        <v>543</v>
      </c>
      <c r="I46" s="581" t="s">
        <v>543</v>
      </c>
      <c r="J46" s="342" t="s">
        <v>543</v>
      </c>
      <c r="K46" s="581" t="s">
        <v>543</v>
      </c>
      <c r="L46" s="342" t="s">
        <v>543</v>
      </c>
      <c r="M46" s="581" t="s">
        <v>543</v>
      </c>
      <c r="N46" s="342" t="s">
        <v>543</v>
      </c>
      <c r="O46" s="581" t="s">
        <v>543</v>
      </c>
      <c r="P46" s="342" t="s">
        <v>543</v>
      </c>
      <c r="Q46" s="581" t="s">
        <v>543</v>
      </c>
      <c r="R46" s="342" t="s">
        <v>543</v>
      </c>
      <c r="S46" s="581" t="s">
        <v>543</v>
      </c>
      <c r="T46" s="342" t="s">
        <v>543</v>
      </c>
      <c r="U46" s="581" t="s">
        <v>543</v>
      </c>
      <c r="V46" s="342" t="s">
        <v>543</v>
      </c>
      <c r="W46" s="581" t="s">
        <v>543</v>
      </c>
      <c r="X46" s="342" t="s">
        <v>543</v>
      </c>
      <c r="Y46" s="581" t="s">
        <v>543</v>
      </c>
      <c r="Z46" s="342" t="s">
        <v>543</v>
      </c>
      <c r="AA46" s="581" t="s">
        <v>543</v>
      </c>
      <c r="AB46" s="342" t="s">
        <v>543</v>
      </c>
      <c r="AC46" s="342" t="s">
        <v>543</v>
      </c>
      <c r="AD46" s="581" t="s">
        <v>543</v>
      </c>
      <c r="AE46" s="342" t="s">
        <v>543</v>
      </c>
      <c r="AF46" s="581" t="s">
        <v>543</v>
      </c>
      <c r="AG46" s="342" t="s">
        <v>543</v>
      </c>
      <c r="AH46" s="583" t="s">
        <v>544</v>
      </c>
      <c r="AI46" s="582" t="s">
        <v>544</v>
      </c>
      <c r="AJ46" s="583" t="s">
        <v>544</v>
      </c>
      <c r="AK46" s="582" t="s">
        <v>544</v>
      </c>
      <c r="AL46" s="583" t="s">
        <v>544</v>
      </c>
      <c r="AM46" s="582" t="s">
        <v>544</v>
      </c>
      <c r="AN46" s="583" t="s">
        <v>544</v>
      </c>
      <c r="AO46" s="582" t="s">
        <v>544</v>
      </c>
      <c r="AP46" s="583" t="s">
        <v>544</v>
      </c>
      <c r="AQ46" s="582" t="s">
        <v>544</v>
      </c>
      <c r="AR46" s="583" t="s">
        <v>544</v>
      </c>
      <c r="AS46" s="582" t="s">
        <v>544</v>
      </c>
      <c r="AT46" s="583" t="s">
        <v>544</v>
      </c>
      <c r="AU46" s="582" t="s">
        <v>544</v>
      </c>
      <c r="AV46" s="583" t="s">
        <v>544</v>
      </c>
      <c r="AW46" s="582" t="s">
        <v>544</v>
      </c>
      <c r="AX46" s="583" t="s">
        <v>544</v>
      </c>
      <c r="AY46" s="582" t="s">
        <v>544</v>
      </c>
      <c r="AZ46" s="583" t="s">
        <v>544</v>
      </c>
      <c r="BA46" s="582" t="s">
        <v>544</v>
      </c>
    </row>
    <row r="47" customFormat="false" ht="15.75" hidden="true" customHeight="true" outlineLevel="0" collapsed="false">
      <c r="B47" s="571" t="n">
        <v>980</v>
      </c>
      <c r="C47" s="342" t="s">
        <v>543</v>
      </c>
      <c r="D47" s="581" t="s">
        <v>543</v>
      </c>
      <c r="E47" s="342" t="s">
        <v>543</v>
      </c>
      <c r="F47" s="581" t="s">
        <v>543</v>
      </c>
      <c r="G47" s="342" t="s">
        <v>543</v>
      </c>
      <c r="H47" s="581" t="s">
        <v>543</v>
      </c>
      <c r="I47" s="342" t="s">
        <v>543</v>
      </c>
      <c r="J47" s="581" t="s">
        <v>543</v>
      </c>
      <c r="K47" s="342" t="s">
        <v>543</v>
      </c>
      <c r="L47" s="581" t="s">
        <v>543</v>
      </c>
      <c r="M47" s="342" t="s">
        <v>543</v>
      </c>
      <c r="N47" s="581" t="s">
        <v>543</v>
      </c>
      <c r="O47" s="342" t="s">
        <v>543</v>
      </c>
      <c r="P47" s="581" t="s">
        <v>543</v>
      </c>
      <c r="Q47" s="342" t="s">
        <v>543</v>
      </c>
      <c r="R47" s="581" t="s">
        <v>543</v>
      </c>
      <c r="S47" s="342" t="s">
        <v>543</v>
      </c>
      <c r="T47" s="581" t="s">
        <v>543</v>
      </c>
      <c r="U47" s="342" t="s">
        <v>543</v>
      </c>
      <c r="V47" s="581" t="s">
        <v>543</v>
      </c>
      <c r="W47" s="342" t="s">
        <v>543</v>
      </c>
      <c r="X47" s="581" t="s">
        <v>543</v>
      </c>
      <c r="Y47" s="342" t="s">
        <v>543</v>
      </c>
      <c r="Z47" s="581" t="s">
        <v>543</v>
      </c>
      <c r="AA47" s="342" t="s">
        <v>543</v>
      </c>
      <c r="AB47" s="342" t="s">
        <v>543</v>
      </c>
      <c r="AC47" s="581" t="s">
        <v>543</v>
      </c>
      <c r="AD47" s="342" t="s">
        <v>543</v>
      </c>
      <c r="AE47" s="581" t="s">
        <v>543</v>
      </c>
      <c r="AF47" s="342" t="s">
        <v>543</v>
      </c>
      <c r="AG47" s="581" t="s">
        <v>543</v>
      </c>
      <c r="AH47" s="582" t="s">
        <v>544</v>
      </c>
      <c r="AI47" s="583" t="s">
        <v>544</v>
      </c>
      <c r="AJ47" s="582" t="s">
        <v>544</v>
      </c>
      <c r="AK47" s="583" t="s">
        <v>544</v>
      </c>
      <c r="AL47" s="582" t="s">
        <v>544</v>
      </c>
      <c r="AM47" s="583" t="s">
        <v>544</v>
      </c>
      <c r="AN47" s="582" t="s">
        <v>544</v>
      </c>
      <c r="AO47" s="583" t="s">
        <v>544</v>
      </c>
      <c r="AP47" s="582" t="s">
        <v>544</v>
      </c>
      <c r="AQ47" s="583" t="s">
        <v>544</v>
      </c>
      <c r="AR47" s="582" t="s">
        <v>544</v>
      </c>
      <c r="AS47" s="583" t="s">
        <v>544</v>
      </c>
      <c r="AT47" s="582" t="s">
        <v>544</v>
      </c>
      <c r="AU47" s="583" t="s">
        <v>544</v>
      </c>
      <c r="AV47" s="582" t="s">
        <v>544</v>
      </c>
      <c r="AW47" s="583" t="s">
        <v>544</v>
      </c>
      <c r="AX47" s="582" t="s">
        <v>544</v>
      </c>
      <c r="AY47" s="583" t="s">
        <v>544</v>
      </c>
      <c r="AZ47" s="582" t="s">
        <v>544</v>
      </c>
      <c r="BA47" s="582" t="s">
        <v>544</v>
      </c>
    </row>
    <row r="48" customFormat="false" ht="15.75" hidden="true" customHeight="true" outlineLevel="0" collapsed="false">
      <c r="B48" s="571" t="n">
        <v>990</v>
      </c>
      <c r="C48" s="581" t="s">
        <v>543</v>
      </c>
      <c r="D48" s="342" t="s">
        <v>543</v>
      </c>
      <c r="E48" s="581" t="s">
        <v>543</v>
      </c>
      <c r="F48" s="342" t="s">
        <v>543</v>
      </c>
      <c r="G48" s="581" t="s">
        <v>543</v>
      </c>
      <c r="H48" s="342" t="s">
        <v>543</v>
      </c>
      <c r="I48" s="581" t="s">
        <v>543</v>
      </c>
      <c r="J48" s="342" t="s">
        <v>543</v>
      </c>
      <c r="K48" s="581" t="s">
        <v>543</v>
      </c>
      <c r="L48" s="342" t="s">
        <v>543</v>
      </c>
      <c r="M48" s="581" t="s">
        <v>543</v>
      </c>
      <c r="N48" s="342" t="s">
        <v>543</v>
      </c>
      <c r="O48" s="581" t="s">
        <v>543</v>
      </c>
      <c r="P48" s="342" t="s">
        <v>543</v>
      </c>
      <c r="Q48" s="581" t="s">
        <v>543</v>
      </c>
      <c r="R48" s="342" t="s">
        <v>543</v>
      </c>
      <c r="S48" s="581" t="s">
        <v>543</v>
      </c>
      <c r="T48" s="342" t="s">
        <v>543</v>
      </c>
      <c r="U48" s="581" t="s">
        <v>543</v>
      </c>
      <c r="V48" s="342" t="s">
        <v>543</v>
      </c>
      <c r="W48" s="581" t="s">
        <v>543</v>
      </c>
      <c r="X48" s="342" t="s">
        <v>543</v>
      </c>
      <c r="Y48" s="581" t="s">
        <v>543</v>
      </c>
      <c r="Z48" s="342" t="s">
        <v>543</v>
      </c>
      <c r="AA48" s="581" t="s">
        <v>543</v>
      </c>
      <c r="AB48" s="342" t="s">
        <v>543</v>
      </c>
      <c r="AC48" s="342" t="s">
        <v>543</v>
      </c>
      <c r="AD48" s="581" t="s">
        <v>543</v>
      </c>
      <c r="AE48" s="342" t="s">
        <v>543</v>
      </c>
      <c r="AF48" s="581" t="s">
        <v>543</v>
      </c>
      <c r="AG48" s="342" t="s">
        <v>543</v>
      </c>
      <c r="AH48" s="583" t="s">
        <v>544</v>
      </c>
      <c r="AI48" s="582" t="s">
        <v>544</v>
      </c>
      <c r="AJ48" s="583" t="s">
        <v>544</v>
      </c>
      <c r="AK48" s="582" t="s">
        <v>544</v>
      </c>
      <c r="AL48" s="583" t="s">
        <v>544</v>
      </c>
      <c r="AM48" s="582" t="s">
        <v>544</v>
      </c>
      <c r="AN48" s="583" t="s">
        <v>544</v>
      </c>
      <c r="AO48" s="582" t="s">
        <v>544</v>
      </c>
      <c r="AP48" s="583" t="s">
        <v>544</v>
      </c>
      <c r="AQ48" s="582" t="s">
        <v>544</v>
      </c>
      <c r="AR48" s="583" t="s">
        <v>544</v>
      </c>
      <c r="AS48" s="582" t="s">
        <v>544</v>
      </c>
      <c r="AT48" s="583" t="s">
        <v>544</v>
      </c>
      <c r="AU48" s="582" t="s">
        <v>544</v>
      </c>
      <c r="AV48" s="583" t="s">
        <v>544</v>
      </c>
      <c r="AW48" s="582" t="s">
        <v>544</v>
      </c>
      <c r="AX48" s="583" t="s">
        <v>544</v>
      </c>
      <c r="AY48" s="582" t="s">
        <v>544</v>
      </c>
      <c r="AZ48" s="583" t="s">
        <v>544</v>
      </c>
      <c r="BA48" s="582" t="s">
        <v>544</v>
      </c>
    </row>
    <row r="49" customFormat="false" ht="15.75" hidden="true" customHeight="true" outlineLevel="0" collapsed="false">
      <c r="B49" s="571" t="n">
        <v>1000</v>
      </c>
      <c r="C49" s="342" t="s">
        <v>543</v>
      </c>
      <c r="D49" s="581" t="s">
        <v>543</v>
      </c>
      <c r="E49" s="342" t="s">
        <v>543</v>
      </c>
      <c r="F49" s="581" t="s">
        <v>543</v>
      </c>
      <c r="G49" s="342" t="s">
        <v>543</v>
      </c>
      <c r="H49" s="581" t="s">
        <v>543</v>
      </c>
      <c r="I49" s="342" t="s">
        <v>543</v>
      </c>
      <c r="J49" s="581" t="s">
        <v>543</v>
      </c>
      <c r="K49" s="342" t="s">
        <v>543</v>
      </c>
      <c r="L49" s="581" t="s">
        <v>543</v>
      </c>
      <c r="M49" s="342" t="s">
        <v>543</v>
      </c>
      <c r="N49" s="581" t="s">
        <v>543</v>
      </c>
      <c r="O49" s="342" t="s">
        <v>543</v>
      </c>
      <c r="P49" s="581" t="s">
        <v>543</v>
      </c>
      <c r="Q49" s="342" t="s">
        <v>543</v>
      </c>
      <c r="R49" s="581" t="s">
        <v>543</v>
      </c>
      <c r="S49" s="342" t="s">
        <v>543</v>
      </c>
      <c r="T49" s="581" t="s">
        <v>543</v>
      </c>
      <c r="U49" s="342" t="s">
        <v>543</v>
      </c>
      <c r="V49" s="581" t="s">
        <v>543</v>
      </c>
      <c r="W49" s="342" t="s">
        <v>543</v>
      </c>
      <c r="X49" s="581" t="s">
        <v>543</v>
      </c>
      <c r="Y49" s="342" t="s">
        <v>543</v>
      </c>
      <c r="Z49" s="581" t="s">
        <v>543</v>
      </c>
      <c r="AA49" s="342" t="s">
        <v>543</v>
      </c>
      <c r="AB49" s="342" t="s">
        <v>543</v>
      </c>
      <c r="AC49" s="581" t="s">
        <v>543</v>
      </c>
      <c r="AD49" s="342" t="s">
        <v>543</v>
      </c>
      <c r="AE49" s="581" t="s">
        <v>543</v>
      </c>
      <c r="AF49" s="342" t="s">
        <v>543</v>
      </c>
      <c r="AG49" s="342" t="s">
        <v>543</v>
      </c>
      <c r="AH49" s="582" t="s">
        <v>544</v>
      </c>
      <c r="AI49" s="583" t="s">
        <v>544</v>
      </c>
      <c r="AJ49" s="582" t="s">
        <v>544</v>
      </c>
      <c r="AK49" s="583" t="s">
        <v>544</v>
      </c>
      <c r="AL49" s="582" t="s">
        <v>544</v>
      </c>
      <c r="AM49" s="583" t="s">
        <v>544</v>
      </c>
      <c r="AN49" s="582" t="s">
        <v>544</v>
      </c>
      <c r="AO49" s="583" t="s">
        <v>544</v>
      </c>
      <c r="AP49" s="582" t="s">
        <v>544</v>
      </c>
      <c r="AQ49" s="583" t="s">
        <v>544</v>
      </c>
      <c r="AR49" s="582" t="s">
        <v>544</v>
      </c>
      <c r="AS49" s="583" t="s">
        <v>544</v>
      </c>
      <c r="AT49" s="582" t="s">
        <v>544</v>
      </c>
      <c r="AU49" s="583" t="s">
        <v>544</v>
      </c>
      <c r="AV49" s="582" t="s">
        <v>544</v>
      </c>
      <c r="AW49" s="583" t="s">
        <v>544</v>
      </c>
      <c r="AX49" s="582" t="s">
        <v>544</v>
      </c>
      <c r="AY49" s="583" t="s">
        <v>544</v>
      </c>
      <c r="AZ49" s="582" t="s">
        <v>544</v>
      </c>
      <c r="BA49" s="582" t="s">
        <v>544</v>
      </c>
    </row>
    <row r="50" customFormat="false" ht="15.75" hidden="true" customHeight="true" outlineLevel="0" collapsed="false">
      <c r="B50" s="571" t="n">
        <v>1010</v>
      </c>
      <c r="C50" s="583" t="s">
        <v>544</v>
      </c>
      <c r="D50" s="582" t="s">
        <v>544</v>
      </c>
      <c r="E50" s="583" t="s">
        <v>544</v>
      </c>
      <c r="F50" s="582" t="s">
        <v>544</v>
      </c>
      <c r="G50" s="583" t="s">
        <v>544</v>
      </c>
      <c r="H50" s="582" t="s">
        <v>544</v>
      </c>
      <c r="I50" s="583" t="s">
        <v>544</v>
      </c>
      <c r="J50" s="582" t="s">
        <v>544</v>
      </c>
      <c r="K50" s="583" t="s">
        <v>544</v>
      </c>
      <c r="L50" s="582" t="s">
        <v>544</v>
      </c>
      <c r="M50" s="583" t="s">
        <v>544</v>
      </c>
      <c r="N50" s="582" t="s">
        <v>544</v>
      </c>
      <c r="O50" s="583" t="s">
        <v>544</v>
      </c>
      <c r="P50" s="582" t="s">
        <v>544</v>
      </c>
      <c r="Q50" s="583" t="s">
        <v>544</v>
      </c>
      <c r="R50" s="582" t="s">
        <v>544</v>
      </c>
      <c r="S50" s="583" t="s">
        <v>544</v>
      </c>
      <c r="T50" s="582" t="s">
        <v>544</v>
      </c>
      <c r="U50" s="583" t="s">
        <v>544</v>
      </c>
      <c r="V50" s="582" t="s">
        <v>544</v>
      </c>
      <c r="W50" s="583" t="s">
        <v>544</v>
      </c>
      <c r="X50" s="582" t="s">
        <v>544</v>
      </c>
      <c r="Y50" s="583" t="s">
        <v>544</v>
      </c>
      <c r="Z50" s="582" t="s">
        <v>544</v>
      </c>
      <c r="AA50" s="583" t="s">
        <v>544</v>
      </c>
      <c r="AB50" s="582" t="s">
        <v>544</v>
      </c>
      <c r="AC50" s="582" t="s">
        <v>544</v>
      </c>
      <c r="AD50" s="583" t="s">
        <v>544</v>
      </c>
      <c r="AE50" s="582" t="s">
        <v>544</v>
      </c>
      <c r="AF50" s="583" t="s">
        <v>544</v>
      </c>
      <c r="AG50" s="582" t="s">
        <v>544</v>
      </c>
      <c r="AH50" s="583" t="s">
        <v>544</v>
      </c>
      <c r="AI50" s="582" t="s">
        <v>544</v>
      </c>
      <c r="AJ50" s="583" t="s">
        <v>544</v>
      </c>
      <c r="AK50" s="582" t="s">
        <v>544</v>
      </c>
      <c r="AL50" s="583" t="s">
        <v>544</v>
      </c>
      <c r="AM50" s="582" t="s">
        <v>544</v>
      </c>
      <c r="AN50" s="583" t="s">
        <v>544</v>
      </c>
      <c r="AO50" s="582" t="s">
        <v>544</v>
      </c>
      <c r="AP50" s="583" t="s">
        <v>544</v>
      </c>
      <c r="AQ50" s="582" t="s">
        <v>544</v>
      </c>
      <c r="AR50" s="583" t="s">
        <v>544</v>
      </c>
      <c r="AS50" s="582" t="s">
        <v>544</v>
      </c>
      <c r="AT50" s="583" t="s">
        <v>544</v>
      </c>
      <c r="AU50" s="582" t="s">
        <v>544</v>
      </c>
      <c r="AV50" s="583" t="s">
        <v>544</v>
      </c>
      <c r="AW50" s="582" t="s">
        <v>544</v>
      </c>
      <c r="AX50" s="583" t="s">
        <v>544</v>
      </c>
      <c r="AY50" s="582" t="s">
        <v>544</v>
      </c>
      <c r="AZ50" s="583" t="s">
        <v>544</v>
      </c>
      <c r="BA50" s="582" t="s">
        <v>544</v>
      </c>
    </row>
    <row r="51" customFormat="false" ht="15.75" hidden="true" customHeight="true" outlineLevel="0" collapsed="false">
      <c r="B51" s="571" t="n">
        <v>1020</v>
      </c>
      <c r="C51" s="582" t="s">
        <v>544</v>
      </c>
      <c r="D51" s="583" t="s">
        <v>544</v>
      </c>
      <c r="E51" s="582" t="s">
        <v>544</v>
      </c>
      <c r="F51" s="583" t="s">
        <v>544</v>
      </c>
      <c r="G51" s="582" t="s">
        <v>544</v>
      </c>
      <c r="H51" s="583" t="s">
        <v>544</v>
      </c>
      <c r="I51" s="582" t="s">
        <v>544</v>
      </c>
      <c r="J51" s="583" t="s">
        <v>544</v>
      </c>
      <c r="K51" s="582" t="s">
        <v>544</v>
      </c>
      <c r="L51" s="583" t="s">
        <v>544</v>
      </c>
      <c r="M51" s="582" t="s">
        <v>544</v>
      </c>
      <c r="N51" s="583" t="s">
        <v>544</v>
      </c>
      <c r="O51" s="582" t="s">
        <v>544</v>
      </c>
      <c r="P51" s="583" t="s">
        <v>544</v>
      </c>
      <c r="Q51" s="582" t="s">
        <v>544</v>
      </c>
      <c r="R51" s="583" t="s">
        <v>544</v>
      </c>
      <c r="S51" s="582" t="s">
        <v>544</v>
      </c>
      <c r="T51" s="583" t="s">
        <v>544</v>
      </c>
      <c r="U51" s="582" t="s">
        <v>544</v>
      </c>
      <c r="V51" s="583" t="s">
        <v>544</v>
      </c>
      <c r="W51" s="582" t="s">
        <v>544</v>
      </c>
      <c r="X51" s="583" t="s">
        <v>544</v>
      </c>
      <c r="Y51" s="582" t="s">
        <v>544</v>
      </c>
      <c r="Z51" s="583" t="s">
        <v>544</v>
      </c>
      <c r="AA51" s="582" t="s">
        <v>544</v>
      </c>
      <c r="AB51" s="583" t="s">
        <v>544</v>
      </c>
      <c r="AC51" s="582" t="s">
        <v>544</v>
      </c>
      <c r="AD51" s="582" t="s">
        <v>544</v>
      </c>
      <c r="AE51" s="583" t="s">
        <v>544</v>
      </c>
      <c r="AF51" s="582" t="s">
        <v>544</v>
      </c>
      <c r="AG51" s="583" t="s">
        <v>544</v>
      </c>
      <c r="AH51" s="582" t="s">
        <v>544</v>
      </c>
      <c r="AI51" s="583" t="s">
        <v>544</v>
      </c>
      <c r="AJ51" s="582" t="s">
        <v>544</v>
      </c>
      <c r="AK51" s="583" t="s">
        <v>544</v>
      </c>
      <c r="AL51" s="582" t="s">
        <v>544</v>
      </c>
      <c r="AM51" s="583" t="s">
        <v>544</v>
      </c>
      <c r="AN51" s="582" t="s">
        <v>544</v>
      </c>
      <c r="AO51" s="583" t="s">
        <v>544</v>
      </c>
      <c r="AP51" s="582" t="s">
        <v>544</v>
      </c>
      <c r="AQ51" s="583" t="s">
        <v>544</v>
      </c>
      <c r="AR51" s="582" t="s">
        <v>544</v>
      </c>
      <c r="AS51" s="583" t="s">
        <v>544</v>
      </c>
      <c r="AT51" s="582" t="s">
        <v>544</v>
      </c>
      <c r="AU51" s="583" t="s">
        <v>544</v>
      </c>
      <c r="AV51" s="582" t="s">
        <v>544</v>
      </c>
      <c r="AW51" s="583" t="s">
        <v>544</v>
      </c>
      <c r="AX51" s="582" t="s">
        <v>544</v>
      </c>
      <c r="AY51" s="583" t="s">
        <v>544</v>
      </c>
      <c r="AZ51" s="582" t="s">
        <v>544</v>
      </c>
      <c r="BA51" s="582" t="s">
        <v>544</v>
      </c>
    </row>
    <row r="52" customFormat="false" ht="15.75" hidden="true" customHeight="true" outlineLevel="0" collapsed="false">
      <c r="B52" s="571" t="n">
        <v>1030</v>
      </c>
      <c r="C52" s="583" t="s">
        <v>544</v>
      </c>
      <c r="D52" s="582" t="s">
        <v>544</v>
      </c>
      <c r="E52" s="583" t="s">
        <v>544</v>
      </c>
      <c r="F52" s="582" t="s">
        <v>544</v>
      </c>
      <c r="G52" s="583" t="s">
        <v>544</v>
      </c>
      <c r="H52" s="582" t="s">
        <v>544</v>
      </c>
      <c r="I52" s="583" t="s">
        <v>544</v>
      </c>
      <c r="J52" s="582" t="s">
        <v>544</v>
      </c>
      <c r="K52" s="583" t="s">
        <v>544</v>
      </c>
      <c r="L52" s="582" t="s">
        <v>544</v>
      </c>
      <c r="M52" s="583" t="s">
        <v>544</v>
      </c>
      <c r="N52" s="582" t="s">
        <v>544</v>
      </c>
      <c r="O52" s="583" t="s">
        <v>544</v>
      </c>
      <c r="P52" s="582" t="s">
        <v>544</v>
      </c>
      <c r="Q52" s="583" t="s">
        <v>544</v>
      </c>
      <c r="R52" s="582" t="s">
        <v>544</v>
      </c>
      <c r="S52" s="583" t="s">
        <v>544</v>
      </c>
      <c r="T52" s="582" t="s">
        <v>544</v>
      </c>
      <c r="U52" s="583" t="s">
        <v>544</v>
      </c>
      <c r="V52" s="582" t="s">
        <v>544</v>
      </c>
      <c r="W52" s="583" t="s">
        <v>544</v>
      </c>
      <c r="X52" s="582" t="s">
        <v>544</v>
      </c>
      <c r="Y52" s="583" t="s">
        <v>544</v>
      </c>
      <c r="Z52" s="582" t="s">
        <v>544</v>
      </c>
      <c r="AA52" s="583" t="s">
        <v>544</v>
      </c>
      <c r="AB52" s="582" t="s">
        <v>544</v>
      </c>
      <c r="AC52" s="583" t="s">
        <v>544</v>
      </c>
      <c r="AD52" s="582" t="s">
        <v>544</v>
      </c>
      <c r="AE52" s="582" t="s">
        <v>544</v>
      </c>
      <c r="AF52" s="583" t="s">
        <v>544</v>
      </c>
      <c r="AG52" s="582" t="s">
        <v>544</v>
      </c>
      <c r="AH52" s="583" t="s">
        <v>544</v>
      </c>
      <c r="AI52" s="582" t="s">
        <v>544</v>
      </c>
      <c r="AJ52" s="583" t="s">
        <v>544</v>
      </c>
      <c r="AK52" s="582" t="s">
        <v>544</v>
      </c>
      <c r="AL52" s="583" t="s">
        <v>544</v>
      </c>
      <c r="AM52" s="582" t="s">
        <v>544</v>
      </c>
      <c r="AN52" s="583" t="s">
        <v>544</v>
      </c>
      <c r="AO52" s="582" t="s">
        <v>544</v>
      </c>
      <c r="AP52" s="583" t="s">
        <v>544</v>
      </c>
      <c r="AQ52" s="582" t="s">
        <v>544</v>
      </c>
      <c r="AR52" s="583" t="s">
        <v>544</v>
      </c>
      <c r="AS52" s="582" t="s">
        <v>544</v>
      </c>
      <c r="AT52" s="583" t="s">
        <v>544</v>
      </c>
      <c r="AU52" s="582" t="s">
        <v>544</v>
      </c>
      <c r="AV52" s="583" t="s">
        <v>544</v>
      </c>
      <c r="AW52" s="582" t="s">
        <v>544</v>
      </c>
      <c r="AX52" s="583" t="s">
        <v>544</v>
      </c>
      <c r="AY52" s="582" t="s">
        <v>544</v>
      </c>
      <c r="AZ52" s="583" t="s">
        <v>544</v>
      </c>
      <c r="BA52" s="582" t="s">
        <v>544</v>
      </c>
    </row>
    <row r="53" customFormat="false" ht="15.75" hidden="true" customHeight="true" outlineLevel="0" collapsed="false">
      <c r="B53" s="571" t="n">
        <v>1040</v>
      </c>
      <c r="C53" s="582" t="s">
        <v>544</v>
      </c>
      <c r="D53" s="583" t="s">
        <v>544</v>
      </c>
      <c r="E53" s="582" t="s">
        <v>544</v>
      </c>
      <c r="F53" s="583" t="s">
        <v>544</v>
      </c>
      <c r="G53" s="582" t="s">
        <v>544</v>
      </c>
      <c r="H53" s="583" t="s">
        <v>544</v>
      </c>
      <c r="I53" s="582" t="s">
        <v>544</v>
      </c>
      <c r="J53" s="583" t="s">
        <v>544</v>
      </c>
      <c r="K53" s="582" t="s">
        <v>544</v>
      </c>
      <c r="L53" s="583" t="s">
        <v>544</v>
      </c>
      <c r="M53" s="582" t="s">
        <v>544</v>
      </c>
      <c r="N53" s="583" t="s">
        <v>544</v>
      </c>
      <c r="O53" s="582" t="s">
        <v>544</v>
      </c>
      <c r="P53" s="583" t="s">
        <v>544</v>
      </c>
      <c r="Q53" s="582" t="s">
        <v>544</v>
      </c>
      <c r="R53" s="583" t="s">
        <v>544</v>
      </c>
      <c r="S53" s="582" t="s">
        <v>544</v>
      </c>
      <c r="T53" s="583" t="s">
        <v>544</v>
      </c>
      <c r="U53" s="582" t="s">
        <v>544</v>
      </c>
      <c r="V53" s="583" t="s">
        <v>544</v>
      </c>
      <c r="W53" s="582" t="s">
        <v>544</v>
      </c>
      <c r="X53" s="583" t="s">
        <v>544</v>
      </c>
      <c r="Y53" s="582" t="s">
        <v>544</v>
      </c>
      <c r="Z53" s="583" t="s">
        <v>544</v>
      </c>
      <c r="AA53" s="582" t="s">
        <v>544</v>
      </c>
      <c r="AB53" s="583" t="s">
        <v>544</v>
      </c>
      <c r="AC53" s="582" t="s">
        <v>544</v>
      </c>
      <c r="AD53" s="583" t="s">
        <v>544</v>
      </c>
      <c r="AE53" s="582" t="s">
        <v>544</v>
      </c>
      <c r="AF53" s="582" t="s">
        <v>544</v>
      </c>
      <c r="AG53" s="583" t="s">
        <v>544</v>
      </c>
      <c r="AH53" s="582" t="s">
        <v>544</v>
      </c>
      <c r="AI53" s="583" t="s">
        <v>544</v>
      </c>
      <c r="AJ53" s="582" t="s">
        <v>544</v>
      </c>
      <c r="AK53" s="583" t="s">
        <v>544</v>
      </c>
      <c r="AL53" s="582" t="s">
        <v>544</v>
      </c>
      <c r="AM53" s="583" t="s">
        <v>544</v>
      </c>
      <c r="AN53" s="582" t="s">
        <v>544</v>
      </c>
      <c r="AO53" s="583" t="s">
        <v>544</v>
      </c>
      <c r="AP53" s="582" t="s">
        <v>544</v>
      </c>
      <c r="AQ53" s="583" t="s">
        <v>544</v>
      </c>
      <c r="AR53" s="582" t="s">
        <v>544</v>
      </c>
      <c r="AS53" s="583" t="s">
        <v>544</v>
      </c>
      <c r="AT53" s="582" t="s">
        <v>544</v>
      </c>
      <c r="AU53" s="583" t="s">
        <v>544</v>
      </c>
      <c r="AV53" s="582" t="s">
        <v>544</v>
      </c>
      <c r="AW53" s="583" t="s">
        <v>544</v>
      </c>
      <c r="AX53" s="582" t="s">
        <v>544</v>
      </c>
      <c r="AY53" s="583" t="s">
        <v>544</v>
      </c>
      <c r="AZ53" s="582" t="s">
        <v>544</v>
      </c>
      <c r="BA53" s="582" t="s">
        <v>544</v>
      </c>
    </row>
    <row r="54" customFormat="false" ht="15.75" hidden="true" customHeight="true" outlineLevel="0" collapsed="false">
      <c r="B54" s="571" t="n">
        <v>1050</v>
      </c>
      <c r="C54" s="582" t="s">
        <v>544</v>
      </c>
      <c r="D54" s="582" t="s">
        <v>544</v>
      </c>
      <c r="E54" s="582" t="s">
        <v>544</v>
      </c>
      <c r="F54" s="582" t="s">
        <v>544</v>
      </c>
      <c r="G54" s="582" t="s">
        <v>544</v>
      </c>
      <c r="H54" s="582" t="s">
        <v>544</v>
      </c>
      <c r="I54" s="582" t="s">
        <v>544</v>
      </c>
      <c r="J54" s="582" t="s">
        <v>544</v>
      </c>
      <c r="K54" s="582" t="s">
        <v>544</v>
      </c>
      <c r="L54" s="582" t="s">
        <v>544</v>
      </c>
      <c r="M54" s="582" t="s">
        <v>544</v>
      </c>
      <c r="N54" s="582" t="s">
        <v>544</v>
      </c>
      <c r="O54" s="582" t="s">
        <v>544</v>
      </c>
      <c r="P54" s="582" t="s">
        <v>544</v>
      </c>
      <c r="Q54" s="582" t="s">
        <v>544</v>
      </c>
      <c r="R54" s="582" t="s">
        <v>544</v>
      </c>
      <c r="S54" s="582" t="s">
        <v>544</v>
      </c>
      <c r="T54" s="582" t="s">
        <v>544</v>
      </c>
      <c r="U54" s="582" t="s">
        <v>544</v>
      </c>
      <c r="V54" s="582" t="s">
        <v>544</v>
      </c>
      <c r="W54" s="582" t="s">
        <v>544</v>
      </c>
      <c r="X54" s="582" t="s">
        <v>544</v>
      </c>
      <c r="Y54" s="582" t="s">
        <v>544</v>
      </c>
      <c r="Z54" s="582" t="s">
        <v>544</v>
      </c>
      <c r="AA54" s="582" t="s">
        <v>544</v>
      </c>
      <c r="AB54" s="582" t="s">
        <v>544</v>
      </c>
      <c r="AC54" s="582" t="s">
        <v>544</v>
      </c>
      <c r="AD54" s="582" t="s">
        <v>544</v>
      </c>
      <c r="AE54" s="582" t="s">
        <v>544</v>
      </c>
      <c r="AF54" s="582" t="s">
        <v>544</v>
      </c>
      <c r="AG54" s="582" t="s">
        <v>544</v>
      </c>
      <c r="AH54" s="582" t="s">
        <v>544</v>
      </c>
      <c r="AI54" s="582" t="s">
        <v>544</v>
      </c>
      <c r="AJ54" s="582" t="s">
        <v>544</v>
      </c>
      <c r="AK54" s="582" t="s">
        <v>544</v>
      </c>
      <c r="AL54" s="582" t="s">
        <v>544</v>
      </c>
      <c r="AM54" s="582" t="s">
        <v>544</v>
      </c>
      <c r="AN54" s="582" t="s">
        <v>544</v>
      </c>
      <c r="AO54" s="582" t="s">
        <v>544</v>
      </c>
      <c r="AP54" s="582" t="s">
        <v>544</v>
      </c>
      <c r="AQ54" s="582" t="s">
        <v>544</v>
      </c>
      <c r="AR54" s="582" t="s">
        <v>544</v>
      </c>
      <c r="AS54" s="582" t="s">
        <v>544</v>
      </c>
      <c r="AT54" s="582" t="s">
        <v>544</v>
      </c>
      <c r="AU54" s="582" t="s">
        <v>544</v>
      </c>
      <c r="AV54" s="582" t="s">
        <v>544</v>
      </c>
      <c r="AW54" s="582" t="s">
        <v>544</v>
      </c>
      <c r="AX54" s="582" t="s">
        <v>544</v>
      </c>
      <c r="AY54" s="582" t="s">
        <v>544</v>
      </c>
      <c r="AZ54" s="582" t="s">
        <v>544</v>
      </c>
      <c r="BA54" s="582" t="s">
        <v>544</v>
      </c>
    </row>
    <row r="55" customFormat="false" ht="15.75" hidden="true" customHeight="true" outlineLevel="0" collapsed="false"/>
    <row r="56" customFormat="false" ht="15.75" hidden="true" customHeight="true" outlineLevel="0" collapsed="false">
      <c r="A56" s="317" t="s">
        <v>545</v>
      </c>
      <c r="B56" s="571"/>
      <c r="C56" s="571" t="n">
        <v>1800</v>
      </c>
      <c r="D56" s="571" t="n">
        <v>1810</v>
      </c>
      <c r="E56" s="571" t="n">
        <v>1820</v>
      </c>
      <c r="F56" s="571" t="n">
        <v>1830</v>
      </c>
      <c r="G56" s="571" t="n">
        <v>1840</v>
      </c>
      <c r="H56" s="571" t="n">
        <v>1850</v>
      </c>
      <c r="I56" s="571" t="n">
        <v>1860</v>
      </c>
      <c r="J56" s="571" t="n">
        <v>1870</v>
      </c>
      <c r="K56" s="571" t="n">
        <v>1880</v>
      </c>
      <c r="L56" s="571" t="n">
        <v>1890</v>
      </c>
      <c r="M56" s="571" t="n">
        <v>1900</v>
      </c>
      <c r="N56" s="571" t="n">
        <v>1910</v>
      </c>
      <c r="O56" s="571" t="n">
        <v>1920</v>
      </c>
      <c r="P56" s="571" t="n">
        <v>1930</v>
      </c>
      <c r="Q56" s="571" t="n">
        <v>1940</v>
      </c>
      <c r="R56" s="571" t="n">
        <v>1950</v>
      </c>
      <c r="S56" s="571" t="n">
        <v>1960</v>
      </c>
      <c r="T56" s="571" t="n">
        <v>1970</v>
      </c>
      <c r="U56" s="571" t="n">
        <v>1980</v>
      </c>
      <c r="V56" s="571" t="n">
        <v>1990</v>
      </c>
      <c r="W56" s="571" t="n">
        <v>2000</v>
      </c>
      <c r="X56" s="571" t="n">
        <v>2010</v>
      </c>
      <c r="Y56" s="571" t="n">
        <v>2020</v>
      </c>
      <c r="Z56" s="571" t="n">
        <v>2030</v>
      </c>
      <c r="AA56" s="571" t="n">
        <v>2040</v>
      </c>
      <c r="AB56" s="571" t="n">
        <v>2050</v>
      </c>
      <c r="AC56" s="571" t="n">
        <v>2060</v>
      </c>
      <c r="AD56" s="571" t="n">
        <v>2070</v>
      </c>
      <c r="AE56" s="571" t="n">
        <v>2080</v>
      </c>
      <c r="AF56" s="571" t="n">
        <v>2090</v>
      </c>
      <c r="AG56" s="571" t="n">
        <v>2100</v>
      </c>
      <c r="AH56" s="584" t="n">
        <v>2110</v>
      </c>
      <c r="AI56" s="584" t="n">
        <v>2120</v>
      </c>
      <c r="AJ56" s="584" t="n">
        <v>2130</v>
      </c>
      <c r="AK56" s="584" t="n">
        <v>2140</v>
      </c>
      <c r="AL56" s="584" t="n">
        <v>2150</v>
      </c>
      <c r="AM56" s="584" t="n">
        <v>2160</v>
      </c>
      <c r="AN56" s="584" t="n">
        <v>2170</v>
      </c>
      <c r="AO56" s="584" t="n">
        <v>2180</v>
      </c>
      <c r="AP56" s="584" t="n">
        <v>2190</v>
      </c>
      <c r="AQ56" s="584" t="n">
        <v>2200</v>
      </c>
      <c r="AR56" s="584" t="n">
        <v>2210</v>
      </c>
      <c r="AS56" s="584" t="n">
        <v>2220</v>
      </c>
      <c r="AT56" s="584" t="n">
        <v>2230</v>
      </c>
      <c r="AU56" s="584" t="n">
        <v>2240</v>
      </c>
      <c r="AV56" s="584" t="n">
        <v>2250</v>
      </c>
      <c r="AW56" s="584" t="n">
        <v>2260</v>
      </c>
      <c r="AX56" s="584" t="n">
        <v>2270</v>
      </c>
      <c r="AY56" s="584" t="n">
        <v>2280</v>
      </c>
      <c r="AZ56" s="584" t="n">
        <v>2290</v>
      </c>
      <c r="BA56" s="584" t="n">
        <v>2300</v>
      </c>
    </row>
    <row r="57" customFormat="false" ht="15.75" hidden="true" customHeight="true" outlineLevel="0" collapsed="false">
      <c r="B57" s="571" t="n">
        <v>800</v>
      </c>
      <c r="C57" s="581" t="s">
        <v>543</v>
      </c>
      <c r="D57" s="342" t="s">
        <v>543</v>
      </c>
      <c r="E57" s="581" t="s">
        <v>543</v>
      </c>
      <c r="F57" s="342" t="s">
        <v>543</v>
      </c>
      <c r="G57" s="581" t="s">
        <v>543</v>
      </c>
      <c r="H57" s="342" t="s">
        <v>543</v>
      </c>
      <c r="I57" s="581" t="s">
        <v>543</v>
      </c>
      <c r="J57" s="342" t="s">
        <v>543</v>
      </c>
      <c r="K57" s="581" t="s">
        <v>543</v>
      </c>
      <c r="L57" s="342" t="s">
        <v>543</v>
      </c>
      <c r="M57" s="581" t="s">
        <v>543</v>
      </c>
      <c r="N57" s="342" t="s">
        <v>543</v>
      </c>
      <c r="O57" s="581" t="s">
        <v>543</v>
      </c>
      <c r="P57" s="342" t="s">
        <v>543</v>
      </c>
      <c r="Q57" s="581" t="s">
        <v>543</v>
      </c>
      <c r="R57" s="342" t="s">
        <v>543</v>
      </c>
      <c r="S57" s="581" t="s">
        <v>543</v>
      </c>
      <c r="T57" s="342" t="s">
        <v>543</v>
      </c>
      <c r="U57" s="581" t="s">
        <v>543</v>
      </c>
      <c r="V57" s="342" t="s">
        <v>543</v>
      </c>
      <c r="W57" s="581" t="s">
        <v>543</v>
      </c>
      <c r="X57" s="342" t="s">
        <v>543</v>
      </c>
      <c r="Y57" s="581" t="s">
        <v>543</v>
      </c>
      <c r="Z57" s="342" t="s">
        <v>543</v>
      </c>
      <c r="AA57" s="581" t="s">
        <v>543</v>
      </c>
      <c r="AB57" s="342" t="s">
        <v>543</v>
      </c>
      <c r="AC57" s="581" t="s">
        <v>543</v>
      </c>
      <c r="AD57" s="342" t="s">
        <v>543</v>
      </c>
      <c r="AE57" s="581" t="s">
        <v>543</v>
      </c>
      <c r="AF57" s="342" t="s">
        <v>543</v>
      </c>
      <c r="AG57" s="581" t="s">
        <v>543</v>
      </c>
      <c r="AH57" s="582" t="s">
        <v>544</v>
      </c>
      <c r="AI57" s="582" t="s">
        <v>544</v>
      </c>
      <c r="AJ57" s="582" t="s">
        <v>544</v>
      </c>
      <c r="AK57" s="582" t="s">
        <v>544</v>
      </c>
      <c r="AL57" s="582" t="s">
        <v>544</v>
      </c>
      <c r="AM57" s="582" t="s">
        <v>544</v>
      </c>
      <c r="AN57" s="582" t="s">
        <v>544</v>
      </c>
      <c r="AO57" s="582" t="s">
        <v>544</v>
      </c>
      <c r="AP57" s="582" t="s">
        <v>544</v>
      </c>
      <c r="AQ57" s="582" t="s">
        <v>544</v>
      </c>
      <c r="AR57" s="582" t="s">
        <v>544</v>
      </c>
      <c r="AS57" s="582" t="s">
        <v>544</v>
      </c>
      <c r="AT57" s="582" t="s">
        <v>544</v>
      </c>
      <c r="AU57" s="582" t="s">
        <v>544</v>
      </c>
      <c r="AV57" s="582" t="s">
        <v>544</v>
      </c>
      <c r="AW57" s="582" t="s">
        <v>544</v>
      </c>
      <c r="AX57" s="582" t="s">
        <v>544</v>
      </c>
      <c r="AY57" s="582" t="s">
        <v>544</v>
      </c>
      <c r="AZ57" s="582" t="s">
        <v>544</v>
      </c>
      <c r="BA57" s="582" t="s">
        <v>544</v>
      </c>
    </row>
    <row r="58" customFormat="false" ht="15.75" hidden="true" customHeight="true" outlineLevel="0" collapsed="false">
      <c r="B58" s="571" t="n">
        <v>810</v>
      </c>
      <c r="C58" s="342" t="s">
        <v>543</v>
      </c>
      <c r="D58" s="581" t="s">
        <v>543</v>
      </c>
      <c r="E58" s="342" t="s">
        <v>543</v>
      </c>
      <c r="F58" s="581" t="s">
        <v>543</v>
      </c>
      <c r="G58" s="342" t="s">
        <v>543</v>
      </c>
      <c r="H58" s="581" t="s">
        <v>543</v>
      </c>
      <c r="I58" s="342" t="s">
        <v>543</v>
      </c>
      <c r="J58" s="581" t="s">
        <v>543</v>
      </c>
      <c r="K58" s="342" t="s">
        <v>543</v>
      </c>
      <c r="L58" s="581" t="s">
        <v>543</v>
      </c>
      <c r="M58" s="342" t="s">
        <v>543</v>
      </c>
      <c r="N58" s="581" t="s">
        <v>543</v>
      </c>
      <c r="O58" s="342" t="s">
        <v>543</v>
      </c>
      <c r="P58" s="581" t="s">
        <v>543</v>
      </c>
      <c r="Q58" s="342" t="s">
        <v>543</v>
      </c>
      <c r="R58" s="581" t="s">
        <v>543</v>
      </c>
      <c r="S58" s="342" t="s">
        <v>543</v>
      </c>
      <c r="T58" s="581" t="s">
        <v>543</v>
      </c>
      <c r="U58" s="342" t="s">
        <v>543</v>
      </c>
      <c r="V58" s="581" t="s">
        <v>543</v>
      </c>
      <c r="W58" s="342" t="s">
        <v>543</v>
      </c>
      <c r="X58" s="581" t="s">
        <v>543</v>
      </c>
      <c r="Y58" s="342" t="s">
        <v>543</v>
      </c>
      <c r="Z58" s="581" t="s">
        <v>543</v>
      </c>
      <c r="AA58" s="342" t="s">
        <v>543</v>
      </c>
      <c r="AB58" s="581" t="s">
        <v>543</v>
      </c>
      <c r="AC58" s="342" t="s">
        <v>543</v>
      </c>
      <c r="AD58" s="581" t="s">
        <v>543</v>
      </c>
      <c r="AE58" s="342" t="s">
        <v>543</v>
      </c>
      <c r="AF58" s="581" t="s">
        <v>543</v>
      </c>
      <c r="AG58" s="585" t="s">
        <v>543</v>
      </c>
      <c r="AH58" s="582" t="s">
        <v>544</v>
      </c>
      <c r="AI58" s="582" t="s">
        <v>544</v>
      </c>
      <c r="AJ58" s="582" t="s">
        <v>544</v>
      </c>
      <c r="AK58" s="582" t="s">
        <v>544</v>
      </c>
      <c r="AL58" s="582" t="s">
        <v>544</v>
      </c>
      <c r="AM58" s="582" t="s">
        <v>544</v>
      </c>
      <c r="AN58" s="582" t="s">
        <v>544</v>
      </c>
      <c r="AO58" s="582" t="s">
        <v>544</v>
      </c>
      <c r="AP58" s="582" t="s">
        <v>544</v>
      </c>
      <c r="AQ58" s="582" t="s">
        <v>544</v>
      </c>
      <c r="AR58" s="582" t="s">
        <v>544</v>
      </c>
      <c r="AS58" s="582" t="s">
        <v>544</v>
      </c>
      <c r="AT58" s="582" t="s">
        <v>544</v>
      </c>
      <c r="AU58" s="582" t="s">
        <v>544</v>
      </c>
      <c r="AV58" s="582" t="s">
        <v>544</v>
      </c>
      <c r="AW58" s="582" t="s">
        <v>544</v>
      </c>
      <c r="AX58" s="582" t="s">
        <v>544</v>
      </c>
      <c r="AY58" s="582" t="s">
        <v>544</v>
      </c>
      <c r="AZ58" s="582" t="s">
        <v>544</v>
      </c>
      <c r="BA58" s="582" t="s">
        <v>544</v>
      </c>
    </row>
    <row r="59" customFormat="false" ht="15.75" hidden="true" customHeight="true" outlineLevel="0" collapsed="false">
      <c r="B59" s="571" t="n">
        <v>820</v>
      </c>
      <c r="C59" s="581" t="s">
        <v>543</v>
      </c>
      <c r="D59" s="342" t="s">
        <v>543</v>
      </c>
      <c r="E59" s="581" t="s">
        <v>543</v>
      </c>
      <c r="F59" s="342" t="s">
        <v>543</v>
      </c>
      <c r="G59" s="581" t="s">
        <v>543</v>
      </c>
      <c r="H59" s="342" t="s">
        <v>543</v>
      </c>
      <c r="I59" s="581" t="s">
        <v>543</v>
      </c>
      <c r="J59" s="342" t="s">
        <v>543</v>
      </c>
      <c r="K59" s="581" t="s">
        <v>543</v>
      </c>
      <c r="L59" s="342" t="s">
        <v>543</v>
      </c>
      <c r="M59" s="581" t="s">
        <v>543</v>
      </c>
      <c r="N59" s="342" t="s">
        <v>543</v>
      </c>
      <c r="O59" s="581" t="s">
        <v>543</v>
      </c>
      <c r="P59" s="342" t="s">
        <v>543</v>
      </c>
      <c r="Q59" s="581" t="s">
        <v>543</v>
      </c>
      <c r="R59" s="342" t="s">
        <v>543</v>
      </c>
      <c r="S59" s="581" t="s">
        <v>543</v>
      </c>
      <c r="T59" s="342" t="s">
        <v>543</v>
      </c>
      <c r="U59" s="581" t="s">
        <v>543</v>
      </c>
      <c r="V59" s="342" t="s">
        <v>543</v>
      </c>
      <c r="W59" s="581" t="s">
        <v>543</v>
      </c>
      <c r="X59" s="342" t="s">
        <v>543</v>
      </c>
      <c r="Y59" s="581" t="s">
        <v>543</v>
      </c>
      <c r="Z59" s="342" t="s">
        <v>543</v>
      </c>
      <c r="AA59" s="581" t="s">
        <v>543</v>
      </c>
      <c r="AB59" s="342" t="s">
        <v>543</v>
      </c>
      <c r="AC59" s="581" t="s">
        <v>543</v>
      </c>
      <c r="AD59" s="342" t="s">
        <v>543</v>
      </c>
      <c r="AE59" s="581" t="s">
        <v>543</v>
      </c>
      <c r="AF59" s="342" t="s">
        <v>543</v>
      </c>
      <c r="AG59" s="581" t="s">
        <v>543</v>
      </c>
      <c r="AH59" s="582" t="s">
        <v>544</v>
      </c>
      <c r="AI59" s="582" t="s">
        <v>544</v>
      </c>
      <c r="AJ59" s="582" t="s">
        <v>544</v>
      </c>
      <c r="AK59" s="582" t="s">
        <v>544</v>
      </c>
      <c r="AL59" s="582" t="s">
        <v>544</v>
      </c>
      <c r="AM59" s="582" t="s">
        <v>544</v>
      </c>
      <c r="AN59" s="582" t="s">
        <v>544</v>
      </c>
      <c r="AO59" s="582" t="s">
        <v>544</v>
      </c>
      <c r="AP59" s="582" t="s">
        <v>544</v>
      </c>
      <c r="AQ59" s="582" t="s">
        <v>544</v>
      </c>
      <c r="AR59" s="582" t="s">
        <v>544</v>
      </c>
      <c r="AS59" s="582" t="s">
        <v>544</v>
      </c>
      <c r="AT59" s="582" t="s">
        <v>544</v>
      </c>
      <c r="AU59" s="582" t="s">
        <v>544</v>
      </c>
      <c r="AV59" s="582" t="s">
        <v>544</v>
      </c>
      <c r="AW59" s="582" t="s">
        <v>544</v>
      </c>
      <c r="AX59" s="582" t="s">
        <v>544</v>
      </c>
      <c r="AY59" s="582" t="s">
        <v>544</v>
      </c>
      <c r="AZ59" s="582" t="s">
        <v>544</v>
      </c>
      <c r="BA59" s="582" t="s">
        <v>544</v>
      </c>
    </row>
    <row r="60" customFormat="false" ht="15.75" hidden="true" customHeight="true" outlineLevel="0" collapsed="false">
      <c r="B60" s="571" t="n">
        <v>830</v>
      </c>
      <c r="C60" s="342" t="s">
        <v>543</v>
      </c>
      <c r="D60" s="581" t="s">
        <v>543</v>
      </c>
      <c r="E60" s="342" t="s">
        <v>543</v>
      </c>
      <c r="F60" s="581" t="s">
        <v>543</v>
      </c>
      <c r="G60" s="342" t="s">
        <v>543</v>
      </c>
      <c r="H60" s="581" t="s">
        <v>543</v>
      </c>
      <c r="I60" s="342" t="s">
        <v>543</v>
      </c>
      <c r="J60" s="581" t="s">
        <v>543</v>
      </c>
      <c r="K60" s="342" t="s">
        <v>543</v>
      </c>
      <c r="L60" s="581" t="s">
        <v>543</v>
      </c>
      <c r="M60" s="342" t="s">
        <v>543</v>
      </c>
      <c r="N60" s="581" t="s">
        <v>543</v>
      </c>
      <c r="O60" s="342" t="s">
        <v>543</v>
      </c>
      <c r="P60" s="581" t="s">
        <v>543</v>
      </c>
      <c r="Q60" s="342" t="s">
        <v>543</v>
      </c>
      <c r="R60" s="581" t="s">
        <v>543</v>
      </c>
      <c r="S60" s="342" t="s">
        <v>543</v>
      </c>
      <c r="T60" s="581" t="s">
        <v>543</v>
      </c>
      <c r="U60" s="342" t="s">
        <v>543</v>
      </c>
      <c r="V60" s="581" t="s">
        <v>543</v>
      </c>
      <c r="W60" s="342" t="s">
        <v>543</v>
      </c>
      <c r="X60" s="581" t="s">
        <v>543</v>
      </c>
      <c r="Y60" s="342" t="s">
        <v>543</v>
      </c>
      <c r="Z60" s="581" t="s">
        <v>543</v>
      </c>
      <c r="AA60" s="342" t="s">
        <v>543</v>
      </c>
      <c r="AB60" s="581" t="s">
        <v>543</v>
      </c>
      <c r="AC60" s="342" t="s">
        <v>543</v>
      </c>
      <c r="AD60" s="581" t="s">
        <v>543</v>
      </c>
      <c r="AE60" s="342" t="s">
        <v>543</v>
      </c>
      <c r="AF60" s="581" t="s">
        <v>543</v>
      </c>
      <c r="AG60" s="585" t="s">
        <v>543</v>
      </c>
      <c r="AH60" s="582" t="s">
        <v>544</v>
      </c>
      <c r="AI60" s="582" t="s">
        <v>544</v>
      </c>
      <c r="AJ60" s="582" t="s">
        <v>544</v>
      </c>
      <c r="AK60" s="582" t="s">
        <v>544</v>
      </c>
      <c r="AL60" s="582" t="s">
        <v>544</v>
      </c>
      <c r="AM60" s="582" t="s">
        <v>544</v>
      </c>
      <c r="AN60" s="582" t="s">
        <v>544</v>
      </c>
      <c r="AO60" s="582" t="s">
        <v>544</v>
      </c>
      <c r="AP60" s="582" t="s">
        <v>544</v>
      </c>
      <c r="AQ60" s="582" t="s">
        <v>544</v>
      </c>
      <c r="AR60" s="582" t="s">
        <v>544</v>
      </c>
      <c r="AS60" s="582" t="s">
        <v>544</v>
      </c>
      <c r="AT60" s="582" t="s">
        <v>544</v>
      </c>
      <c r="AU60" s="582" t="s">
        <v>544</v>
      </c>
      <c r="AV60" s="582" t="s">
        <v>544</v>
      </c>
      <c r="AW60" s="582" t="s">
        <v>544</v>
      </c>
      <c r="AX60" s="582" t="s">
        <v>544</v>
      </c>
      <c r="AY60" s="582" t="s">
        <v>544</v>
      </c>
      <c r="AZ60" s="582" t="s">
        <v>544</v>
      </c>
      <c r="BA60" s="582" t="s">
        <v>544</v>
      </c>
    </row>
    <row r="61" customFormat="false" ht="15.75" hidden="true" customHeight="true" outlineLevel="0" collapsed="false">
      <c r="B61" s="571" t="n">
        <v>840</v>
      </c>
      <c r="C61" s="581" t="s">
        <v>543</v>
      </c>
      <c r="D61" s="342" t="s">
        <v>543</v>
      </c>
      <c r="E61" s="581" t="s">
        <v>543</v>
      </c>
      <c r="F61" s="342" t="s">
        <v>543</v>
      </c>
      <c r="G61" s="581" t="s">
        <v>543</v>
      </c>
      <c r="H61" s="342" t="s">
        <v>543</v>
      </c>
      <c r="I61" s="581" t="s">
        <v>543</v>
      </c>
      <c r="J61" s="342" t="s">
        <v>543</v>
      </c>
      <c r="K61" s="581" t="s">
        <v>543</v>
      </c>
      <c r="L61" s="342" t="s">
        <v>543</v>
      </c>
      <c r="M61" s="581" t="s">
        <v>543</v>
      </c>
      <c r="N61" s="342" t="s">
        <v>543</v>
      </c>
      <c r="O61" s="581" t="s">
        <v>543</v>
      </c>
      <c r="P61" s="342" t="s">
        <v>543</v>
      </c>
      <c r="Q61" s="581" t="s">
        <v>543</v>
      </c>
      <c r="R61" s="342" t="s">
        <v>543</v>
      </c>
      <c r="S61" s="581" t="s">
        <v>543</v>
      </c>
      <c r="T61" s="342" t="s">
        <v>543</v>
      </c>
      <c r="U61" s="581" t="s">
        <v>543</v>
      </c>
      <c r="V61" s="342" t="s">
        <v>543</v>
      </c>
      <c r="W61" s="581" t="s">
        <v>543</v>
      </c>
      <c r="X61" s="342" t="s">
        <v>543</v>
      </c>
      <c r="Y61" s="581" t="s">
        <v>543</v>
      </c>
      <c r="Z61" s="342" t="s">
        <v>543</v>
      </c>
      <c r="AA61" s="581" t="s">
        <v>543</v>
      </c>
      <c r="AB61" s="342" t="s">
        <v>543</v>
      </c>
      <c r="AC61" s="581" t="s">
        <v>543</v>
      </c>
      <c r="AD61" s="342" t="s">
        <v>543</v>
      </c>
      <c r="AE61" s="581" t="s">
        <v>543</v>
      </c>
      <c r="AF61" s="342" t="s">
        <v>543</v>
      </c>
      <c r="AG61" s="581" t="s">
        <v>543</v>
      </c>
      <c r="AH61" s="582" t="s">
        <v>544</v>
      </c>
      <c r="AI61" s="582" t="s">
        <v>544</v>
      </c>
      <c r="AJ61" s="582" t="s">
        <v>544</v>
      </c>
      <c r="AK61" s="582" t="s">
        <v>544</v>
      </c>
      <c r="AL61" s="582" t="s">
        <v>544</v>
      </c>
      <c r="AM61" s="582" t="s">
        <v>544</v>
      </c>
      <c r="AN61" s="582" t="s">
        <v>544</v>
      </c>
      <c r="AO61" s="582" t="s">
        <v>544</v>
      </c>
      <c r="AP61" s="582" t="s">
        <v>544</v>
      </c>
      <c r="AQ61" s="582" t="s">
        <v>544</v>
      </c>
      <c r="AR61" s="582" t="s">
        <v>544</v>
      </c>
      <c r="AS61" s="582" t="s">
        <v>544</v>
      </c>
      <c r="AT61" s="582" t="s">
        <v>544</v>
      </c>
      <c r="AU61" s="582" t="s">
        <v>544</v>
      </c>
      <c r="AV61" s="582" t="s">
        <v>544</v>
      </c>
      <c r="AW61" s="582" t="s">
        <v>544</v>
      </c>
      <c r="AX61" s="582" t="s">
        <v>544</v>
      </c>
      <c r="AY61" s="582" t="s">
        <v>544</v>
      </c>
      <c r="AZ61" s="582" t="s">
        <v>544</v>
      </c>
      <c r="BA61" s="582" t="s">
        <v>544</v>
      </c>
    </row>
    <row r="62" customFormat="false" ht="15.75" hidden="true" customHeight="true" outlineLevel="0" collapsed="false">
      <c r="B62" s="571" t="n">
        <v>850</v>
      </c>
      <c r="C62" s="342" t="s">
        <v>543</v>
      </c>
      <c r="D62" s="581" t="s">
        <v>543</v>
      </c>
      <c r="E62" s="342" t="s">
        <v>543</v>
      </c>
      <c r="F62" s="581" t="s">
        <v>543</v>
      </c>
      <c r="G62" s="342" t="s">
        <v>543</v>
      </c>
      <c r="H62" s="581" t="s">
        <v>543</v>
      </c>
      <c r="I62" s="342" t="s">
        <v>543</v>
      </c>
      <c r="J62" s="581" t="s">
        <v>543</v>
      </c>
      <c r="K62" s="342" t="s">
        <v>543</v>
      </c>
      <c r="L62" s="581" t="s">
        <v>543</v>
      </c>
      <c r="M62" s="342" t="s">
        <v>543</v>
      </c>
      <c r="N62" s="581" t="s">
        <v>543</v>
      </c>
      <c r="O62" s="342" t="s">
        <v>543</v>
      </c>
      <c r="P62" s="581" t="s">
        <v>543</v>
      </c>
      <c r="Q62" s="342" t="s">
        <v>543</v>
      </c>
      <c r="R62" s="581" t="s">
        <v>543</v>
      </c>
      <c r="S62" s="342" t="s">
        <v>543</v>
      </c>
      <c r="T62" s="581" t="s">
        <v>543</v>
      </c>
      <c r="U62" s="342" t="s">
        <v>543</v>
      </c>
      <c r="V62" s="581" t="s">
        <v>543</v>
      </c>
      <c r="W62" s="342" t="s">
        <v>543</v>
      </c>
      <c r="X62" s="581" t="s">
        <v>543</v>
      </c>
      <c r="Y62" s="342" t="s">
        <v>543</v>
      </c>
      <c r="Z62" s="581" t="s">
        <v>543</v>
      </c>
      <c r="AA62" s="342" t="s">
        <v>543</v>
      </c>
      <c r="AB62" s="342" t="s">
        <v>543</v>
      </c>
      <c r="AC62" s="342" t="s">
        <v>543</v>
      </c>
      <c r="AD62" s="581" t="s">
        <v>543</v>
      </c>
      <c r="AE62" s="342" t="s">
        <v>543</v>
      </c>
      <c r="AF62" s="581" t="s">
        <v>543</v>
      </c>
      <c r="AG62" s="585" t="s">
        <v>543</v>
      </c>
      <c r="AH62" s="582" t="s">
        <v>544</v>
      </c>
      <c r="AI62" s="582" t="s">
        <v>544</v>
      </c>
      <c r="AJ62" s="582" t="s">
        <v>544</v>
      </c>
      <c r="AK62" s="582" t="s">
        <v>544</v>
      </c>
      <c r="AL62" s="582" t="s">
        <v>544</v>
      </c>
      <c r="AM62" s="582" t="s">
        <v>544</v>
      </c>
      <c r="AN62" s="582" t="s">
        <v>544</v>
      </c>
      <c r="AO62" s="582" t="s">
        <v>544</v>
      </c>
      <c r="AP62" s="582" t="s">
        <v>544</v>
      </c>
      <c r="AQ62" s="582" t="s">
        <v>544</v>
      </c>
      <c r="AR62" s="582" t="s">
        <v>544</v>
      </c>
      <c r="AS62" s="582" t="s">
        <v>544</v>
      </c>
      <c r="AT62" s="582" t="s">
        <v>544</v>
      </c>
      <c r="AU62" s="582" t="s">
        <v>544</v>
      </c>
      <c r="AV62" s="582" t="s">
        <v>544</v>
      </c>
      <c r="AW62" s="582" t="s">
        <v>544</v>
      </c>
      <c r="AX62" s="582" t="s">
        <v>544</v>
      </c>
      <c r="AY62" s="582" t="s">
        <v>544</v>
      </c>
      <c r="AZ62" s="582" t="s">
        <v>544</v>
      </c>
      <c r="BA62" s="582" t="s">
        <v>544</v>
      </c>
    </row>
    <row r="63" customFormat="false" ht="15.75" hidden="true" customHeight="true" outlineLevel="0" collapsed="false">
      <c r="B63" s="571" t="n">
        <v>860</v>
      </c>
      <c r="C63" s="581" t="s">
        <v>543</v>
      </c>
      <c r="D63" s="342" t="s">
        <v>543</v>
      </c>
      <c r="E63" s="581" t="s">
        <v>543</v>
      </c>
      <c r="F63" s="342" t="s">
        <v>543</v>
      </c>
      <c r="G63" s="581" t="s">
        <v>543</v>
      </c>
      <c r="H63" s="342" t="s">
        <v>543</v>
      </c>
      <c r="I63" s="581" t="s">
        <v>543</v>
      </c>
      <c r="J63" s="342" t="s">
        <v>543</v>
      </c>
      <c r="K63" s="581" t="s">
        <v>543</v>
      </c>
      <c r="L63" s="342" t="s">
        <v>543</v>
      </c>
      <c r="M63" s="581" t="s">
        <v>543</v>
      </c>
      <c r="N63" s="342" t="s">
        <v>543</v>
      </c>
      <c r="O63" s="581" t="s">
        <v>543</v>
      </c>
      <c r="P63" s="342" t="s">
        <v>543</v>
      </c>
      <c r="Q63" s="581" t="s">
        <v>543</v>
      </c>
      <c r="R63" s="342" t="s">
        <v>543</v>
      </c>
      <c r="S63" s="581" t="s">
        <v>543</v>
      </c>
      <c r="T63" s="342" t="s">
        <v>543</v>
      </c>
      <c r="U63" s="581" t="s">
        <v>543</v>
      </c>
      <c r="V63" s="342" t="s">
        <v>543</v>
      </c>
      <c r="W63" s="581" t="s">
        <v>543</v>
      </c>
      <c r="X63" s="342" t="s">
        <v>543</v>
      </c>
      <c r="Y63" s="581" t="s">
        <v>543</v>
      </c>
      <c r="Z63" s="342" t="s">
        <v>543</v>
      </c>
      <c r="AA63" s="342" t="s">
        <v>543</v>
      </c>
      <c r="AB63" s="342" t="s">
        <v>543</v>
      </c>
      <c r="AC63" s="342" t="s">
        <v>543</v>
      </c>
      <c r="AD63" s="342" t="s">
        <v>543</v>
      </c>
      <c r="AE63" s="581" t="s">
        <v>543</v>
      </c>
      <c r="AF63" s="342" t="s">
        <v>543</v>
      </c>
      <c r="AG63" s="581" t="s">
        <v>543</v>
      </c>
      <c r="AH63" s="582" t="s">
        <v>544</v>
      </c>
      <c r="AI63" s="582" t="s">
        <v>544</v>
      </c>
      <c r="AJ63" s="582" t="s">
        <v>544</v>
      </c>
      <c r="AK63" s="582" t="s">
        <v>544</v>
      </c>
      <c r="AL63" s="582" t="s">
        <v>544</v>
      </c>
      <c r="AM63" s="582" t="s">
        <v>544</v>
      </c>
      <c r="AN63" s="582" t="s">
        <v>544</v>
      </c>
      <c r="AO63" s="582" t="s">
        <v>544</v>
      </c>
      <c r="AP63" s="582" t="s">
        <v>544</v>
      </c>
      <c r="AQ63" s="582" t="s">
        <v>544</v>
      </c>
      <c r="AR63" s="582" t="s">
        <v>544</v>
      </c>
      <c r="AS63" s="582" t="s">
        <v>544</v>
      </c>
      <c r="AT63" s="582" t="s">
        <v>544</v>
      </c>
      <c r="AU63" s="582" t="s">
        <v>544</v>
      </c>
      <c r="AV63" s="582" t="s">
        <v>544</v>
      </c>
      <c r="AW63" s="582" t="s">
        <v>544</v>
      </c>
      <c r="AX63" s="582" t="s">
        <v>544</v>
      </c>
      <c r="AY63" s="582" t="s">
        <v>544</v>
      </c>
      <c r="AZ63" s="582" t="s">
        <v>544</v>
      </c>
      <c r="BA63" s="582" t="s">
        <v>544</v>
      </c>
    </row>
    <row r="64" customFormat="false" ht="15.75" hidden="true" customHeight="true" outlineLevel="0" collapsed="false">
      <c r="B64" s="571" t="n">
        <v>870</v>
      </c>
      <c r="C64" s="342" t="s">
        <v>543</v>
      </c>
      <c r="D64" s="581" t="s">
        <v>543</v>
      </c>
      <c r="E64" s="342" t="s">
        <v>543</v>
      </c>
      <c r="F64" s="581" t="s">
        <v>543</v>
      </c>
      <c r="G64" s="342" t="s">
        <v>543</v>
      </c>
      <c r="H64" s="581" t="s">
        <v>543</v>
      </c>
      <c r="I64" s="342" t="s">
        <v>543</v>
      </c>
      <c r="J64" s="581" t="s">
        <v>543</v>
      </c>
      <c r="K64" s="342" t="s">
        <v>543</v>
      </c>
      <c r="L64" s="581" t="s">
        <v>543</v>
      </c>
      <c r="M64" s="342" t="s">
        <v>543</v>
      </c>
      <c r="N64" s="581" t="s">
        <v>543</v>
      </c>
      <c r="O64" s="342" t="s">
        <v>543</v>
      </c>
      <c r="P64" s="581" t="s">
        <v>543</v>
      </c>
      <c r="Q64" s="342" t="s">
        <v>543</v>
      </c>
      <c r="R64" s="581" t="s">
        <v>543</v>
      </c>
      <c r="S64" s="342" t="s">
        <v>543</v>
      </c>
      <c r="T64" s="581" t="s">
        <v>543</v>
      </c>
      <c r="U64" s="342" t="s">
        <v>543</v>
      </c>
      <c r="V64" s="581" t="s">
        <v>543</v>
      </c>
      <c r="W64" s="342" t="s">
        <v>543</v>
      </c>
      <c r="X64" s="581" t="s">
        <v>543</v>
      </c>
      <c r="Y64" s="342" t="s">
        <v>543</v>
      </c>
      <c r="Z64" s="581" t="s">
        <v>543</v>
      </c>
      <c r="AA64" s="342" t="s">
        <v>543</v>
      </c>
      <c r="AB64" s="342" t="s">
        <v>543</v>
      </c>
      <c r="AC64" s="581" t="s">
        <v>543</v>
      </c>
      <c r="AD64" s="342" t="s">
        <v>543</v>
      </c>
      <c r="AE64" s="342" t="s">
        <v>543</v>
      </c>
      <c r="AF64" s="581" t="s">
        <v>543</v>
      </c>
      <c r="AG64" s="585" t="s">
        <v>543</v>
      </c>
      <c r="AH64" s="582" t="s">
        <v>544</v>
      </c>
      <c r="AI64" s="582" t="s">
        <v>544</v>
      </c>
      <c r="AJ64" s="582" t="s">
        <v>544</v>
      </c>
      <c r="AK64" s="582" t="s">
        <v>544</v>
      </c>
      <c r="AL64" s="582" t="s">
        <v>544</v>
      </c>
      <c r="AM64" s="582" t="s">
        <v>544</v>
      </c>
      <c r="AN64" s="582" t="s">
        <v>544</v>
      </c>
      <c r="AO64" s="582" t="s">
        <v>544</v>
      </c>
      <c r="AP64" s="582" t="s">
        <v>544</v>
      </c>
      <c r="AQ64" s="582" t="s">
        <v>544</v>
      </c>
      <c r="AR64" s="582" t="s">
        <v>544</v>
      </c>
      <c r="AS64" s="582" t="s">
        <v>544</v>
      </c>
      <c r="AT64" s="582" t="s">
        <v>544</v>
      </c>
      <c r="AU64" s="582" t="s">
        <v>544</v>
      </c>
      <c r="AV64" s="582" t="s">
        <v>544</v>
      </c>
      <c r="AW64" s="582" t="s">
        <v>544</v>
      </c>
      <c r="AX64" s="582" t="s">
        <v>544</v>
      </c>
      <c r="AY64" s="582" t="s">
        <v>544</v>
      </c>
      <c r="AZ64" s="582" t="s">
        <v>544</v>
      </c>
      <c r="BA64" s="582" t="s">
        <v>544</v>
      </c>
    </row>
    <row r="65" customFormat="false" ht="15.75" hidden="true" customHeight="true" outlineLevel="0" collapsed="false">
      <c r="B65" s="571" t="n">
        <v>880</v>
      </c>
      <c r="C65" s="581" t="s">
        <v>543</v>
      </c>
      <c r="D65" s="342" t="s">
        <v>543</v>
      </c>
      <c r="E65" s="581" t="s">
        <v>543</v>
      </c>
      <c r="F65" s="342" t="s">
        <v>543</v>
      </c>
      <c r="G65" s="581" t="s">
        <v>543</v>
      </c>
      <c r="H65" s="342" t="s">
        <v>543</v>
      </c>
      <c r="I65" s="581" t="s">
        <v>543</v>
      </c>
      <c r="J65" s="342" t="s">
        <v>543</v>
      </c>
      <c r="K65" s="581" t="s">
        <v>543</v>
      </c>
      <c r="L65" s="342" t="s">
        <v>543</v>
      </c>
      <c r="M65" s="581" t="s">
        <v>543</v>
      </c>
      <c r="N65" s="342" t="s">
        <v>543</v>
      </c>
      <c r="O65" s="581" t="s">
        <v>543</v>
      </c>
      <c r="P65" s="342" t="s">
        <v>543</v>
      </c>
      <c r="Q65" s="581" t="s">
        <v>543</v>
      </c>
      <c r="R65" s="342" t="s">
        <v>543</v>
      </c>
      <c r="S65" s="581" t="s">
        <v>543</v>
      </c>
      <c r="T65" s="342" t="s">
        <v>543</v>
      </c>
      <c r="U65" s="581" t="s">
        <v>543</v>
      </c>
      <c r="V65" s="342" t="s">
        <v>543</v>
      </c>
      <c r="W65" s="581" t="s">
        <v>543</v>
      </c>
      <c r="X65" s="342" t="s">
        <v>543</v>
      </c>
      <c r="Y65" s="581" t="s">
        <v>543</v>
      </c>
      <c r="Z65" s="342" t="s">
        <v>543</v>
      </c>
      <c r="AA65" s="342" t="s">
        <v>543</v>
      </c>
      <c r="AB65" s="581" t="s">
        <v>543</v>
      </c>
      <c r="AC65" s="342" t="s">
        <v>543</v>
      </c>
      <c r="AD65" s="581" t="s">
        <v>543</v>
      </c>
      <c r="AE65" s="342" t="s">
        <v>543</v>
      </c>
      <c r="AF65" s="342" t="s">
        <v>543</v>
      </c>
      <c r="AG65" s="581" t="s">
        <v>543</v>
      </c>
      <c r="AH65" s="582" t="s">
        <v>544</v>
      </c>
      <c r="AI65" s="582" t="s">
        <v>544</v>
      </c>
      <c r="AJ65" s="582" t="s">
        <v>544</v>
      </c>
      <c r="AK65" s="582" t="s">
        <v>544</v>
      </c>
      <c r="AL65" s="582" t="s">
        <v>544</v>
      </c>
      <c r="AM65" s="582" t="s">
        <v>544</v>
      </c>
      <c r="AN65" s="582" t="s">
        <v>544</v>
      </c>
      <c r="AO65" s="582" t="s">
        <v>544</v>
      </c>
      <c r="AP65" s="582" t="s">
        <v>544</v>
      </c>
      <c r="AQ65" s="582" t="s">
        <v>544</v>
      </c>
      <c r="AR65" s="582" t="s">
        <v>544</v>
      </c>
      <c r="AS65" s="582" t="s">
        <v>544</v>
      </c>
      <c r="AT65" s="582" t="s">
        <v>544</v>
      </c>
      <c r="AU65" s="582" t="s">
        <v>544</v>
      </c>
      <c r="AV65" s="582" t="s">
        <v>544</v>
      </c>
      <c r="AW65" s="582" t="s">
        <v>544</v>
      </c>
      <c r="AX65" s="582" t="s">
        <v>544</v>
      </c>
      <c r="AY65" s="582" t="s">
        <v>544</v>
      </c>
      <c r="AZ65" s="582" t="s">
        <v>544</v>
      </c>
      <c r="BA65" s="582" t="s">
        <v>544</v>
      </c>
    </row>
    <row r="66" customFormat="false" ht="15.75" hidden="true" customHeight="true" outlineLevel="0" collapsed="false">
      <c r="B66" s="571" t="n">
        <v>890</v>
      </c>
      <c r="C66" s="342" t="s">
        <v>543</v>
      </c>
      <c r="D66" s="581" t="s">
        <v>543</v>
      </c>
      <c r="E66" s="342" t="s">
        <v>543</v>
      </c>
      <c r="F66" s="581" t="s">
        <v>543</v>
      </c>
      <c r="G66" s="342" t="s">
        <v>543</v>
      </c>
      <c r="H66" s="581" t="s">
        <v>543</v>
      </c>
      <c r="I66" s="342" t="s">
        <v>543</v>
      </c>
      <c r="J66" s="581" t="s">
        <v>543</v>
      </c>
      <c r="K66" s="342" t="s">
        <v>543</v>
      </c>
      <c r="L66" s="581" t="s">
        <v>543</v>
      </c>
      <c r="M66" s="342" t="s">
        <v>543</v>
      </c>
      <c r="N66" s="581" t="s">
        <v>543</v>
      </c>
      <c r="O66" s="342" t="s">
        <v>543</v>
      </c>
      <c r="P66" s="581" t="s">
        <v>543</v>
      </c>
      <c r="Q66" s="342" t="s">
        <v>543</v>
      </c>
      <c r="R66" s="581" t="s">
        <v>543</v>
      </c>
      <c r="S66" s="342" t="s">
        <v>543</v>
      </c>
      <c r="T66" s="581" t="s">
        <v>543</v>
      </c>
      <c r="U66" s="342" t="s">
        <v>543</v>
      </c>
      <c r="V66" s="581" t="s">
        <v>543</v>
      </c>
      <c r="W66" s="342" t="s">
        <v>543</v>
      </c>
      <c r="X66" s="581" t="s">
        <v>543</v>
      </c>
      <c r="Y66" s="342" t="s">
        <v>543</v>
      </c>
      <c r="Z66" s="581" t="s">
        <v>543</v>
      </c>
      <c r="AA66" s="342" t="s">
        <v>543</v>
      </c>
      <c r="AB66" s="342" t="s">
        <v>543</v>
      </c>
      <c r="AC66" s="581" t="s">
        <v>543</v>
      </c>
      <c r="AD66" s="342" t="s">
        <v>543</v>
      </c>
      <c r="AE66" s="581" t="s">
        <v>543</v>
      </c>
      <c r="AF66" s="342" t="s">
        <v>543</v>
      </c>
      <c r="AG66" s="585" t="s">
        <v>543</v>
      </c>
      <c r="AH66" s="582" t="s">
        <v>544</v>
      </c>
      <c r="AI66" s="582" t="s">
        <v>544</v>
      </c>
      <c r="AJ66" s="582" t="s">
        <v>544</v>
      </c>
      <c r="AK66" s="582" t="s">
        <v>544</v>
      </c>
      <c r="AL66" s="582" t="s">
        <v>544</v>
      </c>
      <c r="AM66" s="582" t="s">
        <v>544</v>
      </c>
      <c r="AN66" s="582" t="s">
        <v>544</v>
      </c>
      <c r="AO66" s="582" t="s">
        <v>544</v>
      </c>
      <c r="AP66" s="582" t="s">
        <v>544</v>
      </c>
      <c r="AQ66" s="582" t="s">
        <v>544</v>
      </c>
      <c r="AR66" s="582" t="s">
        <v>544</v>
      </c>
      <c r="AS66" s="582" t="s">
        <v>544</v>
      </c>
      <c r="AT66" s="582" t="s">
        <v>544</v>
      </c>
      <c r="AU66" s="582" t="s">
        <v>544</v>
      </c>
      <c r="AV66" s="582" t="s">
        <v>544</v>
      </c>
      <c r="AW66" s="582" t="s">
        <v>544</v>
      </c>
      <c r="AX66" s="582" t="s">
        <v>544</v>
      </c>
      <c r="AY66" s="582" t="s">
        <v>544</v>
      </c>
      <c r="AZ66" s="582" t="s">
        <v>544</v>
      </c>
      <c r="BA66" s="582" t="s">
        <v>544</v>
      </c>
    </row>
    <row r="67" customFormat="false" ht="15.75" hidden="true" customHeight="true" outlineLevel="0" collapsed="false">
      <c r="B67" s="571" t="n">
        <v>900</v>
      </c>
      <c r="C67" s="581" t="s">
        <v>543</v>
      </c>
      <c r="D67" s="342" t="s">
        <v>543</v>
      </c>
      <c r="E67" s="581" t="s">
        <v>543</v>
      </c>
      <c r="F67" s="342" t="s">
        <v>543</v>
      </c>
      <c r="G67" s="581" t="s">
        <v>543</v>
      </c>
      <c r="H67" s="342" t="s">
        <v>543</v>
      </c>
      <c r="I67" s="581" t="s">
        <v>543</v>
      </c>
      <c r="J67" s="342" t="s">
        <v>543</v>
      </c>
      <c r="K67" s="581" t="s">
        <v>543</v>
      </c>
      <c r="L67" s="342" t="s">
        <v>543</v>
      </c>
      <c r="M67" s="581" t="s">
        <v>543</v>
      </c>
      <c r="N67" s="342" t="s">
        <v>543</v>
      </c>
      <c r="O67" s="581" t="s">
        <v>543</v>
      </c>
      <c r="P67" s="342" t="s">
        <v>543</v>
      </c>
      <c r="Q67" s="581" t="s">
        <v>543</v>
      </c>
      <c r="R67" s="342" t="s">
        <v>543</v>
      </c>
      <c r="S67" s="581" t="s">
        <v>543</v>
      </c>
      <c r="T67" s="342" t="s">
        <v>543</v>
      </c>
      <c r="U67" s="581" t="s">
        <v>543</v>
      </c>
      <c r="V67" s="342" t="s">
        <v>543</v>
      </c>
      <c r="W67" s="581" t="s">
        <v>543</v>
      </c>
      <c r="X67" s="342" t="s">
        <v>543</v>
      </c>
      <c r="Y67" s="581" t="s">
        <v>543</v>
      </c>
      <c r="Z67" s="342" t="s">
        <v>543</v>
      </c>
      <c r="AA67" s="342" t="s">
        <v>543</v>
      </c>
      <c r="AB67" s="581" t="s">
        <v>543</v>
      </c>
      <c r="AC67" s="342" t="s">
        <v>543</v>
      </c>
      <c r="AD67" s="581" t="s">
        <v>543</v>
      </c>
      <c r="AE67" s="342" t="s">
        <v>543</v>
      </c>
      <c r="AF67" s="342" t="s">
        <v>543</v>
      </c>
      <c r="AG67" s="581" t="s">
        <v>543</v>
      </c>
      <c r="AH67" s="582" t="s">
        <v>544</v>
      </c>
      <c r="AI67" s="582" t="s">
        <v>544</v>
      </c>
      <c r="AJ67" s="582" t="s">
        <v>544</v>
      </c>
      <c r="AK67" s="582" t="s">
        <v>544</v>
      </c>
      <c r="AL67" s="582" t="s">
        <v>544</v>
      </c>
      <c r="AM67" s="582" t="s">
        <v>544</v>
      </c>
      <c r="AN67" s="582" t="s">
        <v>544</v>
      </c>
      <c r="AO67" s="582" t="s">
        <v>544</v>
      </c>
      <c r="AP67" s="582" t="s">
        <v>544</v>
      </c>
      <c r="AQ67" s="582" t="s">
        <v>544</v>
      </c>
      <c r="AR67" s="582" t="s">
        <v>544</v>
      </c>
      <c r="AS67" s="582" t="s">
        <v>544</v>
      </c>
      <c r="AT67" s="582" t="s">
        <v>544</v>
      </c>
      <c r="AU67" s="582" t="s">
        <v>544</v>
      </c>
      <c r="AV67" s="582" t="s">
        <v>544</v>
      </c>
      <c r="AW67" s="582" t="s">
        <v>544</v>
      </c>
      <c r="AX67" s="582" t="s">
        <v>544</v>
      </c>
      <c r="AY67" s="582" t="s">
        <v>544</v>
      </c>
      <c r="AZ67" s="582" t="s">
        <v>544</v>
      </c>
      <c r="BA67" s="582" t="s">
        <v>544</v>
      </c>
    </row>
    <row r="68" customFormat="false" ht="15.75" hidden="true" customHeight="true" outlineLevel="0" collapsed="false">
      <c r="B68" s="571" t="n">
        <v>910</v>
      </c>
      <c r="C68" s="342" t="s">
        <v>543</v>
      </c>
      <c r="D68" s="581" t="s">
        <v>543</v>
      </c>
      <c r="E68" s="342" t="s">
        <v>543</v>
      </c>
      <c r="F68" s="581" t="s">
        <v>543</v>
      </c>
      <c r="G68" s="342" t="s">
        <v>543</v>
      </c>
      <c r="H68" s="581" t="s">
        <v>543</v>
      </c>
      <c r="I68" s="342" t="s">
        <v>543</v>
      </c>
      <c r="J68" s="581" t="s">
        <v>543</v>
      </c>
      <c r="K68" s="342" t="s">
        <v>543</v>
      </c>
      <c r="L68" s="581" t="s">
        <v>543</v>
      </c>
      <c r="M68" s="342" t="s">
        <v>543</v>
      </c>
      <c r="N68" s="581" t="s">
        <v>543</v>
      </c>
      <c r="O68" s="342" t="s">
        <v>543</v>
      </c>
      <c r="P68" s="581" t="s">
        <v>543</v>
      </c>
      <c r="Q68" s="342" t="s">
        <v>543</v>
      </c>
      <c r="R68" s="581" t="s">
        <v>543</v>
      </c>
      <c r="S68" s="342" t="s">
        <v>543</v>
      </c>
      <c r="T68" s="581" t="s">
        <v>543</v>
      </c>
      <c r="U68" s="342" t="s">
        <v>543</v>
      </c>
      <c r="V68" s="581" t="s">
        <v>543</v>
      </c>
      <c r="W68" s="342" t="s">
        <v>543</v>
      </c>
      <c r="X68" s="581" t="s">
        <v>543</v>
      </c>
      <c r="Y68" s="342" t="s">
        <v>543</v>
      </c>
      <c r="Z68" s="581" t="s">
        <v>543</v>
      </c>
      <c r="AA68" s="342" t="s">
        <v>543</v>
      </c>
      <c r="AB68" s="342" t="s">
        <v>543</v>
      </c>
      <c r="AC68" s="581" t="s">
        <v>543</v>
      </c>
      <c r="AD68" s="342" t="s">
        <v>543</v>
      </c>
      <c r="AE68" s="581" t="s">
        <v>543</v>
      </c>
      <c r="AF68" s="342" t="s">
        <v>543</v>
      </c>
      <c r="AG68" s="585" t="s">
        <v>543</v>
      </c>
      <c r="AH68" s="582" t="s">
        <v>544</v>
      </c>
      <c r="AI68" s="582" t="s">
        <v>544</v>
      </c>
      <c r="AJ68" s="582" t="s">
        <v>544</v>
      </c>
      <c r="AK68" s="582" t="s">
        <v>544</v>
      </c>
      <c r="AL68" s="582" t="s">
        <v>544</v>
      </c>
      <c r="AM68" s="582" t="s">
        <v>544</v>
      </c>
      <c r="AN68" s="582" t="s">
        <v>544</v>
      </c>
      <c r="AO68" s="582" t="s">
        <v>544</v>
      </c>
      <c r="AP68" s="582" t="s">
        <v>544</v>
      </c>
      <c r="AQ68" s="582" t="s">
        <v>544</v>
      </c>
      <c r="AR68" s="582" t="s">
        <v>544</v>
      </c>
      <c r="AS68" s="582" t="s">
        <v>544</v>
      </c>
      <c r="AT68" s="582" t="s">
        <v>544</v>
      </c>
      <c r="AU68" s="582" t="s">
        <v>544</v>
      </c>
      <c r="AV68" s="582" t="s">
        <v>544</v>
      </c>
      <c r="AW68" s="582" t="s">
        <v>544</v>
      </c>
      <c r="AX68" s="582" t="s">
        <v>544</v>
      </c>
      <c r="AY68" s="582" t="s">
        <v>544</v>
      </c>
      <c r="AZ68" s="582" t="s">
        <v>544</v>
      </c>
      <c r="BA68" s="582" t="s">
        <v>544</v>
      </c>
    </row>
    <row r="69" customFormat="false" ht="15.75" hidden="true" customHeight="true" outlineLevel="0" collapsed="false">
      <c r="B69" s="571" t="n">
        <v>920</v>
      </c>
      <c r="C69" s="581" t="s">
        <v>543</v>
      </c>
      <c r="D69" s="342" t="s">
        <v>543</v>
      </c>
      <c r="E69" s="581" t="s">
        <v>543</v>
      </c>
      <c r="F69" s="342" t="s">
        <v>543</v>
      </c>
      <c r="G69" s="581" t="s">
        <v>543</v>
      </c>
      <c r="H69" s="342" t="s">
        <v>543</v>
      </c>
      <c r="I69" s="581" t="s">
        <v>543</v>
      </c>
      <c r="J69" s="342" t="s">
        <v>543</v>
      </c>
      <c r="K69" s="581" t="s">
        <v>543</v>
      </c>
      <c r="L69" s="342" t="s">
        <v>543</v>
      </c>
      <c r="M69" s="581" t="s">
        <v>543</v>
      </c>
      <c r="N69" s="342" t="s">
        <v>543</v>
      </c>
      <c r="O69" s="581" t="s">
        <v>543</v>
      </c>
      <c r="P69" s="342" t="s">
        <v>543</v>
      </c>
      <c r="Q69" s="581" t="s">
        <v>543</v>
      </c>
      <c r="R69" s="342" t="s">
        <v>543</v>
      </c>
      <c r="S69" s="581" t="s">
        <v>543</v>
      </c>
      <c r="T69" s="342" t="s">
        <v>543</v>
      </c>
      <c r="U69" s="581" t="s">
        <v>543</v>
      </c>
      <c r="V69" s="342" t="s">
        <v>543</v>
      </c>
      <c r="W69" s="581" t="s">
        <v>543</v>
      </c>
      <c r="X69" s="342" t="s">
        <v>543</v>
      </c>
      <c r="Y69" s="581" t="s">
        <v>543</v>
      </c>
      <c r="Z69" s="342" t="s">
        <v>543</v>
      </c>
      <c r="AA69" s="342" t="s">
        <v>543</v>
      </c>
      <c r="AB69" s="581" t="s">
        <v>543</v>
      </c>
      <c r="AC69" s="342" t="s">
        <v>543</v>
      </c>
      <c r="AD69" s="581" t="s">
        <v>543</v>
      </c>
      <c r="AE69" s="342" t="s">
        <v>543</v>
      </c>
      <c r="AF69" s="342" t="s">
        <v>543</v>
      </c>
      <c r="AG69" s="581" t="s">
        <v>543</v>
      </c>
      <c r="AH69" s="582" t="s">
        <v>544</v>
      </c>
      <c r="AI69" s="582" t="s">
        <v>544</v>
      </c>
      <c r="AJ69" s="582" t="s">
        <v>544</v>
      </c>
      <c r="AK69" s="582" t="s">
        <v>544</v>
      </c>
      <c r="AL69" s="582" t="s">
        <v>544</v>
      </c>
      <c r="AM69" s="582" t="s">
        <v>544</v>
      </c>
      <c r="AN69" s="582" t="s">
        <v>544</v>
      </c>
      <c r="AO69" s="582" t="s">
        <v>544</v>
      </c>
      <c r="AP69" s="582" t="s">
        <v>544</v>
      </c>
      <c r="AQ69" s="582" t="s">
        <v>544</v>
      </c>
      <c r="AR69" s="582" t="s">
        <v>544</v>
      </c>
      <c r="AS69" s="582" t="s">
        <v>544</v>
      </c>
      <c r="AT69" s="582" t="s">
        <v>544</v>
      </c>
      <c r="AU69" s="582" t="s">
        <v>544</v>
      </c>
      <c r="AV69" s="582" t="s">
        <v>544</v>
      </c>
      <c r="AW69" s="582" t="s">
        <v>544</v>
      </c>
      <c r="AX69" s="582" t="s">
        <v>544</v>
      </c>
      <c r="AY69" s="582" t="s">
        <v>544</v>
      </c>
      <c r="AZ69" s="582" t="s">
        <v>544</v>
      </c>
      <c r="BA69" s="582" t="s">
        <v>544</v>
      </c>
    </row>
    <row r="70" customFormat="false" ht="15.75" hidden="true" customHeight="true" outlineLevel="0" collapsed="false">
      <c r="B70" s="571" t="n">
        <v>930</v>
      </c>
      <c r="C70" s="342" t="s">
        <v>543</v>
      </c>
      <c r="D70" s="581" t="s">
        <v>543</v>
      </c>
      <c r="E70" s="342" t="s">
        <v>543</v>
      </c>
      <c r="F70" s="581" t="s">
        <v>543</v>
      </c>
      <c r="G70" s="342" t="s">
        <v>543</v>
      </c>
      <c r="H70" s="581" t="s">
        <v>543</v>
      </c>
      <c r="I70" s="342" t="s">
        <v>543</v>
      </c>
      <c r="J70" s="581" t="s">
        <v>543</v>
      </c>
      <c r="K70" s="342" t="s">
        <v>543</v>
      </c>
      <c r="L70" s="581" t="s">
        <v>543</v>
      </c>
      <c r="M70" s="342" t="s">
        <v>543</v>
      </c>
      <c r="N70" s="581" t="s">
        <v>543</v>
      </c>
      <c r="O70" s="342" t="s">
        <v>543</v>
      </c>
      <c r="P70" s="581" t="s">
        <v>543</v>
      </c>
      <c r="Q70" s="342" t="s">
        <v>543</v>
      </c>
      <c r="R70" s="581" t="s">
        <v>543</v>
      </c>
      <c r="S70" s="342" t="s">
        <v>543</v>
      </c>
      <c r="T70" s="581" t="s">
        <v>543</v>
      </c>
      <c r="U70" s="342" t="s">
        <v>543</v>
      </c>
      <c r="V70" s="581" t="s">
        <v>543</v>
      </c>
      <c r="W70" s="342" t="s">
        <v>543</v>
      </c>
      <c r="X70" s="581" t="s">
        <v>543</v>
      </c>
      <c r="Y70" s="342" t="s">
        <v>543</v>
      </c>
      <c r="Z70" s="581" t="s">
        <v>543</v>
      </c>
      <c r="AA70" s="342" t="s">
        <v>543</v>
      </c>
      <c r="AB70" s="342" t="s">
        <v>543</v>
      </c>
      <c r="AC70" s="581" t="s">
        <v>543</v>
      </c>
      <c r="AD70" s="342" t="s">
        <v>543</v>
      </c>
      <c r="AE70" s="581" t="s">
        <v>543</v>
      </c>
      <c r="AF70" s="342" t="s">
        <v>543</v>
      </c>
      <c r="AG70" s="585" t="s">
        <v>543</v>
      </c>
      <c r="AH70" s="582" t="s">
        <v>544</v>
      </c>
      <c r="AI70" s="582" t="s">
        <v>544</v>
      </c>
      <c r="AJ70" s="582" t="s">
        <v>544</v>
      </c>
      <c r="AK70" s="582" t="s">
        <v>544</v>
      </c>
      <c r="AL70" s="582" t="s">
        <v>544</v>
      </c>
      <c r="AM70" s="582" t="s">
        <v>544</v>
      </c>
      <c r="AN70" s="582" t="s">
        <v>544</v>
      </c>
      <c r="AO70" s="582" t="s">
        <v>544</v>
      </c>
      <c r="AP70" s="582" t="s">
        <v>544</v>
      </c>
      <c r="AQ70" s="582" t="s">
        <v>544</v>
      </c>
      <c r="AR70" s="582" t="s">
        <v>544</v>
      </c>
      <c r="AS70" s="582" t="s">
        <v>544</v>
      </c>
      <c r="AT70" s="582" t="s">
        <v>544</v>
      </c>
      <c r="AU70" s="582" t="s">
        <v>544</v>
      </c>
      <c r="AV70" s="582" t="s">
        <v>544</v>
      </c>
      <c r="AW70" s="582" t="s">
        <v>544</v>
      </c>
      <c r="AX70" s="582" t="s">
        <v>544</v>
      </c>
      <c r="AY70" s="582" t="s">
        <v>544</v>
      </c>
      <c r="AZ70" s="582" t="s">
        <v>544</v>
      </c>
      <c r="BA70" s="582" t="s">
        <v>544</v>
      </c>
    </row>
    <row r="71" customFormat="false" ht="15.75" hidden="true" customHeight="true" outlineLevel="0" collapsed="false">
      <c r="B71" s="571" t="n">
        <v>940</v>
      </c>
      <c r="C71" s="581" t="s">
        <v>543</v>
      </c>
      <c r="D71" s="342" t="s">
        <v>543</v>
      </c>
      <c r="E71" s="581" t="s">
        <v>543</v>
      </c>
      <c r="F71" s="342" t="s">
        <v>543</v>
      </c>
      <c r="G71" s="581" t="s">
        <v>543</v>
      </c>
      <c r="H71" s="342" t="s">
        <v>543</v>
      </c>
      <c r="I71" s="581" t="s">
        <v>543</v>
      </c>
      <c r="J71" s="342" t="s">
        <v>543</v>
      </c>
      <c r="K71" s="581" t="s">
        <v>543</v>
      </c>
      <c r="L71" s="342" t="s">
        <v>543</v>
      </c>
      <c r="M71" s="581" t="s">
        <v>543</v>
      </c>
      <c r="N71" s="342" t="s">
        <v>543</v>
      </c>
      <c r="O71" s="581" t="s">
        <v>543</v>
      </c>
      <c r="P71" s="342" t="s">
        <v>543</v>
      </c>
      <c r="Q71" s="581" t="s">
        <v>543</v>
      </c>
      <c r="R71" s="342" t="s">
        <v>543</v>
      </c>
      <c r="S71" s="581" t="s">
        <v>543</v>
      </c>
      <c r="T71" s="342" t="s">
        <v>543</v>
      </c>
      <c r="U71" s="581" t="s">
        <v>543</v>
      </c>
      <c r="V71" s="342" t="s">
        <v>543</v>
      </c>
      <c r="W71" s="581" t="s">
        <v>543</v>
      </c>
      <c r="X71" s="342" t="s">
        <v>543</v>
      </c>
      <c r="Y71" s="581" t="s">
        <v>543</v>
      </c>
      <c r="Z71" s="342" t="s">
        <v>543</v>
      </c>
      <c r="AA71" s="342" t="s">
        <v>543</v>
      </c>
      <c r="AB71" s="581" t="s">
        <v>543</v>
      </c>
      <c r="AC71" s="342" t="s">
        <v>543</v>
      </c>
      <c r="AD71" s="581" t="s">
        <v>543</v>
      </c>
      <c r="AE71" s="342" t="s">
        <v>543</v>
      </c>
      <c r="AF71" s="342" t="s">
        <v>543</v>
      </c>
      <c r="AG71" s="581" t="s">
        <v>543</v>
      </c>
      <c r="AH71" s="582" t="s">
        <v>544</v>
      </c>
      <c r="AI71" s="582" t="s">
        <v>544</v>
      </c>
      <c r="AJ71" s="582" t="s">
        <v>544</v>
      </c>
      <c r="AK71" s="582" t="s">
        <v>544</v>
      </c>
      <c r="AL71" s="582" t="s">
        <v>544</v>
      </c>
      <c r="AM71" s="582" t="s">
        <v>544</v>
      </c>
      <c r="AN71" s="582" t="s">
        <v>544</v>
      </c>
      <c r="AO71" s="582" t="s">
        <v>544</v>
      </c>
      <c r="AP71" s="582" t="s">
        <v>544</v>
      </c>
      <c r="AQ71" s="582" t="s">
        <v>544</v>
      </c>
      <c r="AR71" s="582" t="s">
        <v>544</v>
      </c>
      <c r="AS71" s="582" t="s">
        <v>544</v>
      </c>
      <c r="AT71" s="582" t="s">
        <v>544</v>
      </c>
      <c r="AU71" s="582" t="s">
        <v>544</v>
      </c>
      <c r="AV71" s="582" t="s">
        <v>544</v>
      </c>
      <c r="AW71" s="582" t="s">
        <v>544</v>
      </c>
      <c r="AX71" s="582" t="s">
        <v>544</v>
      </c>
      <c r="AY71" s="582" t="s">
        <v>544</v>
      </c>
      <c r="AZ71" s="582" t="s">
        <v>544</v>
      </c>
      <c r="BA71" s="582" t="s">
        <v>544</v>
      </c>
    </row>
    <row r="72" customFormat="false" ht="15.75" hidden="true" customHeight="true" outlineLevel="0" collapsed="false">
      <c r="B72" s="571" t="n">
        <v>950</v>
      </c>
      <c r="C72" s="342" t="s">
        <v>543</v>
      </c>
      <c r="D72" s="581" t="s">
        <v>543</v>
      </c>
      <c r="E72" s="342" t="s">
        <v>543</v>
      </c>
      <c r="F72" s="581" t="s">
        <v>543</v>
      </c>
      <c r="G72" s="342" t="s">
        <v>543</v>
      </c>
      <c r="H72" s="581" t="s">
        <v>543</v>
      </c>
      <c r="I72" s="342" t="s">
        <v>543</v>
      </c>
      <c r="J72" s="581" t="s">
        <v>543</v>
      </c>
      <c r="K72" s="342" t="s">
        <v>543</v>
      </c>
      <c r="L72" s="581" t="s">
        <v>543</v>
      </c>
      <c r="M72" s="342" t="s">
        <v>543</v>
      </c>
      <c r="N72" s="581" t="s">
        <v>543</v>
      </c>
      <c r="O72" s="342" t="s">
        <v>543</v>
      </c>
      <c r="P72" s="581" t="s">
        <v>543</v>
      </c>
      <c r="Q72" s="342" t="s">
        <v>543</v>
      </c>
      <c r="R72" s="581" t="s">
        <v>543</v>
      </c>
      <c r="S72" s="342" t="s">
        <v>543</v>
      </c>
      <c r="T72" s="581" t="s">
        <v>543</v>
      </c>
      <c r="U72" s="342" t="s">
        <v>543</v>
      </c>
      <c r="V72" s="581" t="s">
        <v>543</v>
      </c>
      <c r="W72" s="342" t="s">
        <v>543</v>
      </c>
      <c r="X72" s="581" t="s">
        <v>543</v>
      </c>
      <c r="Y72" s="342" t="s">
        <v>543</v>
      </c>
      <c r="Z72" s="581" t="s">
        <v>543</v>
      </c>
      <c r="AA72" s="342" t="s">
        <v>543</v>
      </c>
      <c r="AB72" s="342" t="s">
        <v>543</v>
      </c>
      <c r="AC72" s="581" t="s">
        <v>543</v>
      </c>
      <c r="AD72" s="342" t="s">
        <v>543</v>
      </c>
      <c r="AE72" s="581" t="s">
        <v>543</v>
      </c>
      <c r="AF72" s="342" t="s">
        <v>543</v>
      </c>
      <c r="AG72" s="585" t="s">
        <v>543</v>
      </c>
      <c r="AH72" s="582" t="s">
        <v>544</v>
      </c>
      <c r="AI72" s="582" t="s">
        <v>544</v>
      </c>
      <c r="AJ72" s="582" t="s">
        <v>544</v>
      </c>
      <c r="AK72" s="582" t="s">
        <v>544</v>
      </c>
      <c r="AL72" s="582" t="s">
        <v>544</v>
      </c>
      <c r="AM72" s="582" t="s">
        <v>544</v>
      </c>
      <c r="AN72" s="582" t="s">
        <v>544</v>
      </c>
      <c r="AO72" s="582" t="s">
        <v>544</v>
      </c>
      <c r="AP72" s="582" t="s">
        <v>544</v>
      </c>
      <c r="AQ72" s="582" t="s">
        <v>544</v>
      </c>
      <c r="AR72" s="582" t="s">
        <v>544</v>
      </c>
      <c r="AS72" s="582" t="s">
        <v>544</v>
      </c>
      <c r="AT72" s="582" t="s">
        <v>544</v>
      </c>
      <c r="AU72" s="582" t="s">
        <v>544</v>
      </c>
      <c r="AV72" s="582" t="s">
        <v>544</v>
      </c>
      <c r="AW72" s="582" t="s">
        <v>544</v>
      </c>
      <c r="AX72" s="582" t="s">
        <v>544</v>
      </c>
      <c r="AY72" s="582" t="s">
        <v>544</v>
      </c>
      <c r="AZ72" s="582" t="s">
        <v>544</v>
      </c>
      <c r="BA72" s="582" t="s">
        <v>544</v>
      </c>
    </row>
    <row r="73" customFormat="false" ht="15.75" hidden="true" customHeight="true" outlineLevel="0" collapsed="false">
      <c r="B73" s="571" t="n">
        <v>960</v>
      </c>
      <c r="C73" s="581" t="s">
        <v>543</v>
      </c>
      <c r="D73" s="342" t="s">
        <v>543</v>
      </c>
      <c r="E73" s="581" t="s">
        <v>543</v>
      </c>
      <c r="F73" s="342" t="s">
        <v>543</v>
      </c>
      <c r="G73" s="581" t="s">
        <v>543</v>
      </c>
      <c r="H73" s="342" t="s">
        <v>543</v>
      </c>
      <c r="I73" s="581" t="s">
        <v>543</v>
      </c>
      <c r="J73" s="342" t="s">
        <v>543</v>
      </c>
      <c r="K73" s="581" t="s">
        <v>543</v>
      </c>
      <c r="L73" s="342" t="s">
        <v>543</v>
      </c>
      <c r="M73" s="581" t="s">
        <v>543</v>
      </c>
      <c r="N73" s="342" t="s">
        <v>543</v>
      </c>
      <c r="O73" s="581" t="s">
        <v>543</v>
      </c>
      <c r="P73" s="342" t="s">
        <v>543</v>
      </c>
      <c r="Q73" s="581" t="s">
        <v>543</v>
      </c>
      <c r="R73" s="342" t="s">
        <v>543</v>
      </c>
      <c r="S73" s="581" t="s">
        <v>543</v>
      </c>
      <c r="T73" s="342" t="s">
        <v>543</v>
      </c>
      <c r="U73" s="581" t="s">
        <v>543</v>
      </c>
      <c r="V73" s="342" t="s">
        <v>543</v>
      </c>
      <c r="W73" s="581" t="s">
        <v>543</v>
      </c>
      <c r="X73" s="342" t="s">
        <v>543</v>
      </c>
      <c r="Y73" s="581" t="s">
        <v>543</v>
      </c>
      <c r="Z73" s="342" t="s">
        <v>543</v>
      </c>
      <c r="AA73" s="342" t="s">
        <v>543</v>
      </c>
      <c r="AB73" s="342" t="s">
        <v>543</v>
      </c>
      <c r="AC73" s="342" t="s">
        <v>543</v>
      </c>
      <c r="AD73" s="581" t="s">
        <v>543</v>
      </c>
      <c r="AE73" s="342" t="s">
        <v>543</v>
      </c>
      <c r="AF73" s="342" t="s">
        <v>543</v>
      </c>
      <c r="AG73" s="581" t="s">
        <v>543</v>
      </c>
      <c r="AH73" s="582" t="s">
        <v>544</v>
      </c>
      <c r="AI73" s="582" t="s">
        <v>544</v>
      </c>
      <c r="AJ73" s="582" t="s">
        <v>544</v>
      </c>
      <c r="AK73" s="582" t="s">
        <v>544</v>
      </c>
      <c r="AL73" s="582" t="s">
        <v>544</v>
      </c>
      <c r="AM73" s="582" t="s">
        <v>544</v>
      </c>
      <c r="AN73" s="582" t="s">
        <v>544</v>
      </c>
      <c r="AO73" s="582" t="s">
        <v>544</v>
      </c>
      <c r="AP73" s="582" t="s">
        <v>544</v>
      </c>
      <c r="AQ73" s="582" t="s">
        <v>544</v>
      </c>
      <c r="AR73" s="582" t="s">
        <v>544</v>
      </c>
      <c r="AS73" s="582" t="s">
        <v>544</v>
      </c>
      <c r="AT73" s="582" t="s">
        <v>544</v>
      </c>
      <c r="AU73" s="582" t="s">
        <v>544</v>
      </c>
      <c r="AV73" s="582" t="s">
        <v>544</v>
      </c>
      <c r="AW73" s="582" t="s">
        <v>544</v>
      </c>
      <c r="AX73" s="582" t="s">
        <v>544</v>
      </c>
      <c r="AY73" s="582" t="s">
        <v>544</v>
      </c>
      <c r="AZ73" s="582" t="s">
        <v>544</v>
      </c>
      <c r="BA73" s="582" t="s">
        <v>544</v>
      </c>
    </row>
    <row r="74" customFormat="false" ht="15.75" hidden="true" customHeight="true" outlineLevel="0" collapsed="false">
      <c r="B74" s="571" t="n">
        <v>970</v>
      </c>
      <c r="C74" s="342" t="s">
        <v>543</v>
      </c>
      <c r="D74" s="581" t="s">
        <v>543</v>
      </c>
      <c r="E74" s="342" t="s">
        <v>543</v>
      </c>
      <c r="F74" s="581" t="s">
        <v>543</v>
      </c>
      <c r="G74" s="342" t="s">
        <v>543</v>
      </c>
      <c r="H74" s="581" t="s">
        <v>543</v>
      </c>
      <c r="I74" s="342" t="s">
        <v>543</v>
      </c>
      <c r="J74" s="581" t="s">
        <v>543</v>
      </c>
      <c r="K74" s="342" t="s">
        <v>543</v>
      </c>
      <c r="L74" s="581" t="s">
        <v>543</v>
      </c>
      <c r="M74" s="342" t="s">
        <v>543</v>
      </c>
      <c r="N74" s="581" t="s">
        <v>543</v>
      </c>
      <c r="O74" s="342" t="s">
        <v>543</v>
      </c>
      <c r="P74" s="581" t="s">
        <v>543</v>
      </c>
      <c r="Q74" s="342" t="s">
        <v>543</v>
      </c>
      <c r="R74" s="581" t="s">
        <v>543</v>
      </c>
      <c r="S74" s="342" t="s">
        <v>543</v>
      </c>
      <c r="T74" s="581" t="s">
        <v>543</v>
      </c>
      <c r="U74" s="342" t="s">
        <v>543</v>
      </c>
      <c r="V74" s="581" t="s">
        <v>543</v>
      </c>
      <c r="W74" s="342" t="s">
        <v>543</v>
      </c>
      <c r="X74" s="581" t="s">
        <v>543</v>
      </c>
      <c r="Y74" s="342" t="s">
        <v>543</v>
      </c>
      <c r="Z74" s="581" t="s">
        <v>543</v>
      </c>
      <c r="AA74" s="342" t="s">
        <v>543</v>
      </c>
      <c r="AB74" s="342" t="s">
        <v>543</v>
      </c>
      <c r="AC74" s="581" t="s">
        <v>543</v>
      </c>
      <c r="AD74" s="342" t="s">
        <v>543</v>
      </c>
      <c r="AE74" s="581" t="s">
        <v>543</v>
      </c>
      <c r="AF74" s="342" t="s">
        <v>543</v>
      </c>
      <c r="AG74" s="585" t="s">
        <v>543</v>
      </c>
      <c r="AH74" s="582" t="s">
        <v>544</v>
      </c>
      <c r="AI74" s="582" t="s">
        <v>544</v>
      </c>
      <c r="AJ74" s="582" t="s">
        <v>544</v>
      </c>
      <c r="AK74" s="582" t="s">
        <v>544</v>
      </c>
      <c r="AL74" s="582" t="s">
        <v>544</v>
      </c>
      <c r="AM74" s="582" t="s">
        <v>544</v>
      </c>
      <c r="AN74" s="582" t="s">
        <v>544</v>
      </c>
      <c r="AO74" s="582" t="s">
        <v>544</v>
      </c>
      <c r="AP74" s="582" t="s">
        <v>544</v>
      </c>
      <c r="AQ74" s="582" t="s">
        <v>544</v>
      </c>
      <c r="AR74" s="582" t="s">
        <v>544</v>
      </c>
      <c r="AS74" s="582" t="s">
        <v>544</v>
      </c>
      <c r="AT74" s="582" t="s">
        <v>544</v>
      </c>
      <c r="AU74" s="582" t="s">
        <v>544</v>
      </c>
      <c r="AV74" s="582" t="s">
        <v>544</v>
      </c>
      <c r="AW74" s="582" t="s">
        <v>544</v>
      </c>
      <c r="AX74" s="582" t="s">
        <v>544</v>
      </c>
      <c r="AY74" s="582" t="s">
        <v>544</v>
      </c>
      <c r="AZ74" s="582" t="s">
        <v>544</v>
      </c>
      <c r="BA74" s="582" t="s">
        <v>544</v>
      </c>
    </row>
    <row r="75" customFormat="false" ht="15.75" hidden="true" customHeight="true" outlineLevel="0" collapsed="false">
      <c r="B75" s="571" t="n">
        <v>980</v>
      </c>
      <c r="C75" s="581" t="s">
        <v>543</v>
      </c>
      <c r="D75" s="342" t="s">
        <v>543</v>
      </c>
      <c r="E75" s="581" t="s">
        <v>543</v>
      </c>
      <c r="F75" s="342" t="s">
        <v>543</v>
      </c>
      <c r="G75" s="581" t="s">
        <v>543</v>
      </c>
      <c r="H75" s="342" t="s">
        <v>543</v>
      </c>
      <c r="I75" s="581" t="s">
        <v>543</v>
      </c>
      <c r="J75" s="342" t="s">
        <v>543</v>
      </c>
      <c r="K75" s="581" t="s">
        <v>543</v>
      </c>
      <c r="L75" s="342" t="s">
        <v>543</v>
      </c>
      <c r="M75" s="581" t="s">
        <v>543</v>
      </c>
      <c r="N75" s="342" t="s">
        <v>543</v>
      </c>
      <c r="O75" s="581" t="s">
        <v>543</v>
      </c>
      <c r="P75" s="342" t="s">
        <v>543</v>
      </c>
      <c r="Q75" s="581" t="s">
        <v>543</v>
      </c>
      <c r="R75" s="342" t="s">
        <v>543</v>
      </c>
      <c r="S75" s="581" t="s">
        <v>543</v>
      </c>
      <c r="T75" s="342" t="s">
        <v>543</v>
      </c>
      <c r="U75" s="581" t="s">
        <v>543</v>
      </c>
      <c r="V75" s="342" t="s">
        <v>543</v>
      </c>
      <c r="W75" s="581" t="s">
        <v>543</v>
      </c>
      <c r="X75" s="342" t="s">
        <v>543</v>
      </c>
      <c r="Y75" s="581" t="s">
        <v>543</v>
      </c>
      <c r="Z75" s="342" t="s">
        <v>543</v>
      </c>
      <c r="AA75" s="342" t="s">
        <v>543</v>
      </c>
      <c r="AB75" s="581" t="s">
        <v>543</v>
      </c>
      <c r="AC75" s="342" t="s">
        <v>543</v>
      </c>
      <c r="AD75" s="581" t="s">
        <v>543</v>
      </c>
      <c r="AE75" s="342" t="s">
        <v>543</v>
      </c>
      <c r="AF75" s="342" t="s">
        <v>543</v>
      </c>
      <c r="AG75" s="581" t="s">
        <v>543</v>
      </c>
      <c r="AH75" s="582" t="s">
        <v>544</v>
      </c>
      <c r="AI75" s="582" t="s">
        <v>544</v>
      </c>
      <c r="AJ75" s="582" t="s">
        <v>544</v>
      </c>
      <c r="AK75" s="582" t="s">
        <v>544</v>
      </c>
      <c r="AL75" s="582" t="s">
        <v>544</v>
      </c>
      <c r="AM75" s="582" t="s">
        <v>544</v>
      </c>
      <c r="AN75" s="582" t="s">
        <v>544</v>
      </c>
      <c r="AO75" s="582" t="s">
        <v>544</v>
      </c>
      <c r="AP75" s="582" t="s">
        <v>544</v>
      </c>
      <c r="AQ75" s="582" t="s">
        <v>544</v>
      </c>
      <c r="AR75" s="582" t="s">
        <v>544</v>
      </c>
      <c r="AS75" s="582" t="s">
        <v>544</v>
      </c>
      <c r="AT75" s="582" t="s">
        <v>544</v>
      </c>
      <c r="AU75" s="582" t="s">
        <v>544</v>
      </c>
      <c r="AV75" s="582" t="s">
        <v>544</v>
      </c>
      <c r="AW75" s="582" t="s">
        <v>544</v>
      </c>
      <c r="AX75" s="582" t="s">
        <v>544</v>
      </c>
      <c r="AY75" s="582" t="s">
        <v>544</v>
      </c>
      <c r="AZ75" s="582" t="s">
        <v>544</v>
      </c>
      <c r="BA75" s="582" t="s">
        <v>544</v>
      </c>
    </row>
    <row r="76" customFormat="false" ht="15.75" hidden="true" customHeight="true" outlineLevel="0" collapsed="false">
      <c r="B76" s="571" t="n">
        <v>990</v>
      </c>
      <c r="C76" s="342" t="s">
        <v>543</v>
      </c>
      <c r="D76" s="581" t="s">
        <v>543</v>
      </c>
      <c r="E76" s="342" t="s">
        <v>543</v>
      </c>
      <c r="F76" s="581" t="s">
        <v>543</v>
      </c>
      <c r="G76" s="342" t="s">
        <v>543</v>
      </c>
      <c r="H76" s="581" t="s">
        <v>543</v>
      </c>
      <c r="I76" s="342" t="s">
        <v>543</v>
      </c>
      <c r="J76" s="581" t="s">
        <v>543</v>
      </c>
      <c r="K76" s="342" t="s">
        <v>543</v>
      </c>
      <c r="L76" s="581" t="s">
        <v>543</v>
      </c>
      <c r="M76" s="342" t="s">
        <v>543</v>
      </c>
      <c r="N76" s="581" t="s">
        <v>543</v>
      </c>
      <c r="O76" s="342" t="s">
        <v>543</v>
      </c>
      <c r="P76" s="581" t="s">
        <v>543</v>
      </c>
      <c r="Q76" s="342" t="s">
        <v>543</v>
      </c>
      <c r="R76" s="581" t="s">
        <v>543</v>
      </c>
      <c r="S76" s="342" t="s">
        <v>543</v>
      </c>
      <c r="T76" s="581" t="s">
        <v>543</v>
      </c>
      <c r="U76" s="342" t="s">
        <v>543</v>
      </c>
      <c r="V76" s="581" t="s">
        <v>543</v>
      </c>
      <c r="W76" s="342" t="s">
        <v>543</v>
      </c>
      <c r="X76" s="581" t="s">
        <v>543</v>
      </c>
      <c r="Y76" s="342" t="s">
        <v>543</v>
      </c>
      <c r="Z76" s="581" t="s">
        <v>543</v>
      </c>
      <c r="AA76" s="342" t="s">
        <v>543</v>
      </c>
      <c r="AB76" s="342" t="s">
        <v>543</v>
      </c>
      <c r="AC76" s="581" t="s">
        <v>543</v>
      </c>
      <c r="AD76" s="342" t="s">
        <v>543</v>
      </c>
      <c r="AE76" s="581" t="s">
        <v>543</v>
      </c>
      <c r="AF76" s="342" t="s">
        <v>543</v>
      </c>
      <c r="AG76" s="585" t="s">
        <v>543</v>
      </c>
      <c r="AH76" s="582" t="s">
        <v>544</v>
      </c>
      <c r="AI76" s="582" t="s">
        <v>544</v>
      </c>
      <c r="AJ76" s="582" t="s">
        <v>544</v>
      </c>
      <c r="AK76" s="582" t="s">
        <v>544</v>
      </c>
      <c r="AL76" s="582" t="s">
        <v>544</v>
      </c>
      <c r="AM76" s="582" t="s">
        <v>544</v>
      </c>
      <c r="AN76" s="582" t="s">
        <v>544</v>
      </c>
      <c r="AO76" s="582" t="s">
        <v>544</v>
      </c>
      <c r="AP76" s="582" t="s">
        <v>544</v>
      </c>
      <c r="AQ76" s="582" t="s">
        <v>544</v>
      </c>
      <c r="AR76" s="582" t="s">
        <v>544</v>
      </c>
      <c r="AS76" s="582" t="s">
        <v>544</v>
      </c>
      <c r="AT76" s="582" t="s">
        <v>544</v>
      </c>
      <c r="AU76" s="582" t="s">
        <v>544</v>
      </c>
      <c r="AV76" s="582" t="s">
        <v>544</v>
      </c>
      <c r="AW76" s="582" t="s">
        <v>544</v>
      </c>
      <c r="AX76" s="582" t="s">
        <v>544</v>
      </c>
      <c r="AY76" s="582" t="s">
        <v>544</v>
      </c>
      <c r="AZ76" s="582" t="s">
        <v>544</v>
      </c>
      <c r="BA76" s="582" t="s">
        <v>544</v>
      </c>
    </row>
    <row r="77" customFormat="false" ht="15.75" hidden="true" customHeight="true" outlineLevel="0" collapsed="false">
      <c r="B77" s="571" t="n">
        <v>1000</v>
      </c>
      <c r="C77" s="581" t="s">
        <v>543</v>
      </c>
      <c r="D77" s="586" t="s">
        <v>543</v>
      </c>
      <c r="E77" s="581" t="s">
        <v>543</v>
      </c>
      <c r="F77" s="586" t="s">
        <v>543</v>
      </c>
      <c r="G77" s="581" t="s">
        <v>543</v>
      </c>
      <c r="H77" s="586" t="s">
        <v>543</v>
      </c>
      <c r="I77" s="581" t="s">
        <v>543</v>
      </c>
      <c r="J77" s="586" t="s">
        <v>543</v>
      </c>
      <c r="K77" s="581" t="s">
        <v>543</v>
      </c>
      <c r="L77" s="586" t="s">
        <v>543</v>
      </c>
      <c r="M77" s="581" t="s">
        <v>543</v>
      </c>
      <c r="N77" s="586" t="s">
        <v>543</v>
      </c>
      <c r="O77" s="581" t="s">
        <v>543</v>
      </c>
      <c r="P77" s="586" t="s">
        <v>543</v>
      </c>
      <c r="Q77" s="581" t="s">
        <v>543</v>
      </c>
      <c r="R77" s="586" t="s">
        <v>543</v>
      </c>
      <c r="S77" s="581" t="s">
        <v>543</v>
      </c>
      <c r="T77" s="586" t="s">
        <v>543</v>
      </c>
      <c r="U77" s="581" t="s">
        <v>543</v>
      </c>
      <c r="V77" s="586" t="s">
        <v>543</v>
      </c>
      <c r="W77" s="581" t="s">
        <v>543</v>
      </c>
      <c r="X77" s="586" t="s">
        <v>543</v>
      </c>
      <c r="Y77" s="581" t="s">
        <v>543</v>
      </c>
      <c r="Z77" s="586" t="s">
        <v>543</v>
      </c>
      <c r="AA77" s="586" t="s">
        <v>543</v>
      </c>
      <c r="AB77" s="581" t="s">
        <v>543</v>
      </c>
      <c r="AC77" s="586" t="s">
        <v>543</v>
      </c>
      <c r="AD77" s="581" t="s">
        <v>543</v>
      </c>
      <c r="AE77" s="586" t="s">
        <v>543</v>
      </c>
      <c r="AF77" s="586" t="s">
        <v>543</v>
      </c>
      <c r="AG77" s="581" t="s">
        <v>543</v>
      </c>
      <c r="AH77" s="582" t="s">
        <v>544</v>
      </c>
      <c r="AI77" s="582" t="s">
        <v>544</v>
      </c>
      <c r="AJ77" s="582" t="s">
        <v>544</v>
      </c>
      <c r="AK77" s="582" t="s">
        <v>544</v>
      </c>
      <c r="AL77" s="582" t="s">
        <v>544</v>
      </c>
      <c r="AM77" s="582" t="s">
        <v>544</v>
      </c>
      <c r="AN77" s="582" t="s">
        <v>544</v>
      </c>
      <c r="AO77" s="582" t="s">
        <v>544</v>
      </c>
      <c r="AP77" s="582" t="s">
        <v>544</v>
      </c>
      <c r="AQ77" s="582" t="s">
        <v>544</v>
      </c>
      <c r="AR77" s="582" t="s">
        <v>544</v>
      </c>
      <c r="AS77" s="582" t="s">
        <v>544</v>
      </c>
      <c r="AT77" s="582" t="s">
        <v>544</v>
      </c>
      <c r="AU77" s="582" t="s">
        <v>544</v>
      </c>
      <c r="AV77" s="582" t="s">
        <v>544</v>
      </c>
      <c r="AW77" s="582" t="s">
        <v>544</v>
      </c>
      <c r="AX77" s="582" t="s">
        <v>544</v>
      </c>
      <c r="AY77" s="582" t="s">
        <v>544</v>
      </c>
      <c r="AZ77" s="582" t="s">
        <v>544</v>
      </c>
      <c r="BA77" s="582" t="s">
        <v>544</v>
      </c>
    </row>
    <row r="78" customFormat="false" ht="15.75" hidden="true" customHeight="true" outlineLevel="0" collapsed="false">
      <c r="B78" s="587" t="n">
        <v>1010</v>
      </c>
      <c r="C78" s="582" t="s">
        <v>544</v>
      </c>
      <c r="D78" s="582" t="s">
        <v>544</v>
      </c>
      <c r="E78" s="582" t="s">
        <v>544</v>
      </c>
      <c r="F78" s="582" t="s">
        <v>544</v>
      </c>
      <c r="G78" s="582" t="s">
        <v>544</v>
      </c>
      <c r="H78" s="582" t="s">
        <v>544</v>
      </c>
      <c r="I78" s="582" t="s">
        <v>544</v>
      </c>
      <c r="J78" s="582" t="s">
        <v>544</v>
      </c>
      <c r="K78" s="582" t="s">
        <v>544</v>
      </c>
      <c r="L78" s="582" t="s">
        <v>544</v>
      </c>
      <c r="M78" s="582" t="s">
        <v>544</v>
      </c>
      <c r="N78" s="582" t="s">
        <v>544</v>
      </c>
      <c r="O78" s="582" t="s">
        <v>544</v>
      </c>
      <c r="P78" s="582" t="s">
        <v>544</v>
      </c>
      <c r="Q78" s="582" t="s">
        <v>544</v>
      </c>
      <c r="R78" s="582" t="s">
        <v>544</v>
      </c>
      <c r="S78" s="582" t="s">
        <v>544</v>
      </c>
      <c r="T78" s="582" t="s">
        <v>544</v>
      </c>
      <c r="U78" s="582" t="s">
        <v>544</v>
      </c>
      <c r="V78" s="582" t="s">
        <v>544</v>
      </c>
      <c r="W78" s="582" t="s">
        <v>544</v>
      </c>
      <c r="X78" s="582" t="s">
        <v>544</v>
      </c>
      <c r="Y78" s="582" t="s">
        <v>544</v>
      </c>
      <c r="Z78" s="582" t="s">
        <v>544</v>
      </c>
      <c r="AA78" s="582" t="s">
        <v>544</v>
      </c>
      <c r="AB78" s="582" t="s">
        <v>544</v>
      </c>
      <c r="AC78" s="582" t="s">
        <v>544</v>
      </c>
      <c r="AD78" s="582" t="s">
        <v>544</v>
      </c>
      <c r="AE78" s="582" t="s">
        <v>544</v>
      </c>
      <c r="AF78" s="582" t="s">
        <v>544</v>
      </c>
      <c r="AG78" s="582" t="s">
        <v>544</v>
      </c>
      <c r="AH78" s="582" t="s">
        <v>544</v>
      </c>
      <c r="AI78" s="582" t="s">
        <v>544</v>
      </c>
      <c r="AJ78" s="582" t="s">
        <v>544</v>
      </c>
      <c r="AK78" s="582" t="s">
        <v>544</v>
      </c>
      <c r="AL78" s="582" t="s">
        <v>544</v>
      </c>
      <c r="AM78" s="582" t="s">
        <v>544</v>
      </c>
      <c r="AN78" s="582" t="s">
        <v>544</v>
      </c>
      <c r="AO78" s="582" t="s">
        <v>544</v>
      </c>
      <c r="AP78" s="582" t="s">
        <v>544</v>
      </c>
      <c r="AQ78" s="582" t="s">
        <v>544</v>
      </c>
      <c r="AR78" s="582" t="s">
        <v>544</v>
      </c>
      <c r="AS78" s="582" t="s">
        <v>544</v>
      </c>
      <c r="AT78" s="582" t="s">
        <v>544</v>
      </c>
      <c r="AU78" s="582" t="s">
        <v>544</v>
      </c>
      <c r="AV78" s="582" t="s">
        <v>544</v>
      </c>
      <c r="AW78" s="582" t="s">
        <v>544</v>
      </c>
      <c r="AX78" s="582" t="s">
        <v>544</v>
      </c>
      <c r="AY78" s="582" t="s">
        <v>544</v>
      </c>
      <c r="AZ78" s="582" t="s">
        <v>544</v>
      </c>
      <c r="BA78" s="582" t="s">
        <v>544</v>
      </c>
    </row>
    <row r="79" customFormat="false" ht="15.75" hidden="true" customHeight="true" outlineLevel="0" collapsed="false">
      <c r="B79" s="587" t="n">
        <v>1020</v>
      </c>
      <c r="C79" s="582" t="s">
        <v>544</v>
      </c>
      <c r="D79" s="582" t="s">
        <v>544</v>
      </c>
      <c r="E79" s="582" t="s">
        <v>544</v>
      </c>
      <c r="F79" s="582" t="s">
        <v>544</v>
      </c>
      <c r="G79" s="582" t="s">
        <v>544</v>
      </c>
      <c r="H79" s="582" t="s">
        <v>544</v>
      </c>
      <c r="I79" s="582" t="s">
        <v>544</v>
      </c>
      <c r="J79" s="582" t="s">
        <v>544</v>
      </c>
      <c r="K79" s="582" t="s">
        <v>544</v>
      </c>
      <c r="L79" s="582" t="s">
        <v>544</v>
      </c>
      <c r="M79" s="582" t="s">
        <v>544</v>
      </c>
      <c r="N79" s="582" t="s">
        <v>544</v>
      </c>
      <c r="O79" s="582" t="s">
        <v>544</v>
      </c>
      <c r="P79" s="582" t="s">
        <v>544</v>
      </c>
      <c r="Q79" s="582" t="s">
        <v>544</v>
      </c>
      <c r="R79" s="582" t="s">
        <v>544</v>
      </c>
      <c r="S79" s="582" t="s">
        <v>544</v>
      </c>
      <c r="T79" s="582" t="s">
        <v>544</v>
      </c>
      <c r="U79" s="582" t="s">
        <v>544</v>
      </c>
      <c r="V79" s="582" t="s">
        <v>544</v>
      </c>
      <c r="W79" s="582" t="s">
        <v>544</v>
      </c>
      <c r="X79" s="582" t="s">
        <v>544</v>
      </c>
      <c r="Y79" s="582" t="s">
        <v>544</v>
      </c>
      <c r="Z79" s="582" t="s">
        <v>544</v>
      </c>
      <c r="AA79" s="582" t="s">
        <v>544</v>
      </c>
      <c r="AB79" s="582" t="s">
        <v>544</v>
      </c>
      <c r="AC79" s="582" t="s">
        <v>544</v>
      </c>
      <c r="AD79" s="582" t="s">
        <v>544</v>
      </c>
      <c r="AE79" s="582" t="s">
        <v>544</v>
      </c>
      <c r="AF79" s="582" t="s">
        <v>544</v>
      </c>
      <c r="AG79" s="582" t="s">
        <v>544</v>
      </c>
      <c r="AH79" s="582" t="s">
        <v>544</v>
      </c>
      <c r="AI79" s="582" t="s">
        <v>544</v>
      </c>
      <c r="AJ79" s="582" t="s">
        <v>544</v>
      </c>
      <c r="AK79" s="582" t="s">
        <v>544</v>
      </c>
      <c r="AL79" s="582" t="s">
        <v>544</v>
      </c>
      <c r="AM79" s="582" t="s">
        <v>544</v>
      </c>
      <c r="AN79" s="582" t="s">
        <v>544</v>
      </c>
      <c r="AO79" s="582" t="s">
        <v>544</v>
      </c>
      <c r="AP79" s="582" t="s">
        <v>544</v>
      </c>
      <c r="AQ79" s="582" t="s">
        <v>544</v>
      </c>
      <c r="AR79" s="582" t="s">
        <v>544</v>
      </c>
      <c r="AS79" s="582" t="s">
        <v>544</v>
      </c>
      <c r="AT79" s="582" t="s">
        <v>544</v>
      </c>
      <c r="AU79" s="582" t="s">
        <v>544</v>
      </c>
      <c r="AV79" s="582" t="s">
        <v>544</v>
      </c>
      <c r="AW79" s="582" t="s">
        <v>544</v>
      </c>
      <c r="AX79" s="582" t="s">
        <v>544</v>
      </c>
      <c r="AY79" s="582" t="s">
        <v>544</v>
      </c>
      <c r="AZ79" s="582" t="s">
        <v>544</v>
      </c>
      <c r="BA79" s="582" t="s">
        <v>544</v>
      </c>
    </row>
    <row r="80" customFormat="false" ht="15.75" hidden="true" customHeight="true" outlineLevel="0" collapsed="false">
      <c r="B80" s="587" t="n">
        <v>1030</v>
      </c>
      <c r="C80" s="582" t="s">
        <v>544</v>
      </c>
      <c r="D80" s="582" t="s">
        <v>544</v>
      </c>
      <c r="E80" s="582" t="s">
        <v>544</v>
      </c>
      <c r="F80" s="582" t="s">
        <v>544</v>
      </c>
      <c r="G80" s="582" t="s">
        <v>544</v>
      </c>
      <c r="H80" s="582" t="s">
        <v>544</v>
      </c>
      <c r="I80" s="582" t="s">
        <v>544</v>
      </c>
      <c r="J80" s="582" t="s">
        <v>544</v>
      </c>
      <c r="K80" s="582" t="s">
        <v>544</v>
      </c>
      <c r="L80" s="582" t="s">
        <v>544</v>
      </c>
      <c r="M80" s="582" t="s">
        <v>544</v>
      </c>
      <c r="N80" s="582" t="s">
        <v>544</v>
      </c>
      <c r="O80" s="582" t="s">
        <v>544</v>
      </c>
      <c r="P80" s="582" t="s">
        <v>544</v>
      </c>
      <c r="Q80" s="582" t="s">
        <v>544</v>
      </c>
      <c r="R80" s="582" t="s">
        <v>544</v>
      </c>
      <c r="S80" s="582" t="s">
        <v>544</v>
      </c>
      <c r="T80" s="582" t="s">
        <v>544</v>
      </c>
      <c r="U80" s="582" t="s">
        <v>544</v>
      </c>
      <c r="V80" s="582" t="s">
        <v>544</v>
      </c>
      <c r="W80" s="582" t="s">
        <v>544</v>
      </c>
      <c r="X80" s="582" t="s">
        <v>544</v>
      </c>
      <c r="Y80" s="582" t="s">
        <v>544</v>
      </c>
      <c r="Z80" s="582" t="s">
        <v>544</v>
      </c>
      <c r="AA80" s="582" t="s">
        <v>544</v>
      </c>
      <c r="AB80" s="582" t="s">
        <v>544</v>
      </c>
      <c r="AC80" s="582" t="s">
        <v>544</v>
      </c>
      <c r="AD80" s="582" t="s">
        <v>544</v>
      </c>
      <c r="AE80" s="582" t="s">
        <v>544</v>
      </c>
      <c r="AF80" s="582" t="s">
        <v>544</v>
      </c>
      <c r="AG80" s="582" t="s">
        <v>544</v>
      </c>
      <c r="AH80" s="582" t="s">
        <v>544</v>
      </c>
      <c r="AI80" s="582" t="s">
        <v>544</v>
      </c>
      <c r="AJ80" s="582" t="s">
        <v>544</v>
      </c>
      <c r="AK80" s="582" t="s">
        <v>544</v>
      </c>
      <c r="AL80" s="582" t="s">
        <v>544</v>
      </c>
      <c r="AM80" s="582" t="s">
        <v>544</v>
      </c>
      <c r="AN80" s="582" t="s">
        <v>544</v>
      </c>
      <c r="AO80" s="582" t="s">
        <v>544</v>
      </c>
      <c r="AP80" s="582" t="s">
        <v>544</v>
      </c>
      <c r="AQ80" s="582" t="s">
        <v>544</v>
      </c>
      <c r="AR80" s="582" t="s">
        <v>544</v>
      </c>
      <c r="AS80" s="582" t="s">
        <v>544</v>
      </c>
      <c r="AT80" s="582" t="s">
        <v>544</v>
      </c>
      <c r="AU80" s="582" t="s">
        <v>544</v>
      </c>
      <c r="AV80" s="582" t="s">
        <v>544</v>
      </c>
      <c r="AW80" s="582" t="s">
        <v>544</v>
      </c>
      <c r="AX80" s="582" t="s">
        <v>544</v>
      </c>
      <c r="AY80" s="582" t="s">
        <v>544</v>
      </c>
      <c r="AZ80" s="582" t="s">
        <v>544</v>
      </c>
      <c r="BA80" s="582" t="s">
        <v>544</v>
      </c>
    </row>
    <row r="81" customFormat="false" ht="15.75" hidden="true" customHeight="true" outlineLevel="0" collapsed="false"/>
    <row r="82" customFormat="false" ht="15.75" hidden="true" customHeight="true" outlineLevel="0" collapsed="false"/>
    <row r="83" customFormat="false" ht="15.75" hidden="true" customHeight="true" outlineLevel="0" collapsed="false"/>
    <row r="84" customFormat="false" ht="15.75" hidden="true" customHeight="true" outlineLevel="0" collapsed="false"/>
    <row r="85" customFormat="false" ht="15.75" hidden="true" customHeight="true" outlineLevel="0" collapsed="false"/>
    <row r="86" customFormat="false" ht="15.75" hidden="true" customHeight="true" outlineLevel="0" collapsed="false"/>
    <row r="87" customFormat="false" ht="15.75" hidden="tru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894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12.57"/>
    <col collapsed="false" customWidth="true" hidden="false" outlineLevel="0" max="3" min="2" style="0" width="20.71"/>
    <col collapsed="false" customWidth="true" hidden="false" outlineLevel="0" max="4" min="4" style="0" width="21.14"/>
    <col collapsed="false" customWidth="true" hidden="false" outlineLevel="0" max="6" min="5" style="0" width="20.71"/>
    <col collapsed="false" customWidth="true" hidden="false" outlineLevel="0" max="7" min="7" style="0" width="21"/>
    <col collapsed="false" customWidth="true" hidden="false" outlineLevel="0" max="25" min="8" style="0" width="20.71"/>
    <col collapsed="false" customWidth="true" hidden="false" outlineLevel="0" max="31" min="26" style="0" width="8.71"/>
  </cols>
  <sheetData>
    <row r="1" customFormat="false" ht="30.75" hidden="false" customHeight="true" outlineLevel="0" collapsed="false">
      <c r="A1" s="588"/>
      <c r="B1" s="588"/>
      <c r="C1" s="588"/>
      <c r="D1" s="588"/>
      <c r="E1" s="588"/>
      <c r="F1" s="588"/>
      <c r="G1" s="588"/>
      <c r="H1" s="588"/>
      <c r="I1" s="588"/>
      <c r="J1" s="588"/>
    </row>
    <row r="2" customFormat="false" ht="210" hidden="false" customHeight="true" outlineLevel="0" collapsed="false">
      <c r="A2" s="589"/>
      <c r="B2" s="590"/>
      <c r="C2" s="590"/>
      <c r="D2" s="590"/>
      <c r="E2" s="590"/>
      <c r="F2" s="590"/>
      <c r="G2" s="591"/>
      <c r="H2" s="591"/>
      <c r="I2" s="591"/>
      <c r="J2" s="592"/>
    </row>
    <row r="3" customFormat="false" ht="31.3" hidden="false" customHeight="false" outlineLevel="0" collapsed="false">
      <c r="A3" s="593" t="s">
        <v>546</v>
      </c>
      <c r="B3" s="594" t="s">
        <v>547</v>
      </c>
      <c r="C3" s="595" t="s">
        <v>255</v>
      </c>
      <c r="D3" s="594" t="s">
        <v>258</v>
      </c>
      <c r="E3" s="594" t="s">
        <v>264</v>
      </c>
      <c r="F3" s="596"/>
      <c r="G3" s="596"/>
      <c r="H3" s="597"/>
      <c r="I3" s="598"/>
      <c r="J3" s="599"/>
    </row>
    <row r="4" customFormat="false" ht="16.5" hidden="false" customHeight="true" outlineLevel="0" collapsed="false">
      <c r="A4" s="600"/>
      <c r="B4" s="598"/>
      <c r="C4" s="598"/>
      <c r="D4" s="598"/>
      <c r="E4" s="598"/>
      <c r="F4" s="598"/>
      <c r="G4" s="598"/>
      <c r="H4" s="598"/>
      <c r="I4" s="598"/>
      <c r="J4" s="599"/>
    </row>
    <row r="5" customFormat="false" ht="210" hidden="false" customHeight="true" outlineLevel="0" collapsed="false">
      <c r="A5" s="601"/>
      <c r="B5" s="598"/>
      <c r="C5" s="598"/>
      <c r="D5" s="598"/>
      <c r="E5" s="598"/>
      <c r="F5" s="598"/>
      <c r="G5" s="597"/>
      <c r="H5" s="598"/>
      <c r="I5" s="598"/>
      <c r="J5" s="597"/>
    </row>
    <row r="6" customFormat="false" ht="31.3" hidden="false" customHeight="false" outlineLevel="0" collapsed="false">
      <c r="A6" s="593" t="s">
        <v>446</v>
      </c>
      <c r="B6" s="594" t="s">
        <v>221</v>
      </c>
      <c r="C6" s="602" t="s">
        <v>212</v>
      </c>
      <c r="D6" s="602" t="s">
        <v>218</v>
      </c>
      <c r="E6" s="602" t="s">
        <v>214</v>
      </c>
      <c r="F6" s="602" t="s">
        <v>216</v>
      </c>
      <c r="G6" s="598"/>
      <c r="H6" s="598"/>
      <c r="I6" s="598"/>
      <c r="J6" s="599"/>
      <c r="K6" s="324"/>
      <c r="L6" s="324"/>
      <c r="M6" s="324"/>
      <c r="N6" s="324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  <c r="AA6" s="324"/>
      <c r="AB6" s="324"/>
      <c r="AC6" s="324"/>
      <c r="AD6" s="324"/>
      <c r="AE6" s="324"/>
    </row>
    <row r="7" customFormat="false" ht="27" hidden="false" customHeight="true" outlineLevel="0" collapsed="false">
      <c r="A7" s="603" t="s">
        <v>548</v>
      </c>
      <c r="B7" s="604" t="n">
        <v>10</v>
      </c>
      <c r="C7" s="604" t="n">
        <v>10</v>
      </c>
      <c r="D7" s="604" t="n">
        <v>10</v>
      </c>
      <c r="E7" s="604" t="n">
        <v>10</v>
      </c>
      <c r="F7" s="604" t="n">
        <v>10</v>
      </c>
      <c r="G7" s="598"/>
      <c r="H7" s="598"/>
      <c r="I7" s="598"/>
      <c r="J7" s="599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</row>
    <row r="8" customFormat="false" ht="210" hidden="false" customHeight="true" outlineLevel="0" collapsed="false">
      <c r="A8" s="601"/>
      <c r="B8" s="597"/>
      <c r="C8" s="597"/>
      <c r="D8" s="597"/>
      <c r="E8" s="597"/>
      <c r="F8" s="597"/>
      <c r="G8" s="597"/>
      <c r="H8" s="597"/>
      <c r="I8" s="597"/>
      <c r="J8" s="599"/>
      <c r="K8" s="597"/>
      <c r="L8" s="324"/>
      <c r="M8" s="324"/>
      <c r="N8" s="324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  <c r="AA8" s="324"/>
      <c r="AB8" s="324"/>
      <c r="AC8" s="324"/>
      <c r="AD8" s="324"/>
      <c r="AE8" s="324"/>
    </row>
    <row r="9" customFormat="false" ht="31.3" hidden="false" customHeight="false" outlineLevel="0" collapsed="false">
      <c r="A9" s="593" t="s">
        <v>446</v>
      </c>
      <c r="B9" s="594" t="s">
        <v>549</v>
      </c>
      <c r="C9" s="594" t="s">
        <v>550</v>
      </c>
      <c r="D9" s="594" t="s">
        <v>551</v>
      </c>
      <c r="E9" s="594" t="s">
        <v>552</v>
      </c>
      <c r="F9" s="594" t="s">
        <v>553</v>
      </c>
      <c r="G9" s="594" t="s">
        <v>554</v>
      </c>
      <c r="H9" s="594" t="s">
        <v>555</v>
      </c>
      <c r="I9" s="594" t="s">
        <v>556</v>
      </c>
      <c r="J9" s="605" t="s">
        <v>557</v>
      </c>
      <c r="K9" s="324"/>
      <c r="L9" s="324"/>
      <c r="M9" s="324"/>
      <c r="N9" s="324"/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  <c r="AE9" s="324"/>
    </row>
    <row r="10" customFormat="false" ht="33" hidden="false" customHeight="true" outlineLevel="0" collapsed="false">
      <c r="A10" s="603" t="s">
        <v>548</v>
      </c>
      <c r="B10" s="604" t="n">
        <v>10</v>
      </c>
      <c r="C10" s="604" t="n">
        <v>10</v>
      </c>
      <c r="D10" s="604" t="n">
        <v>10</v>
      </c>
      <c r="E10" s="604" t="n">
        <v>10</v>
      </c>
      <c r="F10" s="604" t="n">
        <v>10</v>
      </c>
      <c r="G10" s="604" t="n">
        <v>10</v>
      </c>
      <c r="H10" s="604" t="n">
        <v>10</v>
      </c>
      <c r="I10" s="604" t="n">
        <v>10</v>
      </c>
      <c r="J10" s="606" t="n">
        <v>10</v>
      </c>
      <c r="K10" s="324"/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</row>
    <row r="11" customFormat="false" ht="210" hidden="false" customHeight="true" outlineLevel="0" collapsed="false">
      <c r="A11" s="601"/>
      <c r="B11" s="598"/>
      <c r="C11" s="598"/>
      <c r="D11" s="597"/>
      <c r="E11" s="598"/>
      <c r="F11" s="598"/>
      <c r="G11" s="598"/>
      <c r="H11" s="598"/>
      <c r="I11" s="598"/>
      <c r="J11" s="599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  <c r="AA11" s="324"/>
      <c r="AB11" s="324"/>
      <c r="AC11" s="324"/>
      <c r="AD11" s="324"/>
      <c r="AE11" s="324"/>
    </row>
    <row r="12" customFormat="false" ht="31.3" hidden="false" customHeight="false" outlineLevel="0" collapsed="false">
      <c r="A12" s="593" t="s">
        <v>446</v>
      </c>
      <c r="B12" s="594" t="s">
        <v>558</v>
      </c>
      <c r="C12" s="594" t="s">
        <v>559</v>
      </c>
      <c r="D12" s="594" t="s">
        <v>560</v>
      </c>
      <c r="E12" s="594" t="s">
        <v>561</v>
      </c>
      <c r="F12" s="594" t="s">
        <v>562</v>
      </c>
      <c r="G12" s="594" t="s">
        <v>230</v>
      </c>
      <c r="H12" s="594" t="s">
        <v>227</v>
      </c>
      <c r="I12" s="594" t="s">
        <v>228</v>
      </c>
      <c r="J12" s="605" t="s">
        <v>563</v>
      </c>
      <c r="K12" s="607"/>
      <c r="L12" s="324"/>
      <c r="M12" s="324"/>
      <c r="N12" s="324"/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  <c r="AE12" s="324"/>
    </row>
    <row r="13" customFormat="false" ht="26.25" hidden="false" customHeight="true" outlineLevel="0" collapsed="false">
      <c r="A13" s="608" t="s">
        <v>548</v>
      </c>
      <c r="B13" s="609" t="n">
        <v>10</v>
      </c>
      <c r="C13" s="609" t="n">
        <v>10</v>
      </c>
      <c r="D13" s="609" t="n">
        <v>10</v>
      </c>
      <c r="E13" s="609" t="n">
        <v>10</v>
      </c>
      <c r="F13" s="609" t="n">
        <v>10</v>
      </c>
      <c r="G13" s="609" t="n">
        <v>10</v>
      </c>
      <c r="H13" s="609" t="n">
        <v>10</v>
      </c>
      <c r="I13" s="609" t="n">
        <v>10</v>
      </c>
      <c r="J13" s="610" t="n">
        <v>10</v>
      </c>
      <c r="K13" s="324"/>
      <c r="L13" s="324"/>
      <c r="M13" s="324"/>
      <c r="N13" s="324"/>
      <c r="O13" s="324"/>
      <c r="P13" s="324"/>
      <c r="Q13" s="324"/>
      <c r="R13" s="324"/>
      <c r="S13" s="324"/>
      <c r="T13" s="324"/>
      <c r="U13" s="324"/>
      <c r="V13" s="324"/>
      <c r="W13" s="324"/>
      <c r="X13" s="324"/>
      <c r="Y13" s="324"/>
      <c r="Z13" s="324"/>
      <c r="AA13" s="324"/>
      <c r="AB13" s="324"/>
      <c r="AC13" s="324"/>
      <c r="AD13" s="324"/>
      <c r="AE13" s="324"/>
    </row>
    <row r="14" customFormat="false" ht="41.25" hidden="false" customHeight="true" outlineLevel="0" collapsed="false">
      <c r="A14" s="588" t="s">
        <v>564</v>
      </c>
      <c r="B14" s="588"/>
      <c r="C14" s="588"/>
      <c r="D14" s="588"/>
      <c r="E14" s="588"/>
      <c r="F14" s="588"/>
      <c r="G14" s="588"/>
      <c r="H14" s="588"/>
      <c r="I14" s="588"/>
      <c r="J14" s="588"/>
    </row>
    <row r="15" customFormat="false" ht="210" hidden="false" customHeight="true" outlineLevel="0" collapsed="false">
      <c r="A15" s="611"/>
      <c r="B15" s="612"/>
      <c r="C15" s="612"/>
      <c r="D15" s="612"/>
      <c r="E15" s="612"/>
      <c r="F15" s="612"/>
      <c r="G15" s="612"/>
      <c r="H15" s="612"/>
      <c r="I15" s="612"/>
      <c r="J15" s="613"/>
    </row>
    <row r="16" customFormat="false" ht="15.75" hidden="false" customHeight="true" outlineLevel="0" collapsed="false">
      <c r="A16" s="614" t="s">
        <v>446</v>
      </c>
      <c r="B16" s="615" t="s">
        <v>565</v>
      </c>
      <c r="C16" s="615" t="s">
        <v>566</v>
      </c>
      <c r="D16" s="615" t="s">
        <v>493</v>
      </c>
      <c r="E16" s="615" t="s">
        <v>567</v>
      </c>
      <c r="F16" s="615" t="s">
        <v>568</v>
      </c>
      <c r="G16" s="615" t="s">
        <v>569</v>
      </c>
      <c r="H16" s="615" t="s">
        <v>570</v>
      </c>
      <c r="I16" s="571"/>
      <c r="J16" s="616"/>
    </row>
    <row r="17" customFormat="false" ht="15.75" hidden="false" customHeight="true" outlineLevel="0" collapsed="false">
      <c r="A17" s="617"/>
      <c r="B17" s="584"/>
      <c r="C17" s="584"/>
      <c r="D17" s="584"/>
      <c r="E17" s="584"/>
      <c r="F17" s="584"/>
      <c r="G17" s="584"/>
      <c r="H17" s="584"/>
      <c r="I17" s="584"/>
      <c r="J17" s="618"/>
    </row>
    <row r="18" customFormat="false" ht="41.25" hidden="false" customHeight="true" outlineLevel="0" collapsed="false">
      <c r="A18" s="588" t="s">
        <v>571</v>
      </c>
      <c r="B18" s="588"/>
      <c r="C18" s="588"/>
      <c r="D18" s="588"/>
      <c r="E18" s="588"/>
      <c r="F18" s="588"/>
      <c r="G18" s="588"/>
      <c r="H18" s="588"/>
      <c r="I18" s="588"/>
      <c r="J18" s="588"/>
    </row>
    <row r="19" customFormat="false" ht="210" hidden="false" customHeight="true" outlineLevel="0" collapsed="false">
      <c r="A19" s="611"/>
      <c r="B19" s="612"/>
      <c r="C19" s="612"/>
      <c r="D19" s="612"/>
      <c r="E19" s="612"/>
      <c r="F19" s="619"/>
      <c r="G19" s="612"/>
      <c r="H19" s="612"/>
      <c r="I19" s="612"/>
      <c r="J19" s="613"/>
    </row>
    <row r="20" customFormat="false" ht="15.75" hidden="false" customHeight="true" outlineLevel="0" collapsed="false">
      <c r="A20" s="614" t="s">
        <v>446</v>
      </c>
      <c r="B20" s="595" t="s">
        <v>365</v>
      </c>
      <c r="C20" s="595" t="s">
        <v>366</v>
      </c>
      <c r="D20" s="595" t="s">
        <v>367</v>
      </c>
      <c r="E20" s="595" t="s">
        <v>368</v>
      </c>
      <c r="F20" s="595" t="s">
        <v>369</v>
      </c>
      <c r="G20" s="595" t="s">
        <v>572</v>
      </c>
      <c r="H20" s="595" t="s">
        <v>378</v>
      </c>
      <c r="I20" s="595" t="s">
        <v>379</v>
      </c>
      <c r="J20" s="620" t="s">
        <v>380</v>
      </c>
      <c r="K20" s="607"/>
    </row>
    <row r="21" customFormat="false" ht="15.75" hidden="false" customHeight="true" outlineLevel="0" collapsed="false">
      <c r="A21" s="600" t="s">
        <v>548</v>
      </c>
      <c r="B21" s="598" t="n">
        <v>16</v>
      </c>
      <c r="C21" s="598" t="n">
        <v>16</v>
      </c>
      <c r="D21" s="598" t="n">
        <v>16</v>
      </c>
      <c r="E21" s="598" t="n">
        <v>16</v>
      </c>
      <c r="F21" s="598" t="n">
        <v>16</v>
      </c>
      <c r="G21" s="598" t="n">
        <v>16</v>
      </c>
      <c r="H21" s="598" t="n">
        <v>16</v>
      </c>
      <c r="I21" s="598" t="n">
        <v>16</v>
      </c>
      <c r="J21" s="599" t="n">
        <v>16</v>
      </c>
    </row>
    <row r="22" customFormat="false" ht="28.5" hidden="true" customHeight="true" outlineLevel="0" collapsed="false">
      <c r="A22" s="621"/>
      <c r="B22" s="324" t="s">
        <v>573</v>
      </c>
      <c r="C22" s="324" t="s">
        <v>573</v>
      </c>
      <c r="D22" s="324" t="s">
        <v>574</v>
      </c>
      <c r="E22" s="324" t="s">
        <v>574</v>
      </c>
      <c r="F22" s="324" t="s">
        <v>575</v>
      </c>
      <c r="G22" s="324" t="s">
        <v>576</v>
      </c>
      <c r="J22" s="622"/>
    </row>
    <row r="23" customFormat="false" ht="15.75" hidden="true" customHeight="true" outlineLevel="0" collapsed="false">
      <c r="A23" s="623"/>
      <c r="B23" s="571"/>
      <c r="C23" s="571"/>
      <c r="D23" s="571"/>
      <c r="E23" s="571"/>
      <c r="F23" s="571"/>
      <c r="G23" s="571"/>
      <c r="H23" s="571"/>
      <c r="I23" s="571"/>
      <c r="J23" s="616"/>
    </row>
    <row r="24" customFormat="false" ht="15.75" hidden="true" customHeight="true" outlineLevel="0" collapsed="false">
      <c r="A24" s="624"/>
      <c r="B24" s="625" t="s">
        <v>577</v>
      </c>
      <c r="C24" s="625"/>
      <c r="D24" s="625" t="s">
        <v>578</v>
      </c>
      <c r="E24" s="625"/>
      <c r="F24" s="625"/>
      <c r="G24" s="626"/>
      <c r="H24" s="627"/>
      <c r="I24" s="627"/>
      <c r="J24" s="628"/>
    </row>
    <row r="25" customFormat="false" ht="15.75" hidden="true" customHeight="true" outlineLevel="0" collapsed="false">
      <c r="A25" s="600"/>
      <c r="B25" s="598"/>
      <c r="C25" s="598" t="n">
        <v>600</v>
      </c>
      <c r="D25" s="598"/>
      <c r="E25" s="598" t="n">
        <v>300</v>
      </c>
      <c r="F25" s="598"/>
      <c r="G25" s="598"/>
      <c r="H25" s="571"/>
      <c r="I25" s="571"/>
      <c r="J25" s="616"/>
    </row>
    <row r="26" customFormat="false" ht="15.75" hidden="true" customHeight="true" outlineLevel="0" collapsed="false">
      <c r="A26" s="621"/>
      <c r="B26" s="629"/>
      <c r="C26" s="630" t="n">
        <v>800</v>
      </c>
      <c r="D26" s="629"/>
      <c r="E26" s="630" t="n">
        <v>400</v>
      </c>
      <c r="J26" s="622"/>
    </row>
    <row r="27" customFormat="false" ht="15.75" hidden="true" customHeight="true" outlineLevel="0" collapsed="false">
      <c r="A27" s="621"/>
      <c r="B27" s="631"/>
      <c r="C27" s="630" t="n">
        <v>1000</v>
      </c>
      <c r="D27" s="631"/>
      <c r="E27" s="630" t="n">
        <v>500</v>
      </c>
      <c r="J27" s="622"/>
    </row>
    <row r="28" customFormat="false" ht="210" hidden="false" customHeight="true" outlineLevel="0" collapsed="false">
      <c r="A28" s="632"/>
      <c r="B28" s="80"/>
      <c r="C28" s="80"/>
      <c r="D28" s="80"/>
      <c r="E28" s="80"/>
      <c r="F28" s="80"/>
      <c r="G28" s="80"/>
      <c r="H28" s="80"/>
      <c r="I28" s="80"/>
      <c r="J28" s="633"/>
    </row>
    <row r="29" customFormat="false" ht="35.8" hidden="false" customHeight="false" outlineLevel="0" collapsed="false">
      <c r="A29" s="614" t="s">
        <v>446</v>
      </c>
      <c r="B29" s="595" t="s">
        <v>371</v>
      </c>
      <c r="C29" s="595" t="s">
        <v>372</v>
      </c>
      <c r="D29" s="595" t="s">
        <v>376</v>
      </c>
      <c r="E29" s="595" t="s">
        <v>377</v>
      </c>
      <c r="F29" s="595" t="s">
        <v>373</v>
      </c>
      <c r="G29" s="595" t="s">
        <v>374</v>
      </c>
      <c r="H29" s="595" t="s">
        <v>375</v>
      </c>
      <c r="I29" s="80"/>
      <c r="J29" s="633"/>
    </row>
    <row r="30" customFormat="false" ht="15.75" hidden="false" customHeight="true" outlineLevel="0" collapsed="false">
      <c r="A30" s="634" t="s">
        <v>548</v>
      </c>
      <c r="B30" s="635" t="n">
        <v>16</v>
      </c>
      <c r="C30" s="635" t="n">
        <v>16</v>
      </c>
      <c r="D30" s="635" t="n">
        <v>16</v>
      </c>
      <c r="E30" s="635" t="n">
        <v>16</v>
      </c>
      <c r="F30" s="635" t="n">
        <v>16</v>
      </c>
      <c r="G30" s="635" t="n">
        <v>16</v>
      </c>
      <c r="H30" s="635" t="n">
        <v>16</v>
      </c>
      <c r="I30" s="636"/>
      <c r="J30" s="637"/>
    </row>
    <row r="31" customFormat="false" ht="15.75" hidden="false" customHeight="true" outlineLevel="0" collapsed="false">
      <c r="A31" s="638"/>
    </row>
    <row r="32" customFormat="false" ht="15.75" hidden="false" customHeight="true" outlineLevel="0" collapsed="false">
      <c r="A32" s="638"/>
    </row>
    <row r="33" customFormat="false" ht="15.75" hidden="false" customHeight="true" outlineLevel="0" collapsed="false">
      <c r="A33" s="638"/>
    </row>
    <row r="34" customFormat="false" ht="15.75" hidden="false" customHeight="true" outlineLevel="0" collapsed="false">
      <c r="A34" s="638"/>
    </row>
    <row r="35" customFormat="false" ht="15.75" hidden="false" customHeight="true" outlineLevel="0" collapsed="false">
      <c r="A35" s="638"/>
    </row>
    <row r="36" customFormat="false" ht="15.75" hidden="false" customHeight="true" outlineLevel="0" collapsed="false">
      <c r="A36" s="638"/>
    </row>
    <row r="37" customFormat="false" ht="15.75" hidden="false" customHeight="true" outlineLevel="0" collapsed="false">
      <c r="A37" s="638"/>
    </row>
    <row r="38" customFormat="false" ht="15.75" hidden="false" customHeight="true" outlineLevel="0" collapsed="false">
      <c r="A38" s="638"/>
    </row>
    <row r="39" customFormat="false" ht="15.75" hidden="false" customHeight="true" outlineLevel="0" collapsed="false">
      <c r="A39" s="638"/>
    </row>
    <row r="40" customFormat="false" ht="15.75" hidden="false" customHeight="true" outlineLevel="0" collapsed="false">
      <c r="A40" s="638"/>
    </row>
    <row r="41" customFormat="false" ht="15.75" hidden="false" customHeight="true" outlineLevel="0" collapsed="false">
      <c r="A41" s="638"/>
    </row>
    <row r="42" customFormat="false" ht="15.75" hidden="false" customHeight="true" outlineLevel="0" collapsed="false">
      <c r="A42" s="638"/>
    </row>
    <row r="43" customFormat="false" ht="15.75" hidden="false" customHeight="true" outlineLevel="0" collapsed="false">
      <c r="A43" s="638"/>
    </row>
    <row r="44" customFormat="false" ht="15.75" hidden="false" customHeight="true" outlineLevel="0" collapsed="false">
      <c r="A44" s="638"/>
    </row>
    <row r="45" customFormat="false" ht="15.75" hidden="false" customHeight="true" outlineLevel="0" collapsed="false">
      <c r="A45" s="638"/>
    </row>
    <row r="46" customFormat="false" ht="15.75" hidden="false" customHeight="true" outlineLevel="0" collapsed="false">
      <c r="A46" s="638"/>
    </row>
    <row r="47" customFormat="false" ht="15.75" hidden="false" customHeight="true" outlineLevel="0" collapsed="false">
      <c r="A47" s="638"/>
    </row>
    <row r="48" customFormat="false" ht="15.75" hidden="false" customHeight="true" outlineLevel="0" collapsed="false">
      <c r="A48" s="638"/>
    </row>
    <row r="49" customFormat="false" ht="15.75" hidden="false" customHeight="true" outlineLevel="0" collapsed="false">
      <c r="A49" s="638"/>
    </row>
    <row r="50" customFormat="false" ht="15.75" hidden="false" customHeight="true" outlineLevel="0" collapsed="false">
      <c r="A50" s="638"/>
    </row>
    <row r="51" customFormat="false" ht="15.75" hidden="false" customHeight="true" outlineLevel="0" collapsed="false">
      <c r="A51" s="638"/>
    </row>
    <row r="52" customFormat="false" ht="15.75" hidden="false" customHeight="true" outlineLevel="0" collapsed="false">
      <c r="A52" s="638"/>
    </row>
    <row r="53" customFormat="false" ht="15.75" hidden="false" customHeight="true" outlineLevel="0" collapsed="false">
      <c r="A53" s="638"/>
    </row>
    <row r="54" customFormat="false" ht="15.75" hidden="false" customHeight="true" outlineLevel="0" collapsed="false">
      <c r="A54" s="638"/>
    </row>
    <row r="55" customFormat="false" ht="15.75" hidden="false" customHeight="true" outlineLevel="0" collapsed="false">
      <c r="A55" s="638"/>
    </row>
    <row r="56" customFormat="false" ht="15.75" hidden="false" customHeight="true" outlineLevel="0" collapsed="false">
      <c r="A56" s="638"/>
    </row>
    <row r="57" customFormat="false" ht="15.75" hidden="false" customHeight="true" outlineLevel="0" collapsed="false">
      <c r="A57" s="638"/>
    </row>
    <row r="58" customFormat="false" ht="15.75" hidden="false" customHeight="true" outlineLevel="0" collapsed="false">
      <c r="A58" s="638"/>
    </row>
    <row r="59" customFormat="false" ht="15.75" hidden="false" customHeight="true" outlineLevel="0" collapsed="false">
      <c r="A59" s="638"/>
    </row>
    <row r="60" customFormat="false" ht="15.75" hidden="false" customHeight="true" outlineLevel="0" collapsed="false">
      <c r="A60" s="638"/>
    </row>
    <row r="61" customFormat="false" ht="15.75" hidden="false" customHeight="true" outlineLevel="0" collapsed="false">
      <c r="A61" s="638"/>
    </row>
    <row r="62" customFormat="false" ht="15.75" hidden="false" customHeight="true" outlineLevel="0" collapsed="false">
      <c r="A62" s="638"/>
    </row>
    <row r="63" customFormat="false" ht="15.75" hidden="false" customHeight="true" outlineLevel="0" collapsed="false">
      <c r="A63" s="638"/>
    </row>
    <row r="64" customFormat="false" ht="15.75" hidden="false" customHeight="true" outlineLevel="0" collapsed="false">
      <c r="A64" s="638"/>
    </row>
    <row r="65" customFormat="false" ht="15.75" hidden="false" customHeight="true" outlineLevel="0" collapsed="false">
      <c r="A65" s="638"/>
    </row>
    <row r="66" customFormat="false" ht="15.75" hidden="false" customHeight="true" outlineLevel="0" collapsed="false">
      <c r="A66" s="638"/>
    </row>
    <row r="67" customFormat="false" ht="15.75" hidden="false" customHeight="true" outlineLevel="0" collapsed="false">
      <c r="A67" s="638"/>
    </row>
    <row r="68" customFormat="false" ht="15.75" hidden="false" customHeight="true" outlineLevel="0" collapsed="false">
      <c r="A68" s="638"/>
    </row>
    <row r="69" customFormat="false" ht="15.75" hidden="false" customHeight="true" outlineLevel="0" collapsed="false">
      <c r="A69" s="638"/>
    </row>
    <row r="70" customFormat="false" ht="15.75" hidden="false" customHeight="true" outlineLevel="0" collapsed="false">
      <c r="A70" s="638"/>
    </row>
    <row r="71" customFormat="false" ht="15.75" hidden="false" customHeight="true" outlineLevel="0" collapsed="false">
      <c r="A71" s="638"/>
    </row>
    <row r="72" customFormat="false" ht="15.75" hidden="false" customHeight="true" outlineLevel="0" collapsed="false">
      <c r="A72" s="638"/>
    </row>
    <row r="73" customFormat="false" ht="15.75" hidden="false" customHeight="true" outlineLevel="0" collapsed="false">
      <c r="A73" s="638"/>
    </row>
    <row r="74" customFormat="false" ht="15.75" hidden="false" customHeight="true" outlineLevel="0" collapsed="false">
      <c r="A74" s="638"/>
    </row>
    <row r="75" customFormat="false" ht="15.75" hidden="false" customHeight="true" outlineLevel="0" collapsed="false">
      <c r="A75" s="638"/>
    </row>
    <row r="76" customFormat="false" ht="15.75" hidden="false" customHeight="true" outlineLevel="0" collapsed="false">
      <c r="A76" s="638"/>
    </row>
    <row r="77" customFormat="false" ht="15.75" hidden="false" customHeight="true" outlineLevel="0" collapsed="false">
      <c r="A77" s="638"/>
    </row>
    <row r="78" customFormat="false" ht="15.75" hidden="false" customHeight="true" outlineLevel="0" collapsed="false">
      <c r="A78" s="638"/>
    </row>
    <row r="79" customFormat="false" ht="15.75" hidden="false" customHeight="true" outlineLevel="0" collapsed="false">
      <c r="A79" s="638"/>
    </row>
    <row r="80" customFormat="false" ht="15.75" hidden="false" customHeight="true" outlineLevel="0" collapsed="false">
      <c r="A80" s="638"/>
    </row>
    <row r="81" customFormat="false" ht="15.75" hidden="false" customHeight="true" outlineLevel="0" collapsed="false">
      <c r="A81" s="638"/>
    </row>
    <row r="82" customFormat="false" ht="15.75" hidden="false" customHeight="true" outlineLevel="0" collapsed="false">
      <c r="A82" s="638"/>
    </row>
    <row r="83" customFormat="false" ht="15.75" hidden="false" customHeight="true" outlineLevel="0" collapsed="false">
      <c r="A83" s="638"/>
    </row>
    <row r="84" customFormat="false" ht="15.75" hidden="false" customHeight="true" outlineLevel="0" collapsed="false">
      <c r="A84" s="638"/>
    </row>
    <row r="85" customFormat="false" ht="15.75" hidden="false" customHeight="true" outlineLevel="0" collapsed="false">
      <c r="A85" s="638"/>
    </row>
    <row r="86" customFormat="false" ht="15.75" hidden="false" customHeight="true" outlineLevel="0" collapsed="false">
      <c r="A86" s="638"/>
    </row>
    <row r="87" customFormat="false" ht="15.75" hidden="false" customHeight="true" outlineLevel="0" collapsed="false">
      <c r="A87" s="638"/>
    </row>
    <row r="88" customFormat="false" ht="15.75" hidden="false" customHeight="true" outlineLevel="0" collapsed="false">
      <c r="A88" s="638"/>
    </row>
    <row r="89" customFormat="false" ht="15.75" hidden="false" customHeight="true" outlineLevel="0" collapsed="false">
      <c r="A89" s="638"/>
    </row>
    <row r="90" customFormat="false" ht="15.75" hidden="false" customHeight="true" outlineLevel="0" collapsed="false">
      <c r="A90" s="638"/>
    </row>
    <row r="91" customFormat="false" ht="15.75" hidden="false" customHeight="true" outlineLevel="0" collapsed="false">
      <c r="A91" s="638"/>
    </row>
    <row r="92" customFormat="false" ht="15.75" hidden="false" customHeight="true" outlineLevel="0" collapsed="false">
      <c r="A92" s="638"/>
    </row>
    <row r="93" customFormat="false" ht="15.75" hidden="false" customHeight="true" outlineLevel="0" collapsed="false">
      <c r="A93" s="638"/>
    </row>
    <row r="94" customFormat="false" ht="15.75" hidden="false" customHeight="true" outlineLevel="0" collapsed="false">
      <c r="A94" s="638"/>
    </row>
    <row r="95" customFormat="false" ht="15.75" hidden="false" customHeight="true" outlineLevel="0" collapsed="false">
      <c r="A95" s="638"/>
    </row>
    <row r="96" customFormat="false" ht="15.75" hidden="false" customHeight="true" outlineLevel="0" collapsed="false">
      <c r="A96" s="638"/>
    </row>
    <row r="97" customFormat="false" ht="15.75" hidden="false" customHeight="true" outlineLevel="0" collapsed="false">
      <c r="A97" s="638"/>
    </row>
    <row r="98" customFormat="false" ht="15.75" hidden="false" customHeight="true" outlineLevel="0" collapsed="false">
      <c r="A98" s="638"/>
    </row>
    <row r="99" customFormat="false" ht="15.75" hidden="false" customHeight="true" outlineLevel="0" collapsed="false">
      <c r="A99" s="638"/>
    </row>
    <row r="100" customFormat="false" ht="15.75" hidden="false" customHeight="true" outlineLevel="0" collapsed="false">
      <c r="A100" s="638"/>
    </row>
    <row r="101" customFormat="false" ht="15.75" hidden="false" customHeight="true" outlineLevel="0" collapsed="false">
      <c r="A101" s="638"/>
    </row>
    <row r="102" customFormat="false" ht="15.75" hidden="false" customHeight="true" outlineLevel="0" collapsed="false">
      <c r="A102" s="638"/>
    </row>
    <row r="103" customFormat="false" ht="15.75" hidden="false" customHeight="true" outlineLevel="0" collapsed="false">
      <c r="A103" s="638"/>
    </row>
    <row r="104" customFormat="false" ht="15.75" hidden="false" customHeight="true" outlineLevel="0" collapsed="false">
      <c r="A104" s="638"/>
    </row>
    <row r="105" customFormat="false" ht="15.75" hidden="false" customHeight="true" outlineLevel="0" collapsed="false">
      <c r="A105" s="638"/>
    </row>
    <row r="106" customFormat="false" ht="15.75" hidden="false" customHeight="true" outlineLevel="0" collapsed="false">
      <c r="A106" s="638"/>
    </row>
    <row r="107" customFormat="false" ht="15.75" hidden="false" customHeight="true" outlineLevel="0" collapsed="false">
      <c r="A107" s="638"/>
    </row>
    <row r="108" customFormat="false" ht="15.75" hidden="false" customHeight="true" outlineLevel="0" collapsed="false">
      <c r="A108" s="638"/>
    </row>
    <row r="109" customFormat="false" ht="15.75" hidden="false" customHeight="true" outlineLevel="0" collapsed="false">
      <c r="A109" s="638"/>
    </row>
    <row r="110" customFormat="false" ht="15.75" hidden="false" customHeight="true" outlineLevel="0" collapsed="false">
      <c r="A110" s="638"/>
    </row>
    <row r="111" customFormat="false" ht="15.75" hidden="false" customHeight="true" outlineLevel="0" collapsed="false">
      <c r="A111" s="638"/>
    </row>
    <row r="112" customFormat="false" ht="15.75" hidden="false" customHeight="true" outlineLevel="0" collapsed="false">
      <c r="A112" s="638"/>
    </row>
    <row r="113" customFormat="false" ht="15.75" hidden="false" customHeight="true" outlineLevel="0" collapsed="false">
      <c r="A113" s="638"/>
    </row>
    <row r="114" customFormat="false" ht="15.75" hidden="false" customHeight="true" outlineLevel="0" collapsed="false">
      <c r="A114" s="638"/>
    </row>
    <row r="115" customFormat="false" ht="15.75" hidden="false" customHeight="true" outlineLevel="0" collapsed="false">
      <c r="A115" s="638"/>
    </row>
    <row r="116" customFormat="false" ht="15.75" hidden="false" customHeight="true" outlineLevel="0" collapsed="false">
      <c r="A116" s="638"/>
    </row>
    <row r="117" customFormat="false" ht="15.75" hidden="false" customHeight="true" outlineLevel="0" collapsed="false">
      <c r="A117" s="638"/>
    </row>
    <row r="118" customFormat="false" ht="15.75" hidden="false" customHeight="true" outlineLevel="0" collapsed="false">
      <c r="A118" s="638"/>
    </row>
    <row r="119" customFormat="false" ht="15.75" hidden="false" customHeight="true" outlineLevel="0" collapsed="false">
      <c r="A119" s="638"/>
    </row>
    <row r="120" customFormat="false" ht="15.75" hidden="false" customHeight="true" outlineLevel="0" collapsed="false">
      <c r="A120" s="638"/>
    </row>
    <row r="121" customFormat="false" ht="15.75" hidden="false" customHeight="true" outlineLevel="0" collapsed="false">
      <c r="A121" s="638"/>
    </row>
    <row r="122" customFormat="false" ht="15.75" hidden="false" customHeight="true" outlineLevel="0" collapsed="false">
      <c r="A122" s="638"/>
    </row>
    <row r="123" customFormat="false" ht="15.75" hidden="false" customHeight="true" outlineLevel="0" collapsed="false">
      <c r="A123" s="638"/>
    </row>
    <row r="124" customFormat="false" ht="15.75" hidden="false" customHeight="true" outlineLevel="0" collapsed="false">
      <c r="A124" s="638"/>
    </row>
    <row r="125" customFormat="false" ht="15.75" hidden="false" customHeight="true" outlineLevel="0" collapsed="false">
      <c r="A125" s="638"/>
    </row>
    <row r="126" customFormat="false" ht="15.75" hidden="false" customHeight="true" outlineLevel="0" collapsed="false">
      <c r="A126" s="638"/>
    </row>
    <row r="127" customFormat="false" ht="15.75" hidden="false" customHeight="true" outlineLevel="0" collapsed="false">
      <c r="A127" s="638"/>
    </row>
    <row r="128" customFormat="false" ht="15.75" hidden="false" customHeight="true" outlineLevel="0" collapsed="false">
      <c r="A128" s="638"/>
    </row>
    <row r="129" customFormat="false" ht="15.75" hidden="false" customHeight="true" outlineLevel="0" collapsed="false">
      <c r="A129" s="638"/>
    </row>
    <row r="130" customFormat="false" ht="15.75" hidden="false" customHeight="true" outlineLevel="0" collapsed="false">
      <c r="A130" s="638"/>
    </row>
    <row r="131" customFormat="false" ht="15.75" hidden="false" customHeight="true" outlineLevel="0" collapsed="false">
      <c r="A131" s="638"/>
    </row>
    <row r="132" customFormat="false" ht="15.75" hidden="false" customHeight="true" outlineLevel="0" collapsed="false">
      <c r="A132" s="638"/>
    </row>
    <row r="133" customFormat="false" ht="15.75" hidden="false" customHeight="true" outlineLevel="0" collapsed="false">
      <c r="A133" s="638"/>
    </row>
    <row r="134" customFormat="false" ht="15.75" hidden="false" customHeight="true" outlineLevel="0" collapsed="false">
      <c r="A134" s="638"/>
    </row>
    <row r="135" customFormat="false" ht="15.75" hidden="false" customHeight="true" outlineLevel="0" collapsed="false">
      <c r="A135" s="638"/>
    </row>
    <row r="136" customFormat="false" ht="15.75" hidden="false" customHeight="true" outlineLevel="0" collapsed="false">
      <c r="A136" s="638"/>
    </row>
    <row r="137" customFormat="false" ht="15.75" hidden="false" customHeight="true" outlineLevel="0" collapsed="false">
      <c r="A137" s="638"/>
    </row>
    <row r="138" customFormat="false" ht="15.75" hidden="false" customHeight="true" outlineLevel="0" collapsed="false">
      <c r="A138" s="638"/>
    </row>
    <row r="139" customFormat="false" ht="15.75" hidden="false" customHeight="true" outlineLevel="0" collapsed="false">
      <c r="A139" s="638"/>
    </row>
    <row r="140" customFormat="false" ht="15.75" hidden="false" customHeight="true" outlineLevel="0" collapsed="false">
      <c r="A140" s="638"/>
    </row>
    <row r="141" customFormat="false" ht="15.75" hidden="false" customHeight="true" outlineLevel="0" collapsed="false">
      <c r="A141" s="638"/>
    </row>
    <row r="142" customFormat="false" ht="15.75" hidden="false" customHeight="true" outlineLevel="0" collapsed="false">
      <c r="A142" s="638"/>
    </row>
    <row r="143" customFormat="false" ht="15.75" hidden="false" customHeight="true" outlineLevel="0" collapsed="false">
      <c r="A143" s="638"/>
    </row>
    <row r="144" customFormat="false" ht="15.75" hidden="false" customHeight="true" outlineLevel="0" collapsed="false">
      <c r="A144" s="638"/>
    </row>
    <row r="145" customFormat="false" ht="15.75" hidden="false" customHeight="true" outlineLevel="0" collapsed="false">
      <c r="A145" s="638"/>
    </row>
    <row r="146" customFormat="false" ht="15.75" hidden="false" customHeight="true" outlineLevel="0" collapsed="false">
      <c r="A146" s="638"/>
    </row>
    <row r="147" customFormat="false" ht="15.75" hidden="false" customHeight="true" outlineLevel="0" collapsed="false">
      <c r="A147" s="638"/>
    </row>
    <row r="148" customFormat="false" ht="15.75" hidden="false" customHeight="true" outlineLevel="0" collapsed="false">
      <c r="A148" s="638"/>
    </row>
    <row r="149" customFormat="false" ht="15.75" hidden="false" customHeight="true" outlineLevel="0" collapsed="false">
      <c r="A149" s="638"/>
    </row>
    <row r="150" customFormat="false" ht="15.75" hidden="false" customHeight="true" outlineLevel="0" collapsed="false">
      <c r="A150" s="638"/>
    </row>
    <row r="151" customFormat="false" ht="15.75" hidden="false" customHeight="true" outlineLevel="0" collapsed="false">
      <c r="A151" s="638"/>
    </row>
    <row r="152" customFormat="false" ht="15.75" hidden="false" customHeight="true" outlineLevel="0" collapsed="false">
      <c r="A152" s="638"/>
    </row>
    <row r="153" customFormat="false" ht="15.75" hidden="false" customHeight="true" outlineLevel="0" collapsed="false">
      <c r="A153" s="638"/>
    </row>
    <row r="154" customFormat="false" ht="15.75" hidden="false" customHeight="true" outlineLevel="0" collapsed="false">
      <c r="A154" s="638"/>
    </row>
    <row r="155" customFormat="false" ht="15.75" hidden="false" customHeight="true" outlineLevel="0" collapsed="false">
      <c r="A155" s="638"/>
    </row>
    <row r="156" customFormat="false" ht="15.75" hidden="false" customHeight="true" outlineLevel="0" collapsed="false">
      <c r="A156" s="638"/>
    </row>
    <row r="157" customFormat="false" ht="15.75" hidden="false" customHeight="true" outlineLevel="0" collapsed="false">
      <c r="A157" s="638"/>
    </row>
    <row r="158" customFormat="false" ht="15.75" hidden="false" customHeight="true" outlineLevel="0" collapsed="false">
      <c r="A158" s="638"/>
    </row>
    <row r="159" customFormat="false" ht="15.75" hidden="false" customHeight="true" outlineLevel="0" collapsed="false">
      <c r="A159" s="638"/>
    </row>
    <row r="160" customFormat="false" ht="15.75" hidden="false" customHeight="true" outlineLevel="0" collapsed="false">
      <c r="A160" s="638"/>
    </row>
    <row r="161" customFormat="false" ht="15.75" hidden="false" customHeight="true" outlineLevel="0" collapsed="false">
      <c r="A161" s="638"/>
    </row>
    <row r="162" customFormat="false" ht="15.75" hidden="false" customHeight="true" outlineLevel="0" collapsed="false">
      <c r="A162" s="638"/>
    </row>
    <row r="163" customFormat="false" ht="15.75" hidden="false" customHeight="true" outlineLevel="0" collapsed="false">
      <c r="A163" s="638"/>
    </row>
    <row r="164" customFormat="false" ht="15.75" hidden="false" customHeight="true" outlineLevel="0" collapsed="false">
      <c r="A164" s="638"/>
    </row>
    <row r="165" customFormat="false" ht="15.75" hidden="false" customHeight="true" outlineLevel="0" collapsed="false">
      <c r="A165" s="638"/>
    </row>
    <row r="166" customFormat="false" ht="15.75" hidden="false" customHeight="true" outlineLevel="0" collapsed="false">
      <c r="A166" s="638"/>
    </row>
    <row r="167" customFormat="false" ht="15.75" hidden="false" customHeight="true" outlineLevel="0" collapsed="false">
      <c r="A167" s="638"/>
    </row>
    <row r="168" customFormat="false" ht="15.75" hidden="false" customHeight="true" outlineLevel="0" collapsed="false">
      <c r="A168" s="638"/>
    </row>
    <row r="169" customFormat="false" ht="15.75" hidden="false" customHeight="true" outlineLevel="0" collapsed="false">
      <c r="A169" s="638"/>
    </row>
    <row r="170" customFormat="false" ht="15.75" hidden="false" customHeight="true" outlineLevel="0" collapsed="false">
      <c r="A170" s="638"/>
    </row>
    <row r="171" customFormat="false" ht="15.75" hidden="false" customHeight="true" outlineLevel="0" collapsed="false">
      <c r="A171" s="638"/>
    </row>
    <row r="172" customFormat="false" ht="15.75" hidden="false" customHeight="true" outlineLevel="0" collapsed="false">
      <c r="A172" s="638"/>
    </row>
    <row r="173" customFormat="false" ht="15.75" hidden="false" customHeight="true" outlineLevel="0" collapsed="false">
      <c r="A173" s="638"/>
    </row>
    <row r="174" customFormat="false" ht="15.75" hidden="false" customHeight="true" outlineLevel="0" collapsed="false">
      <c r="A174" s="638"/>
    </row>
    <row r="175" customFormat="false" ht="15.75" hidden="false" customHeight="true" outlineLevel="0" collapsed="false">
      <c r="A175" s="638"/>
    </row>
    <row r="176" customFormat="false" ht="15.75" hidden="false" customHeight="true" outlineLevel="0" collapsed="false">
      <c r="A176" s="638"/>
    </row>
    <row r="177" customFormat="false" ht="15.75" hidden="false" customHeight="true" outlineLevel="0" collapsed="false">
      <c r="A177" s="638"/>
    </row>
    <row r="178" customFormat="false" ht="15.75" hidden="false" customHeight="true" outlineLevel="0" collapsed="false">
      <c r="A178" s="638"/>
    </row>
    <row r="179" customFormat="false" ht="15.75" hidden="false" customHeight="true" outlineLevel="0" collapsed="false">
      <c r="A179" s="638"/>
    </row>
    <row r="180" customFormat="false" ht="15.75" hidden="false" customHeight="true" outlineLevel="0" collapsed="false">
      <c r="A180" s="638"/>
    </row>
    <row r="181" customFormat="false" ht="15.75" hidden="false" customHeight="true" outlineLevel="0" collapsed="false">
      <c r="A181" s="638"/>
    </row>
    <row r="182" customFormat="false" ht="15.75" hidden="false" customHeight="true" outlineLevel="0" collapsed="false">
      <c r="A182" s="638"/>
    </row>
    <row r="183" customFormat="false" ht="15.75" hidden="false" customHeight="true" outlineLevel="0" collapsed="false">
      <c r="A183" s="638"/>
    </row>
    <row r="184" customFormat="false" ht="15.75" hidden="false" customHeight="true" outlineLevel="0" collapsed="false">
      <c r="A184" s="638"/>
    </row>
    <row r="185" customFormat="false" ht="15.75" hidden="false" customHeight="true" outlineLevel="0" collapsed="false">
      <c r="A185" s="638"/>
    </row>
    <row r="186" customFormat="false" ht="15.75" hidden="false" customHeight="true" outlineLevel="0" collapsed="false">
      <c r="A186" s="638"/>
    </row>
    <row r="187" customFormat="false" ht="15.75" hidden="false" customHeight="true" outlineLevel="0" collapsed="false">
      <c r="A187" s="638"/>
    </row>
    <row r="188" customFormat="false" ht="15.75" hidden="false" customHeight="true" outlineLevel="0" collapsed="false">
      <c r="A188" s="638"/>
    </row>
    <row r="189" customFormat="false" ht="15.75" hidden="false" customHeight="true" outlineLevel="0" collapsed="false">
      <c r="A189" s="638"/>
    </row>
    <row r="190" customFormat="false" ht="15.75" hidden="false" customHeight="true" outlineLevel="0" collapsed="false">
      <c r="A190" s="638"/>
    </row>
    <row r="191" customFormat="false" ht="15.75" hidden="false" customHeight="true" outlineLevel="0" collapsed="false">
      <c r="A191" s="638"/>
    </row>
    <row r="192" customFormat="false" ht="15.75" hidden="false" customHeight="true" outlineLevel="0" collapsed="false">
      <c r="A192" s="638"/>
    </row>
    <row r="193" customFormat="false" ht="15.75" hidden="false" customHeight="true" outlineLevel="0" collapsed="false">
      <c r="A193" s="638"/>
    </row>
    <row r="194" customFormat="false" ht="15.75" hidden="false" customHeight="true" outlineLevel="0" collapsed="false">
      <c r="A194" s="638"/>
    </row>
    <row r="195" customFormat="false" ht="15.75" hidden="false" customHeight="true" outlineLevel="0" collapsed="false">
      <c r="A195" s="638"/>
    </row>
    <row r="196" customFormat="false" ht="15.75" hidden="false" customHeight="true" outlineLevel="0" collapsed="false">
      <c r="A196" s="638"/>
    </row>
    <row r="197" customFormat="false" ht="15.75" hidden="false" customHeight="true" outlineLevel="0" collapsed="false">
      <c r="A197" s="638"/>
    </row>
    <row r="198" customFormat="false" ht="15.75" hidden="false" customHeight="true" outlineLevel="0" collapsed="false">
      <c r="A198" s="638"/>
    </row>
    <row r="199" customFormat="false" ht="15.75" hidden="false" customHeight="true" outlineLevel="0" collapsed="false">
      <c r="A199" s="638"/>
    </row>
    <row r="200" customFormat="false" ht="15.75" hidden="false" customHeight="true" outlineLevel="0" collapsed="false">
      <c r="A200" s="638"/>
    </row>
    <row r="201" customFormat="false" ht="15.75" hidden="false" customHeight="true" outlineLevel="0" collapsed="false">
      <c r="A201" s="638"/>
    </row>
    <row r="202" customFormat="false" ht="15.75" hidden="false" customHeight="true" outlineLevel="0" collapsed="false">
      <c r="A202" s="638"/>
    </row>
    <row r="203" customFormat="false" ht="15.75" hidden="false" customHeight="true" outlineLevel="0" collapsed="false">
      <c r="A203" s="638"/>
    </row>
    <row r="204" customFormat="false" ht="15.75" hidden="false" customHeight="true" outlineLevel="0" collapsed="false">
      <c r="A204" s="638"/>
    </row>
    <row r="205" customFormat="false" ht="15.75" hidden="false" customHeight="true" outlineLevel="0" collapsed="false">
      <c r="A205" s="638"/>
    </row>
    <row r="206" customFormat="false" ht="15.75" hidden="false" customHeight="true" outlineLevel="0" collapsed="false">
      <c r="A206" s="638"/>
    </row>
    <row r="207" customFormat="false" ht="15.75" hidden="false" customHeight="true" outlineLevel="0" collapsed="false">
      <c r="A207" s="638"/>
    </row>
    <row r="208" customFormat="false" ht="15.75" hidden="false" customHeight="true" outlineLevel="0" collapsed="false">
      <c r="A208" s="638"/>
    </row>
    <row r="209" customFormat="false" ht="15.75" hidden="false" customHeight="true" outlineLevel="0" collapsed="false">
      <c r="A209" s="638"/>
    </row>
    <row r="210" customFormat="false" ht="15.75" hidden="false" customHeight="true" outlineLevel="0" collapsed="false">
      <c r="A210" s="638"/>
    </row>
    <row r="211" customFormat="false" ht="15.75" hidden="false" customHeight="true" outlineLevel="0" collapsed="false">
      <c r="A211" s="638"/>
    </row>
    <row r="212" customFormat="false" ht="15.75" hidden="false" customHeight="true" outlineLevel="0" collapsed="false">
      <c r="A212" s="638"/>
    </row>
    <row r="213" customFormat="false" ht="15.75" hidden="false" customHeight="true" outlineLevel="0" collapsed="false">
      <c r="A213" s="638"/>
    </row>
    <row r="214" customFormat="false" ht="15.75" hidden="false" customHeight="true" outlineLevel="0" collapsed="false">
      <c r="A214" s="638"/>
    </row>
    <row r="215" customFormat="false" ht="15.75" hidden="false" customHeight="true" outlineLevel="0" collapsed="false">
      <c r="A215" s="638"/>
    </row>
    <row r="216" customFormat="false" ht="15.75" hidden="false" customHeight="true" outlineLevel="0" collapsed="false">
      <c r="A216" s="638"/>
    </row>
    <row r="217" customFormat="false" ht="15.75" hidden="false" customHeight="true" outlineLevel="0" collapsed="false">
      <c r="A217" s="638"/>
    </row>
    <row r="218" customFormat="false" ht="15.75" hidden="false" customHeight="true" outlineLevel="0" collapsed="false">
      <c r="A218" s="638"/>
    </row>
    <row r="219" customFormat="false" ht="15.75" hidden="false" customHeight="true" outlineLevel="0" collapsed="false">
      <c r="A219" s="638"/>
    </row>
    <row r="220" customFormat="false" ht="15.75" hidden="false" customHeight="true" outlineLevel="0" collapsed="false">
      <c r="A220" s="638"/>
    </row>
    <row r="221" customFormat="false" ht="15.75" hidden="false" customHeight="true" outlineLevel="0" collapsed="false">
      <c r="A221" s="638"/>
    </row>
    <row r="222" customFormat="false" ht="15.75" hidden="false" customHeight="true" outlineLevel="0" collapsed="false">
      <c r="A222" s="638"/>
    </row>
    <row r="223" customFormat="false" ht="15.75" hidden="false" customHeight="true" outlineLevel="0" collapsed="false">
      <c r="A223" s="638"/>
    </row>
    <row r="224" customFormat="false" ht="15.75" hidden="false" customHeight="true" outlineLevel="0" collapsed="false">
      <c r="A224" s="638"/>
    </row>
    <row r="225" customFormat="false" ht="15.75" hidden="false" customHeight="true" outlineLevel="0" collapsed="false">
      <c r="A225" s="638"/>
    </row>
    <row r="226" customFormat="false" ht="15.75" hidden="false" customHeight="true" outlineLevel="0" collapsed="false">
      <c r="A226" s="638"/>
    </row>
    <row r="227" customFormat="false" ht="15.75" hidden="false" customHeight="true" outlineLevel="0" collapsed="false">
      <c r="A227" s="638"/>
    </row>
    <row r="228" customFormat="false" ht="15.75" hidden="false" customHeight="true" outlineLevel="0" collapsed="false">
      <c r="A228" s="638"/>
    </row>
    <row r="229" customFormat="false" ht="15.75" hidden="false" customHeight="true" outlineLevel="0" collapsed="false">
      <c r="A229" s="638"/>
    </row>
    <row r="230" customFormat="false" ht="15.75" hidden="false" customHeight="true" outlineLevel="0" collapsed="false">
      <c r="A230" s="638"/>
    </row>
    <row r="231" customFormat="false" ht="15.75" hidden="false" customHeight="true" outlineLevel="0" collapsed="false">
      <c r="A231" s="638"/>
    </row>
    <row r="232" customFormat="false" ht="15.75" hidden="false" customHeight="true" outlineLevel="0" collapsed="false">
      <c r="A232" s="638"/>
    </row>
    <row r="233" customFormat="false" ht="15.75" hidden="false" customHeight="true" outlineLevel="0" collapsed="false">
      <c r="A233" s="638"/>
    </row>
    <row r="234" customFormat="false" ht="15.75" hidden="false" customHeight="true" outlineLevel="0" collapsed="false">
      <c r="A234" s="638"/>
    </row>
    <row r="235" customFormat="false" ht="15.75" hidden="false" customHeight="true" outlineLevel="0" collapsed="false">
      <c r="A235" s="638"/>
    </row>
    <row r="236" customFormat="false" ht="15.75" hidden="false" customHeight="true" outlineLevel="0" collapsed="false">
      <c r="A236" s="638"/>
    </row>
    <row r="237" customFormat="false" ht="15.75" hidden="false" customHeight="true" outlineLevel="0" collapsed="false">
      <c r="A237" s="638"/>
    </row>
    <row r="238" customFormat="false" ht="15.75" hidden="false" customHeight="true" outlineLevel="0" collapsed="false">
      <c r="A238" s="638"/>
    </row>
    <row r="239" customFormat="false" ht="15.75" hidden="false" customHeight="true" outlineLevel="0" collapsed="false">
      <c r="A239" s="638"/>
    </row>
    <row r="240" customFormat="false" ht="15.75" hidden="false" customHeight="true" outlineLevel="0" collapsed="false">
      <c r="A240" s="638"/>
    </row>
    <row r="241" customFormat="false" ht="15.75" hidden="false" customHeight="true" outlineLevel="0" collapsed="false">
      <c r="A241" s="638"/>
    </row>
    <row r="242" customFormat="false" ht="15.75" hidden="false" customHeight="true" outlineLevel="0" collapsed="false">
      <c r="A242" s="638"/>
    </row>
    <row r="243" customFormat="false" ht="15.75" hidden="false" customHeight="true" outlineLevel="0" collapsed="false">
      <c r="A243" s="638"/>
    </row>
    <row r="244" customFormat="false" ht="15.75" hidden="false" customHeight="true" outlineLevel="0" collapsed="false">
      <c r="A244" s="638"/>
    </row>
    <row r="245" customFormat="false" ht="15.75" hidden="false" customHeight="true" outlineLevel="0" collapsed="false">
      <c r="A245" s="638"/>
    </row>
    <row r="246" customFormat="false" ht="15.75" hidden="false" customHeight="true" outlineLevel="0" collapsed="false">
      <c r="A246" s="638"/>
    </row>
    <row r="247" customFormat="false" ht="15.75" hidden="false" customHeight="true" outlineLevel="0" collapsed="false">
      <c r="A247" s="638"/>
    </row>
    <row r="248" customFormat="false" ht="15.75" hidden="false" customHeight="true" outlineLevel="0" collapsed="false">
      <c r="A248" s="638"/>
    </row>
    <row r="249" customFormat="false" ht="15.75" hidden="false" customHeight="true" outlineLevel="0" collapsed="false">
      <c r="A249" s="638"/>
    </row>
    <row r="250" customFormat="false" ht="15.75" hidden="false" customHeight="true" outlineLevel="0" collapsed="false">
      <c r="A250" s="638"/>
    </row>
    <row r="251" customFormat="false" ht="15.75" hidden="false" customHeight="true" outlineLevel="0" collapsed="false">
      <c r="A251" s="638"/>
    </row>
    <row r="252" customFormat="false" ht="15.75" hidden="false" customHeight="true" outlineLevel="0" collapsed="false">
      <c r="A252" s="638"/>
    </row>
    <row r="253" customFormat="false" ht="15.75" hidden="false" customHeight="true" outlineLevel="0" collapsed="false">
      <c r="A253" s="638"/>
    </row>
    <row r="254" customFormat="false" ht="15.75" hidden="false" customHeight="true" outlineLevel="0" collapsed="false">
      <c r="A254" s="638"/>
    </row>
    <row r="255" customFormat="false" ht="15.75" hidden="false" customHeight="true" outlineLevel="0" collapsed="false">
      <c r="A255" s="638"/>
    </row>
    <row r="256" customFormat="false" ht="15.75" hidden="false" customHeight="true" outlineLevel="0" collapsed="false">
      <c r="A256" s="638"/>
    </row>
    <row r="257" customFormat="false" ht="15.75" hidden="false" customHeight="true" outlineLevel="0" collapsed="false">
      <c r="A257" s="638"/>
    </row>
    <row r="258" customFormat="false" ht="15.75" hidden="false" customHeight="true" outlineLevel="0" collapsed="false">
      <c r="A258" s="638"/>
    </row>
    <row r="259" customFormat="false" ht="15.75" hidden="false" customHeight="true" outlineLevel="0" collapsed="false">
      <c r="A259" s="638"/>
    </row>
    <row r="260" customFormat="false" ht="15.75" hidden="false" customHeight="true" outlineLevel="0" collapsed="false">
      <c r="A260" s="638"/>
    </row>
    <row r="261" customFormat="false" ht="15.75" hidden="false" customHeight="true" outlineLevel="0" collapsed="false">
      <c r="A261" s="638"/>
    </row>
    <row r="262" customFormat="false" ht="15.75" hidden="false" customHeight="true" outlineLevel="0" collapsed="false">
      <c r="A262" s="638"/>
    </row>
    <row r="263" customFormat="false" ht="15.75" hidden="false" customHeight="true" outlineLevel="0" collapsed="false">
      <c r="A263" s="638"/>
    </row>
    <row r="264" customFormat="false" ht="15.75" hidden="false" customHeight="true" outlineLevel="0" collapsed="false">
      <c r="A264" s="638"/>
    </row>
    <row r="265" customFormat="false" ht="15.75" hidden="false" customHeight="true" outlineLevel="0" collapsed="false">
      <c r="A265" s="638"/>
    </row>
    <row r="266" customFormat="false" ht="15.75" hidden="false" customHeight="true" outlineLevel="0" collapsed="false">
      <c r="A266" s="638"/>
    </row>
    <row r="267" customFormat="false" ht="15.75" hidden="false" customHeight="true" outlineLevel="0" collapsed="false">
      <c r="A267" s="638"/>
    </row>
    <row r="268" customFormat="false" ht="15.75" hidden="false" customHeight="true" outlineLevel="0" collapsed="false">
      <c r="A268" s="638"/>
    </row>
    <row r="269" customFormat="false" ht="15.75" hidden="false" customHeight="true" outlineLevel="0" collapsed="false">
      <c r="A269" s="638"/>
    </row>
    <row r="270" customFormat="false" ht="15.75" hidden="false" customHeight="true" outlineLevel="0" collapsed="false">
      <c r="A270" s="638"/>
    </row>
    <row r="271" customFormat="false" ht="15.75" hidden="false" customHeight="true" outlineLevel="0" collapsed="false">
      <c r="A271" s="638"/>
    </row>
    <row r="272" customFormat="false" ht="15.75" hidden="false" customHeight="true" outlineLevel="0" collapsed="false">
      <c r="A272" s="638"/>
    </row>
    <row r="273" customFormat="false" ht="15.75" hidden="false" customHeight="true" outlineLevel="0" collapsed="false">
      <c r="A273" s="638"/>
    </row>
    <row r="274" customFormat="false" ht="15.75" hidden="false" customHeight="true" outlineLevel="0" collapsed="false">
      <c r="A274" s="638"/>
    </row>
    <row r="275" customFormat="false" ht="15.75" hidden="false" customHeight="true" outlineLevel="0" collapsed="false">
      <c r="A275" s="638"/>
    </row>
    <row r="276" customFormat="false" ht="15.75" hidden="false" customHeight="true" outlineLevel="0" collapsed="false">
      <c r="A276" s="638"/>
    </row>
    <row r="277" customFormat="false" ht="15.75" hidden="false" customHeight="true" outlineLevel="0" collapsed="false">
      <c r="A277" s="638"/>
    </row>
    <row r="278" customFormat="false" ht="15.75" hidden="false" customHeight="true" outlineLevel="0" collapsed="false">
      <c r="A278" s="638"/>
    </row>
    <row r="279" customFormat="false" ht="15.75" hidden="false" customHeight="true" outlineLevel="0" collapsed="false">
      <c r="A279" s="638"/>
    </row>
    <row r="280" customFormat="false" ht="15.75" hidden="false" customHeight="true" outlineLevel="0" collapsed="false">
      <c r="A280" s="638"/>
    </row>
    <row r="281" customFormat="false" ht="15.75" hidden="false" customHeight="true" outlineLevel="0" collapsed="false">
      <c r="A281" s="638"/>
    </row>
    <row r="282" customFormat="false" ht="15.75" hidden="false" customHeight="true" outlineLevel="0" collapsed="false">
      <c r="A282" s="638"/>
    </row>
    <row r="283" customFormat="false" ht="15.75" hidden="false" customHeight="true" outlineLevel="0" collapsed="false">
      <c r="A283" s="638"/>
    </row>
    <row r="284" customFormat="false" ht="15.75" hidden="false" customHeight="true" outlineLevel="0" collapsed="false">
      <c r="A284" s="638"/>
    </row>
    <row r="285" customFormat="false" ht="15.75" hidden="false" customHeight="true" outlineLevel="0" collapsed="false">
      <c r="A285" s="638"/>
    </row>
    <row r="286" customFormat="false" ht="15.75" hidden="false" customHeight="true" outlineLevel="0" collapsed="false">
      <c r="A286" s="638"/>
    </row>
    <row r="287" customFormat="false" ht="15.75" hidden="false" customHeight="true" outlineLevel="0" collapsed="false">
      <c r="A287" s="638"/>
    </row>
    <row r="288" customFormat="false" ht="15.75" hidden="false" customHeight="true" outlineLevel="0" collapsed="false">
      <c r="A288" s="638"/>
    </row>
    <row r="289" customFormat="false" ht="15.75" hidden="false" customHeight="true" outlineLevel="0" collapsed="false">
      <c r="A289" s="638"/>
    </row>
    <row r="290" customFormat="false" ht="15.75" hidden="false" customHeight="true" outlineLevel="0" collapsed="false">
      <c r="A290" s="638"/>
    </row>
    <row r="291" customFormat="false" ht="15.75" hidden="false" customHeight="true" outlineLevel="0" collapsed="false">
      <c r="A291" s="638"/>
    </row>
    <row r="292" customFormat="false" ht="15.75" hidden="false" customHeight="true" outlineLevel="0" collapsed="false">
      <c r="A292" s="638"/>
    </row>
    <row r="293" customFormat="false" ht="15.75" hidden="false" customHeight="true" outlineLevel="0" collapsed="false">
      <c r="A293" s="638"/>
    </row>
    <row r="294" customFormat="false" ht="15.75" hidden="false" customHeight="true" outlineLevel="0" collapsed="false">
      <c r="A294" s="638"/>
    </row>
    <row r="295" customFormat="false" ht="15.75" hidden="false" customHeight="true" outlineLevel="0" collapsed="false">
      <c r="A295" s="638"/>
    </row>
    <row r="296" customFormat="false" ht="15.75" hidden="false" customHeight="true" outlineLevel="0" collapsed="false">
      <c r="A296" s="638"/>
    </row>
    <row r="297" customFormat="false" ht="15.75" hidden="false" customHeight="true" outlineLevel="0" collapsed="false">
      <c r="A297" s="638"/>
    </row>
    <row r="298" customFormat="false" ht="15.75" hidden="false" customHeight="true" outlineLevel="0" collapsed="false">
      <c r="A298" s="638"/>
    </row>
    <row r="299" customFormat="false" ht="15.75" hidden="false" customHeight="true" outlineLevel="0" collapsed="false">
      <c r="A299" s="638"/>
    </row>
    <row r="300" customFormat="false" ht="15.75" hidden="false" customHeight="true" outlineLevel="0" collapsed="false">
      <c r="A300" s="638"/>
    </row>
    <row r="301" customFormat="false" ht="15.75" hidden="false" customHeight="true" outlineLevel="0" collapsed="false">
      <c r="A301" s="638"/>
    </row>
    <row r="302" customFormat="false" ht="15.75" hidden="false" customHeight="true" outlineLevel="0" collapsed="false">
      <c r="A302" s="638"/>
    </row>
    <row r="303" customFormat="false" ht="15.75" hidden="false" customHeight="true" outlineLevel="0" collapsed="false">
      <c r="A303" s="638"/>
    </row>
    <row r="304" customFormat="false" ht="15.75" hidden="false" customHeight="true" outlineLevel="0" collapsed="false">
      <c r="A304" s="638"/>
    </row>
    <row r="305" customFormat="false" ht="15.75" hidden="false" customHeight="true" outlineLevel="0" collapsed="false">
      <c r="A305" s="638"/>
    </row>
    <row r="306" customFormat="false" ht="15.75" hidden="false" customHeight="true" outlineLevel="0" collapsed="false">
      <c r="A306" s="638"/>
    </row>
    <row r="307" customFormat="false" ht="15.75" hidden="false" customHeight="true" outlineLevel="0" collapsed="false">
      <c r="A307" s="638"/>
    </row>
    <row r="308" customFormat="false" ht="15.75" hidden="false" customHeight="true" outlineLevel="0" collapsed="false">
      <c r="A308" s="638"/>
    </row>
    <row r="309" customFormat="false" ht="15.75" hidden="false" customHeight="true" outlineLevel="0" collapsed="false">
      <c r="A309" s="638"/>
    </row>
    <row r="310" customFormat="false" ht="15.75" hidden="false" customHeight="true" outlineLevel="0" collapsed="false">
      <c r="A310" s="638"/>
    </row>
    <row r="311" customFormat="false" ht="15.75" hidden="false" customHeight="true" outlineLevel="0" collapsed="false">
      <c r="A311" s="638"/>
    </row>
    <row r="312" customFormat="false" ht="15.75" hidden="false" customHeight="true" outlineLevel="0" collapsed="false">
      <c r="A312" s="638"/>
    </row>
    <row r="313" customFormat="false" ht="15.75" hidden="false" customHeight="true" outlineLevel="0" collapsed="false">
      <c r="A313" s="638"/>
    </row>
    <row r="314" customFormat="false" ht="15.75" hidden="false" customHeight="true" outlineLevel="0" collapsed="false">
      <c r="A314" s="638"/>
    </row>
    <row r="315" customFormat="false" ht="15.75" hidden="false" customHeight="true" outlineLevel="0" collapsed="false">
      <c r="A315" s="638"/>
    </row>
    <row r="316" customFormat="false" ht="15.75" hidden="false" customHeight="true" outlineLevel="0" collapsed="false">
      <c r="A316" s="638"/>
    </row>
    <row r="317" customFormat="false" ht="15.75" hidden="false" customHeight="true" outlineLevel="0" collapsed="false">
      <c r="A317" s="638"/>
    </row>
    <row r="318" customFormat="false" ht="15.75" hidden="false" customHeight="true" outlineLevel="0" collapsed="false">
      <c r="A318" s="638"/>
    </row>
    <row r="319" customFormat="false" ht="15.75" hidden="false" customHeight="true" outlineLevel="0" collapsed="false">
      <c r="A319" s="638"/>
    </row>
    <row r="320" customFormat="false" ht="15.75" hidden="false" customHeight="true" outlineLevel="0" collapsed="false">
      <c r="A320" s="638"/>
    </row>
    <row r="321" customFormat="false" ht="15.75" hidden="false" customHeight="true" outlineLevel="0" collapsed="false">
      <c r="A321" s="638"/>
    </row>
    <row r="322" customFormat="false" ht="15.75" hidden="false" customHeight="true" outlineLevel="0" collapsed="false">
      <c r="A322" s="638"/>
    </row>
    <row r="323" customFormat="false" ht="15.75" hidden="false" customHeight="true" outlineLevel="0" collapsed="false">
      <c r="A323" s="638"/>
    </row>
    <row r="324" customFormat="false" ht="15.75" hidden="false" customHeight="true" outlineLevel="0" collapsed="false">
      <c r="A324" s="638"/>
    </row>
    <row r="325" customFormat="false" ht="15.75" hidden="false" customHeight="true" outlineLevel="0" collapsed="false">
      <c r="A325" s="638"/>
    </row>
    <row r="326" customFormat="false" ht="15.75" hidden="false" customHeight="true" outlineLevel="0" collapsed="false">
      <c r="A326" s="638"/>
    </row>
    <row r="327" customFormat="false" ht="15.75" hidden="false" customHeight="true" outlineLevel="0" collapsed="false">
      <c r="A327" s="638"/>
    </row>
    <row r="328" customFormat="false" ht="15.75" hidden="false" customHeight="true" outlineLevel="0" collapsed="false">
      <c r="A328" s="638"/>
    </row>
    <row r="329" customFormat="false" ht="15.75" hidden="false" customHeight="true" outlineLevel="0" collapsed="false">
      <c r="A329" s="638"/>
    </row>
    <row r="330" customFormat="false" ht="15.75" hidden="false" customHeight="true" outlineLevel="0" collapsed="false">
      <c r="A330" s="638"/>
    </row>
    <row r="331" customFormat="false" ht="15.75" hidden="false" customHeight="true" outlineLevel="0" collapsed="false">
      <c r="A331" s="638"/>
    </row>
    <row r="332" customFormat="false" ht="15.75" hidden="false" customHeight="true" outlineLevel="0" collapsed="false">
      <c r="A332" s="638"/>
    </row>
    <row r="333" customFormat="false" ht="15.75" hidden="false" customHeight="true" outlineLevel="0" collapsed="false">
      <c r="A333" s="638"/>
    </row>
    <row r="334" customFormat="false" ht="15.75" hidden="false" customHeight="true" outlineLevel="0" collapsed="false">
      <c r="A334" s="638"/>
    </row>
    <row r="335" customFormat="false" ht="15.75" hidden="false" customHeight="true" outlineLevel="0" collapsed="false">
      <c r="A335" s="638"/>
    </row>
    <row r="336" customFormat="false" ht="15.75" hidden="false" customHeight="true" outlineLevel="0" collapsed="false">
      <c r="A336" s="638"/>
    </row>
    <row r="337" customFormat="false" ht="15.75" hidden="false" customHeight="true" outlineLevel="0" collapsed="false">
      <c r="A337" s="638"/>
    </row>
    <row r="338" customFormat="false" ht="15.75" hidden="false" customHeight="true" outlineLevel="0" collapsed="false">
      <c r="A338" s="638"/>
    </row>
    <row r="339" customFormat="false" ht="15.75" hidden="false" customHeight="true" outlineLevel="0" collapsed="false">
      <c r="A339" s="638"/>
    </row>
    <row r="340" customFormat="false" ht="15.75" hidden="false" customHeight="true" outlineLevel="0" collapsed="false">
      <c r="A340" s="638"/>
    </row>
    <row r="341" customFormat="false" ht="15.75" hidden="false" customHeight="true" outlineLevel="0" collapsed="false">
      <c r="A341" s="638"/>
    </row>
    <row r="342" customFormat="false" ht="15.75" hidden="false" customHeight="true" outlineLevel="0" collapsed="false">
      <c r="A342" s="638"/>
    </row>
    <row r="343" customFormat="false" ht="15.75" hidden="false" customHeight="true" outlineLevel="0" collapsed="false">
      <c r="A343" s="638"/>
    </row>
    <row r="344" customFormat="false" ht="15.75" hidden="false" customHeight="true" outlineLevel="0" collapsed="false">
      <c r="A344" s="638"/>
    </row>
    <row r="345" customFormat="false" ht="15.75" hidden="false" customHeight="true" outlineLevel="0" collapsed="false">
      <c r="A345" s="638"/>
    </row>
    <row r="346" customFormat="false" ht="15.75" hidden="false" customHeight="true" outlineLevel="0" collapsed="false">
      <c r="A346" s="638"/>
    </row>
    <row r="347" customFormat="false" ht="15.75" hidden="false" customHeight="true" outlineLevel="0" collapsed="false">
      <c r="A347" s="638"/>
    </row>
    <row r="348" customFormat="false" ht="15.75" hidden="false" customHeight="true" outlineLevel="0" collapsed="false">
      <c r="A348" s="638"/>
    </row>
    <row r="349" customFormat="false" ht="15.75" hidden="false" customHeight="true" outlineLevel="0" collapsed="false">
      <c r="A349" s="638"/>
    </row>
    <row r="350" customFormat="false" ht="15.75" hidden="false" customHeight="true" outlineLevel="0" collapsed="false">
      <c r="A350" s="638"/>
    </row>
    <row r="351" customFormat="false" ht="15.75" hidden="false" customHeight="true" outlineLevel="0" collapsed="false">
      <c r="A351" s="638"/>
    </row>
    <row r="352" customFormat="false" ht="15.75" hidden="false" customHeight="true" outlineLevel="0" collapsed="false">
      <c r="A352" s="638"/>
    </row>
    <row r="353" customFormat="false" ht="15.75" hidden="false" customHeight="true" outlineLevel="0" collapsed="false">
      <c r="A353" s="638"/>
    </row>
    <row r="354" customFormat="false" ht="15.75" hidden="false" customHeight="true" outlineLevel="0" collapsed="false">
      <c r="A354" s="638"/>
    </row>
    <row r="355" customFormat="false" ht="15.75" hidden="false" customHeight="true" outlineLevel="0" collapsed="false">
      <c r="A355" s="638"/>
    </row>
    <row r="356" customFormat="false" ht="15.75" hidden="false" customHeight="true" outlineLevel="0" collapsed="false">
      <c r="A356" s="638"/>
    </row>
    <row r="357" customFormat="false" ht="15.75" hidden="false" customHeight="true" outlineLevel="0" collapsed="false">
      <c r="A357" s="638"/>
    </row>
    <row r="358" customFormat="false" ht="15.75" hidden="false" customHeight="true" outlineLevel="0" collapsed="false">
      <c r="A358" s="638"/>
    </row>
    <row r="359" customFormat="false" ht="15.75" hidden="false" customHeight="true" outlineLevel="0" collapsed="false">
      <c r="A359" s="638"/>
    </row>
    <row r="360" customFormat="false" ht="15.75" hidden="false" customHeight="true" outlineLevel="0" collapsed="false">
      <c r="A360" s="638"/>
    </row>
    <row r="361" customFormat="false" ht="15.75" hidden="false" customHeight="true" outlineLevel="0" collapsed="false">
      <c r="A361" s="638"/>
    </row>
    <row r="362" customFormat="false" ht="15.75" hidden="false" customHeight="true" outlineLevel="0" collapsed="false">
      <c r="A362" s="638"/>
    </row>
    <row r="363" customFormat="false" ht="15.75" hidden="false" customHeight="true" outlineLevel="0" collapsed="false">
      <c r="A363" s="638"/>
    </row>
    <row r="364" customFormat="false" ht="15.75" hidden="false" customHeight="true" outlineLevel="0" collapsed="false">
      <c r="A364" s="638"/>
    </row>
    <row r="365" customFormat="false" ht="15.75" hidden="false" customHeight="true" outlineLevel="0" collapsed="false">
      <c r="A365" s="638"/>
    </row>
    <row r="366" customFormat="false" ht="15.75" hidden="false" customHeight="true" outlineLevel="0" collapsed="false">
      <c r="A366" s="638"/>
    </row>
    <row r="367" customFormat="false" ht="15.75" hidden="false" customHeight="true" outlineLevel="0" collapsed="false">
      <c r="A367" s="638"/>
    </row>
    <row r="368" customFormat="false" ht="15.75" hidden="false" customHeight="true" outlineLevel="0" collapsed="false">
      <c r="A368" s="638"/>
    </row>
    <row r="369" customFormat="false" ht="15.75" hidden="false" customHeight="true" outlineLevel="0" collapsed="false">
      <c r="A369" s="638"/>
    </row>
    <row r="370" customFormat="false" ht="15.75" hidden="false" customHeight="true" outlineLevel="0" collapsed="false">
      <c r="A370" s="638"/>
    </row>
    <row r="371" customFormat="false" ht="15.75" hidden="false" customHeight="true" outlineLevel="0" collapsed="false">
      <c r="A371" s="638"/>
    </row>
    <row r="372" customFormat="false" ht="15.75" hidden="false" customHeight="true" outlineLevel="0" collapsed="false">
      <c r="A372" s="638"/>
    </row>
    <row r="373" customFormat="false" ht="15.75" hidden="false" customHeight="true" outlineLevel="0" collapsed="false">
      <c r="A373" s="638"/>
    </row>
    <row r="374" customFormat="false" ht="15.75" hidden="false" customHeight="true" outlineLevel="0" collapsed="false">
      <c r="A374" s="638"/>
    </row>
    <row r="375" customFormat="false" ht="15.75" hidden="false" customHeight="true" outlineLevel="0" collapsed="false">
      <c r="A375" s="638"/>
    </row>
    <row r="376" customFormat="false" ht="15.75" hidden="false" customHeight="true" outlineLevel="0" collapsed="false">
      <c r="A376" s="638"/>
    </row>
    <row r="377" customFormat="false" ht="15.75" hidden="false" customHeight="true" outlineLevel="0" collapsed="false">
      <c r="A377" s="638"/>
    </row>
    <row r="378" customFormat="false" ht="15.75" hidden="false" customHeight="true" outlineLevel="0" collapsed="false">
      <c r="A378" s="638"/>
    </row>
    <row r="379" customFormat="false" ht="15.75" hidden="false" customHeight="true" outlineLevel="0" collapsed="false">
      <c r="A379" s="638"/>
    </row>
    <row r="380" customFormat="false" ht="15.75" hidden="false" customHeight="true" outlineLevel="0" collapsed="false">
      <c r="A380" s="638"/>
    </row>
    <row r="381" customFormat="false" ht="15.75" hidden="false" customHeight="true" outlineLevel="0" collapsed="false">
      <c r="A381" s="638"/>
    </row>
    <row r="382" customFormat="false" ht="15.75" hidden="false" customHeight="true" outlineLevel="0" collapsed="false">
      <c r="A382" s="638"/>
    </row>
    <row r="383" customFormat="false" ht="15.75" hidden="false" customHeight="true" outlineLevel="0" collapsed="false">
      <c r="A383" s="638"/>
    </row>
    <row r="384" customFormat="false" ht="15.75" hidden="false" customHeight="true" outlineLevel="0" collapsed="false">
      <c r="A384" s="638"/>
    </row>
    <row r="385" customFormat="false" ht="15.75" hidden="false" customHeight="true" outlineLevel="0" collapsed="false">
      <c r="A385" s="638"/>
    </row>
    <row r="386" customFormat="false" ht="15.75" hidden="false" customHeight="true" outlineLevel="0" collapsed="false">
      <c r="A386" s="638"/>
    </row>
    <row r="387" customFormat="false" ht="15.75" hidden="false" customHeight="true" outlineLevel="0" collapsed="false">
      <c r="A387" s="638"/>
    </row>
    <row r="388" customFormat="false" ht="15.75" hidden="false" customHeight="true" outlineLevel="0" collapsed="false">
      <c r="A388" s="638"/>
    </row>
    <row r="389" customFormat="false" ht="15.75" hidden="false" customHeight="true" outlineLevel="0" collapsed="false">
      <c r="A389" s="638"/>
    </row>
    <row r="390" customFormat="false" ht="15.75" hidden="false" customHeight="true" outlineLevel="0" collapsed="false">
      <c r="A390" s="638"/>
    </row>
    <row r="391" customFormat="false" ht="15.75" hidden="false" customHeight="true" outlineLevel="0" collapsed="false">
      <c r="A391" s="638"/>
    </row>
    <row r="392" customFormat="false" ht="15.75" hidden="false" customHeight="true" outlineLevel="0" collapsed="false">
      <c r="A392" s="638"/>
    </row>
    <row r="393" customFormat="false" ht="15.75" hidden="false" customHeight="true" outlineLevel="0" collapsed="false">
      <c r="A393" s="638"/>
    </row>
    <row r="394" customFormat="false" ht="15.75" hidden="false" customHeight="true" outlineLevel="0" collapsed="false">
      <c r="A394" s="638"/>
    </row>
    <row r="395" customFormat="false" ht="15.75" hidden="false" customHeight="true" outlineLevel="0" collapsed="false">
      <c r="A395" s="638"/>
    </row>
    <row r="396" customFormat="false" ht="15.75" hidden="false" customHeight="true" outlineLevel="0" collapsed="false">
      <c r="A396" s="638"/>
    </row>
    <row r="397" customFormat="false" ht="15.75" hidden="false" customHeight="true" outlineLevel="0" collapsed="false">
      <c r="A397" s="638"/>
    </row>
    <row r="398" customFormat="false" ht="15.75" hidden="false" customHeight="true" outlineLevel="0" collapsed="false">
      <c r="A398" s="638"/>
    </row>
    <row r="399" customFormat="false" ht="15.75" hidden="false" customHeight="true" outlineLevel="0" collapsed="false">
      <c r="A399" s="638"/>
    </row>
    <row r="400" customFormat="false" ht="15.75" hidden="false" customHeight="true" outlineLevel="0" collapsed="false">
      <c r="A400" s="638"/>
    </row>
    <row r="401" customFormat="false" ht="15.75" hidden="false" customHeight="true" outlineLevel="0" collapsed="false">
      <c r="A401" s="638"/>
    </row>
    <row r="402" customFormat="false" ht="15.75" hidden="false" customHeight="true" outlineLevel="0" collapsed="false">
      <c r="A402" s="638"/>
    </row>
    <row r="403" customFormat="false" ht="15.75" hidden="false" customHeight="true" outlineLevel="0" collapsed="false">
      <c r="A403" s="638"/>
    </row>
    <row r="404" customFormat="false" ht="15.75" hidden="false" customHeight="true" outlineLevel="0" collapsed="false">
      <c r="A404" s="638"/>
    </row>
    <row r="405" customFormat="false" ht="15.75" hidden="false" customHeight="true" outlineLevel="0" collapsed="false">
      <c r="A405" s="638"/>
    </row>
    <row r="406" customFormat="false" ht="15.75" hidden="false" customHeight="true" outlineLevel="0" collapsed="false">
      <c r="A406" s="638"/>
    </row>
    <row r="407" customFormat="false" ht="15.75" hidden="false" customHeight="true" outlineLevel="0" collapsed="false">
      <c r="A407" s="638"/>
    </row>
    <row r="408" customFormat="false" ht="15.75" hidden="false" customHeight="true" outlineLevel="0" collapsed="false">
      <c r="A408" s="638"/>
    </row>
    <row r="409" customFormat="false" ht="15.75" hidden="false" customHeight="true" outlineLevel="0" collapsed="false">
      <c r="A409" s="638"/>
    </row>
    <row r="410" customFormat="false" ht="15.75" hidden="false" customHeight="true" outlineLevel="0" collapsed="false">
      <c r="A410" s="638"/>
    </row>
    <row r="411" customFormat="false" ht="15.75" hidden="false" customHeight="true" outlineLevel="0" collapsed="false">
      <c r="A411" s="638"/>
    </row>
    <row r="412" customFormat="false" ht="15.75" hidden="false" customHeight="true" outlineLevel="0" collapsed="false">
      <c r="A412" s="638"/>
    </row>
    <row r="413" customFormat="false" ht="15.75" hidden="false" customHeight="true" outlineLevel="0" collapsed="false">
      <c r="A413" s="638"/>
    </row>
    <row r="414" customFormat="false" ht="15.75" hidden="false" customHeight="true" outlineLevel="0" collapsed="false">
      <c r="A414" s="638"/>
    </row>
    <row r="415" customFormat="false" ht="15.75" hidden="false" customHeight="true" outlineLevel="0" collapsed="false">
      <c r="A415" s="638"/>
    </row>
    <row r="416" customFormat="false" ht="15.75" hidden="false" customHeight="true" outlineLevel="0" collapsed="false">
      <c r="A416" s="638"/>
    </row>
    <row r="417" customFormat="false" ht="15.75" hidden="false" customHeight="true" outlineLevel="0" collapsed="false">
      <c r="A417" s="638"/>
    </row>
    <row r="418" customFormat="false" ht="15.75" hidden="false" customHeight="true" outlineLevel="0" collapsed="false">
      <c r="A418" s="638"/>
    </row>
    <row r="419" customFormat="false" ht="15.75" hidden="false" customHeight="true" outlineLevel="0" collapsed="false">
      <c r="A419" s="638"/>
    </row>
    <row r="420" customFormat="false" ht="15.75" hidden="false" customHeight="true" outlineLevel="0" collapsed="false">
      <c r="A420" s="638"/>
    </row>
    <row r="421" customFormat="false" ht="15.75" hidden="false" customHeight="true" outlineLevel="0" collapsed="false">
      <c r="A421" s="638"/>
    </row>
    <row r="422" customFormat="false" ht="15.75" hidden="false" customHeight="true" outlineLevel="0" collapsed="false">
      <c r="A422" s="638"/>
    </row>
    <row r="423" customFormat="false" ht="15.75" hidden="false" customHeight="true" outlineLevel="0" collapsed="false">
      <c r="A423" s="638"/>
    </row>
    <row r="424" customFormat="false" ht="15.75" hidden="false" customHeight="true" outlineLevel="0" collapsed="false">
      <c r="A424" s="638"/>
    </row>
    <row r="425" customFormat="false" ht="15.75" hidden="false" customHeight="true" outlineLevel="0" collapsed="false">
      <c r="A425" s="638"/>
    </row>
    <row r="426" customFormat="false" ht="15.75" hidden="false" customHeight="true" outlineLevel="0" collapsed="false">
      <c r="A426" s="638"/>
    </row>
    <row r="427" customFormat="false" ht="15.75" hidden="false" customHeight="true" outlineLevel="0" collapsed="false">
      <c r="A427" s="638"/>
    </row>
    <row r="428" customFormat="false" ht="15.75" hidden="false" customHeight="true" outlineLevel="0" collapsed="false">
      <c r="A428" s="638"/>
    </row>
    <row r="429" customFormat="false" ht="15.75" hidden="false" customHeight="true" outlineLevel="0" collapsed="false">
      <c r="A429" s="638"/>
    </row>
    <row r="430" customFormat="false" ht="15.75" hidden="false" customHeight="true" outlineLevel="0" collapsed="false">
      <c r="A430" s="638"/>
    </row>
    <row r="431" customFormat="false" ht="15.75" hidden="false" customHeight="true" outlineLevel="0" collapsed="false">
      <c r="A431" s="638"/>
    </row>
    <row r="432" customFormat="false" ht="15.75" hidden="false" customHeight="true" outlineLevel="0" collapsed="false">
      <c r="A432" s="638"/>
    </row>
    <row r="433" customFormat="false" ht="15.75" hidden="false" customHeight="true" outlineLevel="0" collapsed="false">
      <c r="A433" s="638"/>
    </row>
    <row r="434" customFormat="false" ht="15.75" hidden="false" customHeight="true" outlineLevel="0" collapsed="false">
      <c r="A434" s="638"/>
    </row>
    <row r="435" customFormat="false" ht="15.75" hidden="false" customHeight="true" outlineLevel="0" collapsed="false">
      <c r="A435" s="638"/>
    </row>
    <row r="436" customFormat="false" ht="15.75" hidden="false" customHeight="true" outlineLevel="0" collapsed="false">
      <c r="A436" s="638"/>
    </row>
    <row r="437" customFormat="false" ht="15.75" hidden="false" customHeight="true" outlineLevel="0" collapsed="false">
      <c r="A437" s="638"/>
    </row>
    <row r="438" customFormat="false" ht="15.75" hidden="false" customHeight="true" outlineLevel="0" collapsed="false">
      <c r="A438" s="638"/>
    </row>
    <row r="439" customFormat="false" ht="15.75" hidden="false" customHeight="true" outlineLevel="0" collapsed="false">
      <c r="A439" s="638"/>
    </row>
    <row r="440" customFormat="false" ht="15.75" hidden="false" customHeight="true" outlineLevel="0" collapsed="false">
      <c r="A440" s="638"/>
    </row>
    <row r="441" customFormat="false" ht="15.75" hidden="false" customHeight="true" outlineLevel="0" collapsed="false">
      <c r="A441" s="638"/>
    </row>
    <row r="442" customFormat="false" ht="15.75" hidden="false" customHeight="true" outlineLevel="0" collapsed="false">
      <c r="A442" s="638"/>
    </row>
    <row r="443" customFormat="false" ht="15.75" hidden="false" customHeight="true" outlineLevel="0" collapsed="false">
      <c r="A443" s="638"/>
    </row>
    <row r="444" customFormat="false" ht="15.75" hidden="false" customHeight="true" outlineLevel="0" collapsed="false">
      <c r="A444" s="638"/>
    </row>
    <row r="445" customFormat="false" ht="15.75" hidden="false" customHeight="true" outlineLevel="0" collapsed="false">
      <c r="A445" s="638"/>
    </row>
    <row r="446" customFormat="false" ht="15.75" hidden="false" customHeight="true" outlineLevel="0" collapsed="false">
      <c r="A446" s="638"/>
    </row>
    <row r="447" customFormat="false" ht="15.75" hidden="false" customHeight="true" outlineLevel="0" collapsed="false">
      <c r="A447" s="638"/>
    </row>
    <row r="448" customFormat="false" ht="15.75" hidden="false" customHeight="true" outlineLevel="0" collapsed="false">
      <c r="A448" s="638"/>
    </row>
    <row r="449" customFormat="false" ht="15.75" hidden="false" customHeight="true" outlineLevel="0" collapsed="false">
      <c r="A449" s="638"/>
    </row>
    <row r="450" customFormat="false" ht="15.75" hidden="false" customHeight="true" outlineLevel="0" collapsed="false">
      <c r="A450" s="638"/>
    </row>
    <row r="451" customFormat="false" ht="15.75" hidden="false" customHeight="true" outlineLevel="0" collapsed="false">
      <c r="A451" s="638"/>
    </row>
    <row r="452" customFormat="false" ht="15.75" hidden="false" customHeight="true" outlineLevel="0" collapsed="false">
      <c r="A452" s="638"/>
    </row>
    <row r="453" customFormat="false" ht="15.75" hidden="false" customHeight="true" outlineLevel="0" collapsed="false">
      <c r="A453" s="638"/>
    </row>
    <row r="454" customFormat="false" ht="15.75" hidden="false" customHeight="true" outlineLevel="0" collapsed="false">
      <c r="A454" s="638"/>
    </row>
    <row r="455" customFormat="false" ht="15.75" hidden="false" customHeight="true" outlineLevel="0" collapsed="false">
      <c r="A455" s="638"/>
    </row>
    <row r="456" customFormat="false" ht="15.75" hidden="false" customHeight="true" outlineLevel="0" collapsed="false">
      <c r="A456" s="638"/>
    </row>
    <row r="457" customFormat="false" ht="15.75" hidden="false" customHeight="true" outlineLevel="0" collapsed="false">
      <c r="A457" s="638"/>
    </row>
    <row r="458" customFormat="false" ht="15.75" hidden="false" customHeight="true" outlineLevel="0" collapsed="false">
      <c r="A458" s="638"/>
    </row>
    <row r="459" customFormat="false" ht="15.75" hidden="false" customHeight="true" outlineLevel="0" collapsed="false">
      <c r="A459" s="638"/>
    </row>
    <row r="460" customFormat="false" ht="15.75" hidden="false" customHeight="true" outlineLevel="0" collapsed="false">
      <c r="A460" s="638"/>
    </row>
    <row r="461" customFormat="false" ht="15.75" hidden="false" customHeight="true" outlineLevel="0" collapsed="false">
      <c r="A461" s="638"/>
    </row>
    <row r="462" customFormat="false" ht="15.75" hidden="false" customHeight="true" outlineLevel="0" collapsed="false">
      <c r="A462" s="638"/>
    </row>
    <row r="463" customFormat="false" ht="15.75" hidden="false" customHeight="true" outlineLevel="0" collapsed="false">
      <c r="A463" s="638"/>
    </row>
    <row r="464" customFormat="false" ht="15.75" hidden="false" customHeight="true" outlineLevel="0" collapsed="false">
      <c r="A464" s="638"/>
    </row>
    <row r="465" customFormat="false" ht="15.75" hidden="false" customHeight="true" outlineLevel="0" collapsed="false">
      <c r="A465" s="638"/>
    </row>
    <row r="466" customFormat="false" ht="15.75" hidden="false" customHeight="true" outlineLevel="0" collapsed="false">
      <c r="A466" s="638"/>
    </row>
    <row r="467" customFormat="false" ht="15.75" hidden="false" customHeight="true" outlineLevel="0" collapsed="false">
      <c r="A467" s="638"/>
    </row>
    <row r="468" customFormat="false" ht="15.75" hidden="false" customHeight="true" outlineLevel="0" collapsed="false">
      <c r="A468" s="638"/>
    </row>
    <row r="469" customFormat="false" ht="15.75" hidden="false" customHeight="true" outlineLevel="0" collapsed="false">
      <c r="A469" s="638"/>
    </row>
    <row r="470" customFormat="false" ht="15.75" hidden="false" customHeight="true" outlineLevel="0" collapsed="false">
      <c r="A470" s="638"/>
    </row>
    <row r="471" customFormat="false" ht="15.75" hidden="false" customHeight="true" outlineLevel="0" collapsed="false">
      <c r="A471" s="638"/>
    </row>
    <row r="472" customFormat="false" ht="15.75" hidden="false" customHeight="true" outlineLevel="0" collapsed="false">
      <c r="A472" s="638"/>
    </row>
    <row r="473" customFormat="false" ht="15.75" hidden="false" customHeight="true" outlineLevel="0" collapsed="false">
      <c r="A473" s="638"/>
    </row>
    <row r="474" customFormat="false" ht="15.75" hidden="false" customHeight="true" outlineLevel="0" collapsed="false">
      <c r="A474" s="638"/>
    </row>
    <row r="475" customFormat="false" ht="15.75" hidden="false" customHeight="true" outlineLevel="0" collapsed="false">
      <c r="A475" s="638"/>
    </row>
    <row r="476" customFormat="false" ht="15.75" hidden="false" customHeight="true" outlineLevel="0" collapsed="false">
      <c r="A476" s="638"/>
    </row>
    <row r="477" customFormat="false" ht="15.75" hidden="false" customHeight="true" outlineLevel="0" collapsed="false">
      <c r="A477" s="638"/>
    </row>
    <row r="478" customFormat="false" ht="15.75" hidden="false" customHeight="true" outlineLevel="0" collapsed="false">
      <c r="A478" s="638"/>
    </row>
    <row r="479" customFormat="false" ht="15.75" hidden="false" customHeight="true" outlineLevel="0" collapsed="false">
      <c r="A479" s="638"/>
    </row>
    <row r="480" customFormat="false" ht="15.75" hidden="false" customHeight="true" outlineLevel="0" collapsed="false">
      <c r="A480" s="638"/>
    </row>
    <row r="481" customFormat="false" ht="15.75" hidden="false" customHeight="true" outlineLevel="0" collapsed="false">
      <c r="A481" s="638"/>
    </row>
    <row r="482" customFormat="false" ht="15.75" hidden="false" customHeight="true" outlineLevel="0" collapsed="false">
      <c r="A482" s="638"/>
    </row>
    <row r="483" customFormat="false" ht="15.75" hidden="false" customHeight="true" outlineLevel="0" collapsed="false">
      <c r="A483" s="638"/>
    </row>
    <row r="484" customFormat="false" ht="15.75" hidden="false" customHeight="true" outlineLevel="0" collapsed="false">
      <c r="A484" s="638"/>
    </row>
    <row r="485" customFormat="false" ht="15.75" hidden="false" customHeight="true" outlineLevel="0" collapsed="false">
      <c r="A485" s="638"/>
    </row>
    <row r="486" customFormat="false" ht="15.75" hidden="false" customHeight="true" outlineLevel="0" collapsed="false">
      <c r="A486" s="638"/>
    </row>
    <row r="487" customFormat="false" ht="15.75" hidden="false" customHeight="true" outlineLevel="0" collapsed="false">
      <c r="A487" s="638"/>
    </row>
    <row r="488" customFormat="false" ht="15.75" hidden="false" customHeight="true" outlineLevel="0" collapsed="false">
      <c r="A488" s="638"/>
    </row>
    <row r="489" customFormat="false" ht="15.75" hidden="false" customHeight="true" outlineLevel="0" collapsed="false">
      <c r="A489" s="638"/>
    </row>
    <row r="490" customFormat="false" ht="15.75" hidden="false" customHeight="true" outlineLevel="0" collapsed="false">
      <c r="A490" s="638"/>
    </row>
    <row r="491" customFormat="false" ht="15.75" hidden="false" customHeight="true" outlineLevel="0" collapsed="false">
      <c r="A491" s="638"/>
    </row>
    <row r="492" customFormat="false" ht="15.75" hidden="false" customHeight="true" outlineLevel="0" collapsed="false">
      <c r="A492" s="638"/>
    </row>
    <row r="493" customFormat="false" ht="15.75" hidden="false" customHeight="true" outlineLevel="0" collapsed="false">
      <c r="A493" s="638"/>
    </row>
    <row r="494" customFormat="false" ht="15.75" hidden="false" customHeight="true" outlineLevel="0" collapsed="false">
      <c r="A494" s="638"/>
    </row>
    <row r="495" customFormat="false" ht="15.75" hidden="false" customHeight="true" outlineLevel="0" collapsed="false">
      <c r="A495" s="638"/>
    </row>
    <row r="496" customFormat="false" ht="15.75" hidden="false" customHeight="true" outlineLevel="0" collapsed="false">
      <c r="A496" s="638"/>
    </row>
    <row r="497" customFormat="false" ht="15.75" hidden="false" customHeight="true" outlineLevel="0" collapsed="false">
      <c r="A497" s="638"/>
    </row>
    <row r="498" customFormat="false" ht="15.75" hidden="false" customHeight="true" outlineLevel="0" collapsed="false">
      <c r="A498" s="638"/>
    </row>
    <row r="499" customFormat="false" ht="15.75" hidden="false" customHeight="true" outlineLevel="0" collapsed="false">
      <c r="A499" s="638"/>
    </row>
    <row r="500" customFormat="false" ht="15.75" hidden="false" customHeight="true" outlineLevel="0" collapsed="false">
      <c r="A500" s="638"/>
    </row>
    <row r="501" customFormat="false" ht="15.75" hidden="false" customHeight="true" outlineLevel="0" collapsed="false">
      <c r="A501" s="638"/>
    </row>
    <row r="502" customFormat="false" ht="15.75" hidden="false" customHeight="true" outlineLevel="0" collapsed="false">
      <c r="A502" s="638"/>
    </row>
    <row r="503" customFormat="false" ht="15.75" hidden="false" customHeight="true" outlineLevel="0" collapsed="false">
      <c r="A503" s="638"/>
    </row>
    <row r="504" customFormat="false" ht="15.75" hidden="false" customHeight="true" outlineLevel="0" collapsed="false">
      <c r="A504" s="638"/>
    </row>
    <row r="505" customFormat="false" ht="15.75" hidden="false" customHeight="true" outlineLevel="0" collapsed="false">
      <c r="A505" s="638"/>
    </row>
    <row r="506" customFormat="false" ht="15.75" hidden="false" customHeight="true" outlineLevel="0" collapsed="false">
      <c r="A506" s="638"/>
    </row>
    <row r="507" customFormat="false" ht="15.75" hidden="false" customHeight="true" outlineLevel="0" collapsed="false">
      <c r="A507" s="638"/>
    </row>
    <row r="508" customFormat="false" ht="15.75" hidden="false" customHeight="true" outlineLevel="0" collapsed="false">
      <c r="A508" s="638"/>
    </row>
    <row r="509" customFormat="false" ht="15.75" hidden="false" customHeight="true" outlineLevel="0" collapsed="false">
      <c r="A509" s="638"/>
    </row>
    <row r="510" customFormat="false" ht="15.75" hidden="false" customHeight="true" outlineLevel="0" collapsed="false">
      <c r="A510" s="638"/>
    </row>
    <row r="511" customFormat="false" ht="15.75" hidden="false" customHeight="true" outlineLevel="0" collapsed="false">
      <c r="A511" s="638"/>
    </row>
    <row r="512" customFormat="false" ht="15.75" hidden="false" customHeight="true" outlineLevel="0" collapsed="false">
      <c r="A512" s="638"/>
    </row>
    <row r="513" customFormat="false" ht="15.75" hidden="false" customHeight="true" outlineLevel="0" collapsed="false">
      <c r="A513" s="638"/>
    </row>
    <row r="514" customFormat="false" ht="15.75" hidden="false" customHeight="true" outlineLevel="0" collapsed="false">
      <c r="A514" s="638"/>
    </row>
    <row r="515" customFormat="false" ht="15.75" hidden="false" customHeight="true" outlineLevel="0" collapsed="false">
      <c r="A515" s="638"/>
    </row>
    <row r="516" customFormat="false" ht="15.75" hidden="false" customHeight="true" outlineLevel="0" collapsed="false">
      <c r="A516" s="638"/>
    </row>
    <row r="517" customFormat="false" ht="15.75" hidden="false" customHeight="true" outlineLevel="0" collapsed="false">
      <c r="A517" s="638"/>
    </row>
    <row r="518" customFormat="false" ht="15.75" hidden="false" customHeight="true" outlineLevel="0" collapsed="false">
      <c r="A518" s="638"/>
    </row>
    <row r="519" customFormat="false" ht="15.75" hidden="false" customHeight="true" outlineLevel="0" collapsed="false">
      <c r="A519" s="638"/>
    </row>
    <row r="520" customFormat="false" ht="15.75" hidden="false" customHeight="true" outlineLevel="0" collapsed="false">
      <c r="A520" s="638"/>
    </row>
    <row r="521" customFormat="false" ht="15.75" hidden="false" customHeight="true" outlineLevel="0" collapsed="false">
      <c r="A521" s="638"/>
    </row>
    <row r="522" customFormat="false" ht="15.75" hidden="false" customHeight="true" outlineLevel="0" collapsed="false">
      <c r="A522" s="638"/>
    </row>
    <row r="523" customFormat="false" ht="15.75" hidden="false" customHeight="true" outlineLevel="0" collapsed="false">
      <c r="A523" s="638"/>
    </row>
    <row r="524" customFormat="false" ht="15.75" hidden="false" customHeight="true" outlineLevel="0" collapsed="false">
      <c r="A524" s="638"/>
    </row>
    <row r="525" customFormat="false" ht="15.75" hidden="false" customHeight="true" outlineLevel="0" collapsed="false">
      <c r="A525" s="638"/>
    </row>
    <row r="526" customFormat="false" ht="15.75" hidden="false" customHeight="true" outlineLevel="0" collapsed="false">
      <c r="A526" s="638"/>
    </row>
    <row r="527" customFormat="false" ht="15.75" hidden="false" customHeight="true" outlineLevel="0" collapsed="false">
      <c r="A527" s="638"/>
    </row>
    <row r="528" customFormat="false" ht="15.75" hidden="false" customHeight="true" outlineLevel="0" collapsed="false">
      <c r="A528" s="638"/>
    </row>
    <row r="529" customFormat="false" ht="15.75" hidden="false" customHeight="true" outlineLevel="0" collapsed="false">
      <c r="A529" s="638"/>
    </row>
    <row r="530" customFormat="false" ht="15.75" hidden="false" customHeight="true" outlineLevel="0" collapsed="false">
      <c r="A530" s="638"/>
    </row>
    <row r="531" customFormat="false" ht="15.75" hidden="false" customHeight="true" outlineLevel="0" collapsed="false">
      <c r="A531" s="638"/>
    </row>
    <row r="532" customFormat="false" ht="15.75" hidden="false" customHeight="true" outlineLevel="0" collapsed="false">
      <c r="A532" s="638"/>
    </row>
    <row r="533" customFormat="false" ht="15.75" hidden="false" customHeight="true" outlineLevel="0" collapsed="false">
      <c r="A533" s="638"/>
    </row>
    <row r="534" customFormat="false" ht="15.75" hidden="false" customHeight="true" outlineLevel="0" collapsed="false">
      <c r="A534" s="638"/>
    </row>
    <row r="535" customFormat="false" ht="15.75" hidden="false" customHeight="true" outlineLevel="0" collapsed="false">
      <c r="A535" s="638"/>
    </row>
    <row r="536" customFormat="false" ht="15.75" hidden="false" customHeight="true" outlineLevel="0" collapsed="false">
      <c r="A536" s="638"/>
    </row>
    <row r="537" customFormat="false" ht="15.75" hidden="false" customHeight="true" outlineLevel="0" collapsed="false">
      <c r="A537" s="638"/>
    </row>
    <row r="538" customFormat="false" ht="15.75" hidden="false" customHeight="true" outlineLevel="0" collapsed="false">
      <c r="A538" s="638"/>
    </row>
    <row r="539" customFormat="false" ht="15.75" hidden="false" customHeight="true" outlineLevel="0" collapsed="false">
      <c r="A539" s="638"/>
    </row>
    <row r="540" customFormat="false" ht="15.75" hidden="false" customHeight="true" outlineLevel="0" collapsed="false">
      <c r="A540" s="638"/>
    </row>
    <row r="541" customFormat="false" ht="15.75" hidden="false" customHeight="true" outlineLevel="0" collapsed="false">
      <c r="A541" s="638"/>
    </row>
    <row r="542" customFormat="false" ht="15.75" hidden="false" customHeight="true" outlineLevel="0" collapsed="false">
      <c r="A542" s="638"/>
    </row>
    <row r="543" customFormat="false" ht="15.75" hidden="false" customHeight="true" outlineLevel="0" collapsed="false">
      <c r="A543" s="638"/>
    </row>
    <row r="544" customFormat="false" ht="15.75" hidden="false" customHeight="true" outlineLevel="0" collapsed="false">
      <c r="A544" s="638"/>
    </row>
    <row r="545" customFormat="false" ht="15.75" hidden="false" customHeight="true" outlineLevel="0" collapsed="false">
      <c r="A545" s="638"/>
    </row>
    <row r="546" customFormat="false" ht="15.75" hidden="false" customHeight="true" outlineLevel="0" collapsed="false">
      <c r="A546" s="638"/>
    </row>
    <row r="547" customFormat="false" ht="15.75" hidden="false" customHeight="true" outlineLevel="0" collapsed="false">
      <c r="A547" s="638"/>
    </row>
    <row r="548" customFormat="false" ht="15.75" hidden="false" customHeight="true" outlineLevel="0" collapsed="false">
      <c r="A548" s="638"/>
    </row>
    <row r="549" customFormat="false" ht="15.75" hidden="false" customHeight="true" outlineLevel="0" collapsed="false">
      <c r="A549" s="638"/>
    </row>
    <row r="550" customFormat="false" ht="15.75" hidden="false" customHeight="true" outlineLevel="0" collapsed="false">
      <c r="A550" s="638"/>
    </row>
    <row r="551" customFormat="false" ht="15.75" hidden="false" customHeight="true" outlineLevel="0" collapsed="false">
      <c r="A551" s="638"/>
    </row>
    <row r="552" customFormat="false" ht="15.75" hidden="false" customHeight="true" outlineLevel="0" collapsed="false">
      <c r="A552" s="638"/>
    </row>
    <row r="553" customFormat="false" ht="15.75" hidden="false" customHeight="true" outlineLevel="0" collapsed="false">
      <c r="A553" s="638"/>
    </row>
    <row r="554" customFormat="false" ht="15.75" hidden="false" customHeight="true" outlineLevel="0" collapsed="false">
      <c r="A554" s="638"/>
    </row>
    <row r="555" customFormat="false" ht="15.75" hidden="false" customHeight="true" outlineLevel="0" collapsed="false">
      <c r="A555" s="638"/>
    </row>
    <row r="556" customFormat="false" ht="15.75" hidden="false" customHeight="true" outlineLevel="0" collapsed="false">
      <c r="A556" s="638"/>
    </row>
    <row r="557" customFormat="false" ht="15.75" hidden="false" customHeight="true" outlineLevel="0" collapsed="false">
      <c r="A557" s="638"/>
    </row>
    <row r="558" customFormat="false" ht="15.75" hidden="false" customHeight="true" outlineLevel="0" collapsed="false">
      <c r="A558" s="638"/>
    </row>
    <row r="559" customFormat="false" ht="15.75" hidden="false" customHeight="true" outlineLevel="0" collapsed="false">
      <c r="A559" s="638"/>
    </row>
    <row r="560" customFormat="false" ht="15.75" hidden="false" customHeight="true" outlineLevel="0" collapsed="false">
      <c r="A560" s="638"/>
    </row>
    <row r="561" customFormat="false" ht="15.75" hidden="false" customHeight="true" outlineLevel="0" collapsed="false">
      <c r="A561" s="638"/>
    </row>
    <row r="562" customFormat="false" ht="15.75" hidden="false" customHeight="true" outlineLevel="0" collapsed="false">
      <c r="A562" s="638"/>
    </row>
    <row r="563" customFormat="false" ht="15.75" hidden="false" customHeight="true" outlineLevel="0" collapsed="false">
      <c r="A563" s="638"/>
    </row>
    <row r="564" customFormat="false" ht="15.75" hidden="false" customHeight="true" outlineLevel="0" collapsed="false">
      <c r="A564" s="638"/>
    </row>
    <row r="565" customFormat="false" ht="15.75" hidden="false" customHeight="true" outlineLevel="0" collapsed="false">
      <c r="A565" s="638"/>
    </row>
    <row r="566" customFormat="false" ht="15.75" hidden="false" customHeight="true" outlineLevel="0" collapsed="false">
      <c r="A566" s="638"/>
    </row>
    <row r="567" customFormat="false" ht="15.75" hidden="false" customHeight="true" outlineLevel="0" collapsed="false">
      <c r="A567" s="638"/>
    </row>
    <row r="568" customFormat="false" ht="15.75" hidden="false" customHeight="true" outlineLevel="0" collapsed="false">
      <c r="A568" s="638"/>
    </row>
    <row r="569" customFormat="false" ht="15.75" hidden="false" customHeight="true" outlineLevel="0" collapsed="false">
      <c r="A569" s="638"/>
    </row>
    <row r="570" customFormat="false" ht="15.75" hidden="false" customHeight="true" outlineLevel="0" collapsed="false">
      <c r="A570" s="638"/>
    </row>
    <row r="571" customFormat="false" ht="15.75" hidden="false" customHeight="true" outlineLevel="0" collapsed="false">
      <c r="A571" s="638"/>
    </row>
    <row r="572" customFormat="false" ht="15.75" hidden="false" customHeight="true" outlineLevel="0" collapsed="false">
      <c r="A572" s="638"/>
    </row>
    <row r="573" customFormat="false" ht="15.75" hidden="false" customHeight="true" outlineLevel="0" collapsed="false">
      <c r="A573" s="638"/>
    </row>
    <row r="574" customFormat="false" ht="15.75" hidden="false" customHeight="true" outlineLevel="0" collapsed="false">
      <c r="A574" s="638"/>
    </row>
    <row r="575" customFormat="false" ht="15.75" hidden="false" customHeight="true" outlineLevel="0" collapsed="false">
      <c r="A575" s="638"/>
    </row>
    <row r="576" customFormat="false" ht="15.75" hidden="false" customHeight="true" outlineLevel="0" collapsed="false">
      <c r="A576" s="638"/>
    </row>
    <row r="577" customFormat="false" ht="15.75" hidden="false" customHeight="true" outlineLevel="0" collapsed="false">
      <c r="A577" s="638"/>
    </row>
    <row r="578" customFormat="false" ht="15.75" hidden="false" customHeight="true" outlineLevel="0" collapsed="false">
      <c r="A578" s="638"/>
    </row>
    <row r="579" customFormat="false" ht="15.75" hidden="false" customHeight="true" outlineLevel="0" collapsed="false">
      <c r="A579" s="638"/>
    </row>
    <row r="580" customFormat="false" ht="15.75" hidden="false" customHeight="true" outlineLevel="0" collapsed="false">
      <c r="A580" s="638"/>
    </row>
    <row r="581" customFormat="false" ht="15.75" hidden="false" customHeight="true" outlineLevel="0" collapsed="false">
      <c r="A581" s="638"/>
    </row>
    <row r="582" customFormat="false" ht="15.75" hidden="false" customHeight="true" outlineLevel="0" collapsed="false">
      <c r="A582" s="638"/>
    </row>
    <row r="583" customFormat="false" ht="15.75" hidden="false" customHeight="true" outlineLevel="0" collapsed="false">
      <c r="A583" s="638"/>
    </row>
    <row r="584" customFormat="false" ht="15.75" hidden="false" customHeight="true" outlineLevel="0" collapsed="false">
      <c r="A584" s="638"/>
    </row>
    <row r="585" customFormat="false" ht="15.75" hidden="false" customHeight="true" outlineLevel="0" collapsed="false">
      <c r="A585" s="638"/>
    </row>
    <row r="586" customFormat="false" ht="15.75" hidden="false" customHeight="true" outlineLevel="0" collapsed="false">
      <c r="A586" s="638"/>
    </row>
    <row r="587" customFormat="false" ht="15.75" hidden="false" customHeight="true" outlineLevel="0" collapsed="false">
      <c r="A587" s="638"/>
    </row>
    <row r="588" customFormat="false" ht="15.75" hidden="false" customHeight="true" outlineLevel="0" collapsed="false">
      <c r="A588" s="638"/>
    </row>
    <row r="589" customFormat="false" ht="15.75" hidden="false" customHeight="true" outlineLevel="0" collapsed="false">
      <c r="A589" s="638"/>
    </row>
    <row r="590" customFormat="false" ht="15.75" hidden="false" customHeight="true" outlineLevel="0" collapsed="false">
      <c r="A590" s="638"/>
    </row>
    <row r="591" customFormat="false" ht="15.75" hidden="false" customHeight="true" outlineLevel="0" collapsed="false">
      <c r="A591" s="638"/>
    </row>
    <row r="592" customFormat="false" ht="15.75" hidden="false" customHeight="true" outlineLevel="0" collapsed="false">
      <c r="A592" s="638"/>
    </row>
    <row r="593" customFormat="false" ht="15.75" hidden="false" customHeight="true" outlineLevel="0" collapsed="false">
      <c r="A593" s="638"/>
    </row>
    <row r="594" customFormat="false" ht="15.75" hidden="false" customHeight="true" outlineLevel="0" collapsed="false">
      <c r="A594" s="638"/>
    </row>
    <row r="595" customFormat="false" ht="15.75" hidden="false" customHeight="true" outlineLevel="0" collapsed="false">
      <c r="A595" s="638"/>
    </row>
    <row r="596" customFormat="false" ht="15.75" hidden="false" customHeight="true" outlineLevel="0" collapsed="false">
      <c r="A596" s="638"/>
    </row>
    <row r="597" customFormat="false" ht="15.75" hidden="false" customHeight="true" outlineLevel="0" collapsed="false">
      <c r="A597" s="638"/>
    </row>
    <row r="598" customFormat="false" ht="15.75" hidden="false" customHeight="true" outlineLevel="0" collapsed="false">
      <c r="A598" s="638"/>
    </row>
    <row r="599" customFormat="false" ht="15.75" hidden="false" customHeight="true" outlineLevel="0" collapsed="false">
      <c r="A599" s="638"/>
    </row>
    <row r="600" customFormat="false" ht="15.75" hidden="false" customHeight="true" outlineLevel="0" collapsed="false">
      <c r="A600" s="638"/>
    </row>
    <row r="601" customFormat="false" ht="15.75" hidden="false" customHeight="true" outlineLevel="0" collapsed="false">
      <c r="A601" s="638"/>
    </row>
    <row r="602" customFormat="false" ht="15.75" hidden="false" customHeight="true" outlineLevel="0" collapsed="false">
      <c r="A602" s="638"/>
    </row>
    <row r="603" customFormat="false" ht="15.75" hidden="false" customHeight="true" outlineLevel="0" collapsed="false">
      <c r="A603" s="638"/>
    </row>
    <row r="604" customFormat="false" ht="15.75" hidden="false" customHeight="true" outlineLevel="0" collapsed="false">
      <c r="A604" s="638"/>
    </row>
    <row r="605" customFormat="false" ht="15.75" hidden="false" customHeight="true" outlineLevel="0" collapsed="false">
      <c r="A605" s="638"/>
    </row>
    <row r="606" customFormat="false" ht="15.75" hidden="false" customHeight="true" outlineLevel="0" collapsed="false">
      <c r="A606" s="638"/>
    </row>
    <row r="607" customFormat="false" ht="15.75" hidden="false" customHeight="true" outlineLevel="0" collapsed="false">
      <c r="A607" s="638"/>
    </row>
    <row r="608" customFormat="false" ht="15.75" hidden="false" customHeight="true" outlineLevel="0" collapsed="false">
      <c r="A608" s="638"/>
    </row>
    <row r="609" customFormat="false" ht="15.75" hidden="false" customHeight="true" outlineLevel="0" collapsed="false">
      <c r="A609" s="638"/>
    </row>
    <row r="610" customFormat="false" ht="15.75" hidden="false" customHeight="true" outlineLevel="0" collapsed="false">
      <c r="A610" s="638"/>
    </row>
    <row r="611" customFormat="false" ht="15.75" hidden="false" customHeight="true" outlineLevel="0" collapsed="false">
      <c r="A611" s="638"/>
    </row>
    <row r="612" customFormat="false" ht="15.75" hidden="false" customHeight="true" outlineLevel="0" collapsed="false">
      <c r="A612" s="638"/>
    </row>
    <row r="613" customFormat="false" ht="15.75" hidden="false" customHeight="true" outlineLevel="0" collapsed="false">
      <c r="A613" s="638"/>
    </row>
    <row r="614" customFormat="false" ht="15.75" hidden="false" customHeight="true" outlineLevel="0" collapsed="false">
      <c r="A614" s="638"/>
    </row>
    <row r="615" customFormat="false" ht="15.75" hidden="false" customHeight="true" outlineLevel="0" collapsed="false">
      <c r="A615" s="638"/>
    </row>
    <row r="616" customFormat="false" ht="15.75" hidden="false" customHeight="true" outlineLevel="0" collapsed="false">
      <c r="A616" s="638"/>
    </row>
    <row r="617" customFormat="false" ht="15.75" hidden="false" customHeight="true" outlineLevel="0" collapsed="false">
      <c r="A617" s="638"/>
    </row>
    <row r="618" customFormat="false" ht="15.75" hidden="false" customHeight="true" outlineLevel="0" collapsed="false">
      <c r="A618" s="638"/>
    </row>
    <row r="619" customFormat="false" ht="15.75" hidden="false" customHeight="true" outlineLevel="0" collapsed="false">
      <c r="A619" s="638"/>
    </row>
    <row r="620" customFormat="false" ht="15.75" hidden="false" customHeight="true" outlineLevel="0" collapsed="false">
      <c r="A620" s="638"/>
    </row>
    <row r="621" customFormat="false" ht="15.75" hidden="false" customHeight="true" outlineLevel="0" collapsed="false">
      <c r="A621" s="638"/>
    </row>
    <row r="622" customFormat="false" ht="15.75" hidden="false" customHeight="true" outlineLevel="0" collapsed="false">
      <c r="A622" s="638"/>
    </row>
    <row r="623" customFormat="false" ht="15.75" hidden="false" customHeight="true" outlineLevel="0" collapsed="false">
      <c r="A623" s="638"/>
    </row>
    <row r="624" customFormat="false" ht="15.75" hidden="false" customHeight="true" outlineLevel="0" collapsed="false">
      <c r="A624" s="638"/>
    </row>
    <row r="625" customFormat="false" ht="15.75" hidden="false" customHeight="true" outlineLevel="0" collapsed="false">
      <c r="A625" s="638"/>
    </row>
    <row r="626" customFormat="false" ht="15.75" hidden="false" customHeight="true" outlineLevel="0" collapsed="false">
      <c r="A626" s="638"/>
    </row>
    <row r="627" customFormat="false" ht="15.75" hidden="false" customHeight="true" outlineLevel="0" collapsed="false">
      <c r="A627" s="638"/>
    </row>
    <row r="628" customFormat="false" ht="15.75" hidden="false" customHeight="true" outlineLevel="0" collapsed="false">
      <c r="A628" s="638"/>
    </row>
    <row r="629" customFormat="false" ht="15.75" hidden="false" customHeight="true" outlineLevel="0" collapsed="false">
      <c r="A629" s="638"/>
    </row>
    <row r="630" customFormat="false" ht="15.75" hidden="false" customHeight="true" outlineLevel="0" collapsed="false">
      <c r="A630" s="638"/>
    </row>
    <row r="631" customFormat="false" ht="15.75" hidden="false" customHeight="true" outlineLevel="0" collapsed="false">
      <c r="A631" s="638"/>
    </row>
    <row r="632" customFormat="false" ht="15.75" hidden="false" customHeight="true" outlineLevel="0" collapsed="false">
      <c r="A632" s="638"/>
    </row>
    <row r="633" customFormat="false" ht="15.75" hidden="false" customHeight="true" outlineLevel="0" collapsed="false">
      <c r="A633" s="638"/>
    </row>
    <row r="634" customFormat="false" ht="15.75" hidden="false" customHeight="true" outlineLevel="0" collapsed="false">
      <c r="A634" s="638"/>
    </row>
    <row r="635" customFormat="false" ht="15.75" hidden="false" customHeight="true" outlineLevel="0" collapsed="false">
      <c r="A635" s="638"/>
    </row>
    <row r="636" customFormat="false" ht="15.75" hidden="false" customHeight="true" outlineLevel="0" collapsed="false">
      <c r="A636" s="638"/>
    </row>
    <row r="637" customFormat="false" ht="15.75" hidden="false" customHeight="true" outlineLevel="0" collapsed="false">
      <c r="A637" s="638"/>
    </row>
    <row r="638" customFormat="false" ht="15.75" hidden="false" customHeight="true" outlineLevel="0" collapsed="false">
      <c r="A638" s="638"/>
    </row>
    <row r="639" customFormat="false" ht="15.75" hidden="false" customHeight="true" outlineLevel="0" collapsed="false">
      <c r="A639" s="638"/>
    </row>
    <row r="640" customFormat="false" ht="15.75" hidden="false" customHeight="true" outlineLevel="0" collapsed="false">
      <c r="A640" s="638"/>
    </row>
    <row r="641" customFormat="false" ht="15.75" hidden="false" customHeight="true" outlineLevel="0" collapsed="false">
      <c r="A641" s="638"/>
    </row>
    <row r="642" customFormat="false" ht="15.75" hidden="false" customHeight="true" outlineLevel="0" collapsed="false">
      <c r="A642" s="638"/>
    </row>
    <row r="643" customFormat="false" ht="15.75" hidden="false" customHeight="true" outlineLevel="0" collapsed="false">
      <c r="A643" s="638"/>
    </row>
    <row r="644" customFormat="false" ht="15.75" hidden="false" customHeight="true" outlineLevel="0" collapsed="false">
      <c r="A644" s="638"/>
    </row>
    <row r="645" customFormat="false" ht="15.75" hidden="false" customHeight="true" outlineLevel="0" collapsed="false">
      <c r="A645" s="638"/>
    </row>
    <row r="646" customFormat="false" ht="15.75" hidden="false" customHeight="true" outlineLevel="0" collapsed="false">
      <c r="A646" s="638"/>
    </row>
    <row r="647" customFormat="false" ht="15.75" hidden="false" customHeight="true" outlineLevel="0" collapsed="false">
      <c r="A647" s="638"/>
    </row>
    <row r="648" customFormat="false" ht="15.75" hidden="false" customHeight="true" outlineLevel="0" collapsed="false">
      <c r="A648" s="638"/>
    </row>
    <row r="649" customFormat="false" ht="15.75" hidden="false" customHeight="true" outlineLevel="0" collapsed="false">
      <c r="A649" s="638"/>
    </row>
    <row r="650" customFormat="false" ht="15.75" hidden="false" customHeight="true" outlineLevel="0" collapsed="false">
      <c r="A650" s="638"/>
    </row>
    <row r="651" customFormat="false" ht="15.75" hidden="false" customHeight="true" outlineLevel="0" collapsed="false">
      <c r="A651" s="638"/>
    </row>
    <row r="652" customFormat="false" ht="15.75" hidden="false" customHeight="true" outlineLevel="0" collapsed="false">
      <c r="A652" s="638"/>
    </row>
    <row r="653" customFormat="false" ht="15.75" hidden="false" customHeight="true" outlineLevel="0" collapsed="false">
      <c r="A653" s="638"/>
    </row>
    <row r="654" customFormat="false" ht="15.75" hidden="false" customHeight="true" outlineLevel="0" collapsed="false">
      <c r="A654" s="638"/>
    </row>
    <row r="655" customFormat="false" ht="15.75" hidden="false" customHeight="true" outlineLevel="0" collapsed="false">
      <c r="A655" s="638"/>
    </row>
    <row r="656" customFormat="false" ht="15.75" hidden="false" customHeight="true" outlineLevel="0" collapsed="false">
      <c r="A656" s="638"/>
    </row>
    <row r="657" customFormat="false" ht="15.75" hidden="false" customHeight="true" outlineLevel="0" collapsed="false">
      <c r="A657" s="638"/>
    </row>
    <row r="658" customFormat="false" ht="15.75" hidden="false" customHeight="true" outlineLevel="0" collapsed="false">
      <c r="A658" s="638"/>
    </row>
    <row r="659" customFormat="false" ht="15.75" hidden="false" customHeight="true" outlineLevel="0" collapsed="false">
      <c r="A659" s="638"/>
    </row>
    <row r="660" customFormat="false" ht="15.75" hidden="false" customHeight="true" outlineLevel="0" collapsed="false">
      <c r="A660" s="638"/>
    </row>
    <row r="661" customFormat="false" ht="15.75" hidden="false" customHeight="true" outlineLevel="0" collapsed="false">
      <c r="A661" s="638"/>
    </row>
    <row r="662" customFormat="false" ht="15.75" hidden="false" customHeight="true" outlineLevel="0" collapsed="false">
      <c r="A662" s="638"/>
    </row>
    <row r="663" customFormat="false" ht="15.75" hidden="false" customHeight="true" outlineLevel="0" collapsed="false">
      <c r="A663" s="638"/>
    </row>
    <row r="664" customFormat="false" ht="15.75" hidden="false" customHeight="true" outlineLevel="0" collapsed="false">
      <c r="A664" s="638"/>
    </row>
    <row r="665" customFormat="false" ht="15.75" hidden="false" customHeight="true" outlineLevel="0" collapsed="false">
      <c r="A665" s="638"/>
    </row>
    <row r="666" customFormat="false" ht="15.75" hidden="false" customHeight="true" outlineLevel="0" collapsed="false">
      <c r="A666" s="638"/>
    </row>
    <row r="667" customFormat="false" ht="15.75" hidden="false" customHeight="true" outlineLevel="0" collapsed="false">
      <c r="A667" s="638"/>
    </row>
    <row r="668" customFormat="false" ht="15.75" hidden="false" customHeight="true" outlineLevel="0" collapsed="false">
      <c r="A668" s="638"/>
    </row>
    <row r="669" customFormat="false" ht="15.75" hidden="false" customHeight="true" outlineLevel="0" collapsed="false">
      <c r="A669" s="638"/>
    </row>
    <row r="670" customFormat="false" ht="15.75" hidden="false" customHeight="true" outlineLevel="0" collapsed="false">
      <c r="A670" s="638"/>
    </row>
    <row r="671" customFormat="false" ht="15.75" hidden="false" customHeight="true" outlineLevel="0" collapsed="false">
      <c r="A671" s="638"/>
    </row>
    <row r="672" customFormat="false" ht="15.75" hidden="false" customHeight="true" outlineLevel="0" collapsed="false">
      <c r="A672" s="638"/>
    </row>
    <row r="673" customFormat="false" ht="15.75" hidden="false" customHeight="true" outlineLevel="0" collapsed="false">
      <c r="A673" s="638"/>
    </row>
    <row r="674" customFormat="false" ht="15.75" hidden="false" customHeight="true" outlineLevel="0" collapsed="false">
      <c r="A674" s="638"/>
    </row>
    <row r="675" customFormat="false" ht="15.75" hidden="false" customHeight="true" outlineLevel="0" collapsed="false">
      <c r="A675" s="638"/>
    </row>
    <row r="676" customFormat="false" ht="15.75" hidden="false" customHeight="true" outlineLevel="0" collapsed="false">
      <c r="A676" s="638"/>
    </row>
    <row r="677" customFormat="false" ht="15.75" hidden="false" customHeight="true" outlineLevel="0" collapsed="false">
      <c r="A677" s="638"/>
    </row>
    <row r="678" customFormat="false" ht="15.75" hidden="false" customHeight="true" outlineLevel="0" collapsed="false">
      <c r="A678" s="638"/>
    </row>
    <row r="679" customFormat="false" ht="15.75" hidden="false" customHeight="true" outlineLevel="0" collapsed="false">
      <c r="A679" s="638"/>
    </row>
    <row r="680" customFormat="false" ht="15.75" hidden="false" customHeight="true" outlineLevel="0" collapsed="false">
      <c r="A680" s="638"/>
    </row>
    <row r="681" customFormat="false" ht="15.75" hidden="false" customHeight="true" outlineLevel="0" collapsed="false">
      <c r="A681" s="638"/>
    </row>
    <row r="682" customFormat="false" ht="15.75" hidden="false" customHeight="true" outlineLevel="0" collapsed="false">
      <c r="A682" s="638"/>
    </row>
    <row r="683" customFormat="false" ht="15.75" hidden="false" customHeight="true" outlineLevel="0" collapsed="false">
      <c r="A683" s="638"/>
    </row>
    <row r="684" customFormat="false" ht="15.75" hidden="false" customHeight="true" outlineLevel="0" collapsed="false">
      <c r="A684" s="638"/>
    </row>
    <row r="685" customFormat="false" ht="15.75" hidden="false" customHeight="true" outlineLevel="0" collapsed="false">
      <c r="A685" s="638"/>
    </row>
    <row r="686" customFormat="false" ht="15.75" hidden="false" customHeight="true" outlineLevel="0" collapsed="false">
      <c r="A686" s="638"/>
    </row>
    <row r="687" customFormat="false" ht="15.75" hidden="false" customHeight="true" outlineLevel="0" collapsed="false">
      <c r="A687" s="638"/>
    </row>
    <row r="688" customFormat="false" ht="15.75" hidden="false" customHeight="true" outlineLevel="0" collapsed="false">
      <c r="A688" s="638"/>
    </row>
    <row r="689" customFormat="false" ht="15.75" hidden="false" customHeight="true" outlineLevel="0" collapsed="false">
      <c r="A689" s="638"/>
    </row>
    <row r="690" customFormat="false" ht="15.75" hidden="false" customHeight="true" outlineLevel="0" collapsed="false">
      <c r="A690" s="638"/>
    </row>
    <row r="691" customFormat="false" ht="15.75" hidden="false" customHeight="true" outlineLevel="0" collapsed="false">
      <c r="A691" s="638"/>
    </row>
    <row r="692" customFormat="false" ht="15.75" hidden="false" customHeight="true" outlineLevel="0" collapsed="false">
      <c r="A692" s="638"/>
    </row>
    <row r="693" customFormat="false" ht="15.75" hidden="false" customHeight="true" outlineLevel="0" collapsed="false">
      <c r="A693" s="638"/>
    </row>
    <row r="694" customFormat="false" ht="15.75" hidden="false" customHeight="true" outlineLevel="0" collapsed="false">
      <c r="A694" s="638"/>
    </row>
    <row r="695" customFormat="false" ht="15.75" hidden="false" customHeight="true" outlineLevel="0" collapsed="false">
      <c r="A695" s="638"/>
    </row>
    <row r="696" customFormat="false" ht="15.75" hidden="false" customHeight="true" outlineLevel="0" collapsed="false">
      <c r="A696" s="638"/>
    </row>
    <row r="697" customFormat="false" ht="15.75" hidden="false" customHeight="true" outlineLevel="0" collapsed="false">
      <c r="A697" s="638"/>
    </row>
    <row r="698" customFormat="false" ht="15.75" hidden="false" customHeight="true" outlineLevel="0" collapsed="false">
      <c r="A698" s="638"/>
    </row>
    <row r="699" customFormat="false" ht="15.75" hidden="false" customHeight="true" outlineLevel="0" collapsed="false">
      <c r="A699" s="638"/>
    </row>
    <row r="700" customFormat="false" ht="15.75" hidden="false" customHeight="true" outlineLevel="0" collapsed="false">
      <c r="A700" s="638"/>
    </row>
    <row r="701" customFormat="false" ht="15.75" hidden="false" customHeight="true" outlineLevel="0" collapsed="false">
      <c r="A701" s="638"/>
    </row>
    <row r="702" customFormat="false" ht="15.75" hidden="false" customHeight="true" outlineLevel="0" collapsed="false">
      <c r="A702" s="638"/>
    </row>
    <row r="703" customFormat="false" ht="15.75" hidden="false" customHeight="true" outlineLevel="0" collapsed="false">
      <c r="A703" s="638"/>
    </row>
    <row r="704" customFormat="false" ht="15.75" hidden="false" customHeight="true" outlineLevel="0" collapsed="false">
      <c r="A704" s="638"/>
    </row>
    <row r="705" customFormat="false" ht="15.75" hidden="false" customHeight="true" outlineLevel="0" collapsed="false">
      <c r="A705" s="638"/>
    </row>
    <row r="706" customFormat="false" ht="15.75" hidden="false" customHeight="true" outlineLevel="0" collapsed="false">
      <c r="A706" s="638"/>
    </row>
    <row r="707" customFormat="false" ht="15.75" hidden="false" customHeight="true" outlineLevel="0" collapsed="false">
      <c r="A707" s="638"/>
    </row>
    <row r="708" customFormat="false" ht="15.75" hidden="false" customHeight="true" outlineLevel="0" collapsed="false">
      <c r="A708" s="638"/>
    </row>
    <row r="709" customFormat="false" ht="15.75" hidden="false" customHeight="true" outlineLevel="0" collapsed="false">
      <c r="A709" s="638"/>
    </row>
    <row r="710" customFormat="false" ht="15.75" hidden="false" customHeight="true" outlineLevel="0" collapsed="false">
      <c r="A710" s="638"/>
    </row>
    <row r="711" customFormat="false" ht="15.75" hidden="false" customHeight="true" outlineLevel="0" collapsed="false">
      <c r="A711" s="638"/>
    </row>
    <row r="712" customFormat="false" ht="15.75" hidden="false" customHeight="true" outlineLevel="0" collapsed="false">
      <c r="A712" s="638"/>
    </row>
    <row r="713" customFormat="false" ht="15.75" hidden="false" customHeight="true" outlineLevel="0" collapsed="false">
      <c r="A713" s="638"/>
    </row>
    <row r="714" customFormat="false" ht="15.75" hidden="false" customHeight="true" outlineLevel="0" collapsed="false">
      <c r="A714" s="638"/>
    </row>
    <row r="715" customFormat="false" ht="15.75" hidden="false" customHeight="true" outlineLevel="0" collapsed="false">
      <c r="A715" s="638"/>
    </row>
    <row r="716" customFormat="false" ht="15.75" hidden="false" customHeight="true" outlineLevel="0" collapsed="false">
      <c r="A716" s="638"/>
    </row>
    <row r="717" customFormat="false" ht="15.75" hidden="false" customHeight="true" outlineLevel="0" collapsed="false">
      <c r="A717" s="638"/>
    </row>
    <row r="718" customFormat="false" ht="15.75" hidden="false" customHeight="true" outlineLevel="0" collapsed="false">
      <c r="A718" s="638"/>
    </row>
    <row r="719" customFormat="false" ht="15.75" hidden="false" customHeight="true" outlineLevel="0" collapsed="false">
      <c r="A719" s="638"/>
    </row>
    <row r="720" customFormat="false" ht="15.75" hidden="false" customHeight="true" outlineLevel="0" collapsed="false">
      <c r="A720" s="638"/>
    </row>
    <row r="721" customFormat="false" ht="15.75" hidden="false" customHeight="true" outlineLevel="0" collapsed="false">
      <c r="A721" s="638"/>
    </row>
    <row r="722" customFormat="false" ht="15.75" hidden="false" customHeight="true" outlineLevel="0" collapsed="false">
      <c r="A722" s="638"/>
    </row>
    <row r="723" customFormat="false" ht="15.75" hidden="false" customHeight="true" outlineLevel="0" collapsed="false">
      <c r="A723" s="638"/>
    </row>
    <row r="724" customFormat="false" ht="15.75" hidden="false" customHeight="true" outlineLevel="0" collapsed="false">
      <c r="A724" s="638"/>
    </row>
    <row r="725" customFormat="false" ht="15.75" hidden="false" customHeight="true" outlineLevel="0" collapsed="false">
      <c r="A725" s="638"/>
    </row>
    <row r="726" customFormat="false" ht="15.75" hidden="false" customHeight="true" outlineLevel="0" collapsed="false">
      <c r="A726" s="638"/>
    </row>
    <row r="727" customFormat="false" ht="15.75" hidden="false" customHeight="true" outlineLevel="0" collapsed="false">
      <c r="A727" s="638"/>
    </row>
    <row r="728" customFormat="false" ht="15.75" hidden="false" customHeight="true" outlineLevel="0" collapsed="false">
      <c r="A728" s="638"/>
    </row>
    <row r="729" customFormat="false" ht="15.75" hidden="false" customHeight="true" outlineLevel="0" collapsed="false">
      <c r="A729" s="638"/>
    </row>
    <row r="730" customFormat="false" ht="15.75" hidden="false" customHeight="true" outlineLevel="0" collapsed="false">
      <c r="A730" s="638"/>
    </row>
    <row r="731" customFormat="false" ht="15.75" hidden="false" customHeight="true" outlineLevel="0" collapsed="false">
      <c r="A731" s="638"/>
    </row>
    <row r="732" customFormat="false" ht="15.75" hidden="false" customHeight="true" outlineLevel="0" collapsed="false">
      <c r="A732" s="638"/>
    </row>
    <row r="733" customFormat="false" ht="15.75" hidden="false" customHeight="true" outlineLevel="0" collapsed="false">
      <c r="A733" s="638"/>
    </row>
    <row r="734" customFormat="false" ht="15.75" hidden="false" customHeight="true" outlineLevel="0" collapsed="false">
      <c r="A734" s="638"/>
    </row>
    <row r="735" customFormat="false" ht="15.75" hidden="false" customHeight="true" outlineLevel="0" collapsed="false">
      <c r="A735" s="638"/>
    </row>
    <row r="736" customFormat="false" ht="15.75" hidden="false" customHeight="true" outlineLevel="0" collapsed="false">
      <c r="A736" s="638"/>
    </row>
    <row r="737" customFormat="false" ht="15.75" hidden="false" customHeight="true" outlineLevel="0" collapsed="false">
      <c r="A737" s="638"/>
    </row>
    <row r="738" customFormat="false" ht="15.75" hidden="false" customHeight="true" outlineLevel="0" collapsed="false">
      <c r="A738" s="638"/>
    </row>
    <row r="739" customFormat="false" ht="15.75" hidden="false" customHeight="true" outlineLevel="0" collapsed="false">
      <c r="A739" s="638"/>
    </row>
    <row r="740" customFormat="false" ht="15.75" hidden="false" customHeight="true" outlineLevel="0" collapsed="false">
      <c r="A740" s="638"/>
    </row>
    <row r="741" customFormat="false" ht="15.75" hidden="false" customHeight="true" outlineLevel="0" collapsed="false">
      <c r="A741" s="638"/>
    </row>
    <row r="742" customFormat="false" ht="15.75" hidden="false" customHeight="true" outlineLevel="0" collapsed="false">
      <c r="A742" s="638"/>
    </row>
    <row r="743" customFormat="false" ht="15.75" hidden="false" customHeight="true" outlineLevel="0" collapsed="false">
      <c r="A743" s="638"/>
    </row>
    <row r="744" customFormat="false" ht="15.75" hidden="false" customHeight="true" outlineLevel="0" collapsed="false">
      <c r="A744" s="638"/>
    </row>
    <row r="745" customFormat="false" ht="15.75" hidden="false" customHeight="true" outlineLevel="0" collapsed="false">
      <c r="A745" s="638"/>
    </row>
    <row r="746" customFormat="false" ht="15.75" hidden="false" customHeight="true" outlineLevel="0" collapsed="false">
      <c r="A746" s="638"/>
    </row>
    <row r="747" customFormat="false" ht="15.75" hidden="false" customHeight="true" outlineLevel="0" collapsed="false">
      <c r="A747" s="638"/>
    </row>
    <row r="748" customFormat="false" ht="15.75" hidden="false" customHeight="true" outlineLevel="0" collapsed="false">
      <c r="A748" s="638"/>
    </row>
    <row r="749" customFormat="false" ht="15.75" hidden="false" customHeight="true" outlineLevel="0" collapsed="false">
      <c r="A749" s="638"/>
    </row>
    <row r="750" customFormat="false" ht="15.75" hidden="false" customHeight="true" outlineLevel="0" collapsed="false">
      <c r="A750" s="638"/>
    </row>
    <row r="751" customFormat="false" ht="15.75" hidden="false" customHeight="true" outlineLevel="0" collapsed="false">
      <c r="A751" s="638"/>
    </row>
    <row r="752" customFormat="false" ht="15.75" hidden="false" customHeight="true" outlineLevel="0" collapsed="false">
      <c r="A752" s="638"/>
    </row>
    <row r="753" customFormat="false" ht="15.75" hidden="false" customHeight="true" outlineLevel="0" collapsed="false">
      <c r="A753" s="638"/>
    </row>
    <row r="754" customFormat="false" ht="15.75" hidden="false" customHeight="true" outlineLevel="0" collapsed="false">
      <c r="A754" s="638"/>
    </row>
    <row r="755" customFormat="false" ht="15.75" hidden="false" customHeight="true" outlineLevel="0" collapsed="false">
      <c r="A755" s="638"/>
    </row>
    <row r="756" customFormat="false" ht="15.75" hidden="false" customHeight="true" outlineLevel="0" collapsed="false">
      <c r="A756" s="638"/>
    </row>
    <row r="757" customFormat="false" ht="15.75" hidden="false" customHeight="true" outlineLevel="0" collapsed="false">
      <c r="A757" s="638"/>
    </row>
    <row r="758" customFormat="false" ht="15.75" hidden="false" customHeight="true" outlineLevel="0" collapsed="false">
      <c r="A758" s="638"/>
    </row>
    <row r="759" customFormat="false" ht="15.75" hidden="false" customHeight="true" outlineLevel="0" collapsed="false">
      <c r="A759" s="638"/>
    </row>
    <row r="760" customFormat="false" ht="15.75" hidden="false" customHeight="true" outlineLevel="0" collapsed="false">
      <c r="A760" s="638"/>
    </row>
    <row r="761" customFormat="false" ht="15.75" hidden="false" customHeight="true" outlineLevel="0" collapsed="false">
      <c r="A761" s="638"/>
    </row>
    <row r="762" customFormat="false" ht="15.75" hidden="false" customHeight="true" outlineLevel="0" collapsed="false">
      <c r="A762" s="638"/>
    </row>
    <row r="763" customFormat="false" ht="15.75" hidden="false" customHeight="true" outlineLevel="0" collapsed="false">
      <c r="A763" s="638"/>
    </row>
    <row r="764" customFormat="false" ht="15.75" hidden="false" customHeight="true" outlineLevel="0" collapsed="false">
      <c r="A764" s="638"/>
    </row>
    <row r="765" customFormat="false" ht="15.75" hidden="false" customHeight="true" outlineLevel="0" collapsed="false">
      <c r="A765" s="638"/>
    </row>
    <row r="766" customFormat="false" ht="15.75" hidden="false" customHeight="true" outlineLevel="0" collapsed="false">
      <c r="A766" s="638"/>
    </row>
    <row r="767" customFormat="false" ht="15.75" hidden="false" customHeight="true" outlineLevel="0" collapsed="false">
      <c r="A767" s="638"/>
    </row>
    <row r="768" customFormat="false" ht="15.75" hidden="false" customHeight="true" outlineLevel="0" collapsed="false">
      <c r="A768" s="638"/>
    </row>
    <row r="769" customFormat="false" ht="15.75" hidden="false" customHeight="true" outlineLevel="0" collapsed="false">
      <c r="A769" s="638"/>
    </row>
    <row r="770" customFormat="false" ht="15.75" hidden="false" customHeight="true" outlineLevel="0" collapsed="false">
      <c r="A770" s="638"/>
    </row>
    <row r="771" customFormat="false" ht="15.75" hidden="false" customHeight="true" outlineLevel="0" collapsed="false">
      <c r="A771" s="638"/>
    </row>
    <row r="772" customFormat="false" ht="15.75" hidden="false" customHeight="true" outlineLevel="0" collapsed="false">
      <c r="A772" s="638"/>
    </row>
    <row r="773" customFormat="false" ht="15.75" hidden="false" customHeight="true" outlineLevel="0" collapsed="false">
      <c r="A773" s="638"/>
    </row>
    <row r="774" customFormat="false" ht="15.75" hidden="false" customHeight="true" outlineLevel="0" collapsed="false">
      <c r="A774" s="638"/>
    </row>
    <row r="775" customFormat="false" ht="15.75" hidden="false" customHeight="true" outlineLevel="0" collapsed="false">
      <c r="A775" s="638"/>
    </row>
    <row r="776" customFormat="false" ht="15.75" hidden="false" customHeight="true" outlineLevel="0" collapsed="false">
      <c r="A776" s="638"/>
    </row>
    <row r="777" customFormat="false" ht="15.75" hidden="false" customHeight="true" outlineLevel="0" collapsed="false">
      <c r="A777" s="638"/>
    </row>
    <row r="778" customFormat="false" ht="15.75" hidden="false" customHeight="true" outlineLevel="0" collapsed="false">
      <c r="A778" s="638"/>
    </row>
    <row r="779" customFormat="false" ht="15.75" hidden="false" customHeight="true" outlineLevel="0" collapsed="false">
      <c r="A779" s="638"/>
    </row>
    <row r="780" customFormat="false" ht="15.75" hidden="false" customHeight="true" outlineLevel="0" collapsed="false">
      <c r="A780" s="638"/>
    </row>
    <row r="781" customFormat="false" ht="15.75" hidden="false" customHeight="true" outlineLevel="0" collapsed="false">
      <c r="A781" s="638"/>
    </row>
    <row r="782" customFormat="false" ht="15.75" hidden="false" customHeight="true" outlineLevel="0" collapsed="false">
      <c r="A782" s="638"/>
    </row>
    <row r="783" customFormat="false" ht="15.75" hidden="false" customHeight="true" outlineLevel="0" collapsed="false">
      <c r="A783" s="638"/>
    </row>
    <row r="784" customFormat="false" ht="15.75" hidden="false" customHeight="true" outlineLevel="0" collapsed="false">
      <c r="A784" s="638"/>
    </row>
    <row r="785" customFormat="false" ht="15.75" hidden="false" customHeight="true" outlineLevel="0" collapsed="false">
      <c r="A785" s="638"/>
    </row>
    <row r="786" customFormat="false" ht="15.75" hidden="false" customHeight="true" outlineLevel="0" collapsed="false">
      <c r="A786" s="638"/>
    </row>
    <row r="787" customFormat="false" ht="15.75" hidden="false" customHeight="true" outlineLevel="0" collapsed="false">
      <c r="A787" s="638"/>
    </row>
    <row r="788" customFormat="false" ht="15.75" hidden="false" customHeight="true" outlineLevel="0" collapsed="false">
      <c r="A788" s="638"/>
    </row>
    <row r="789" customFormat="false" ht="15.75" hidden="false" customHeight="true" outlineLevel="0" collapsed="false">
      <c r="A789" s="638"/>
    </row>
    <row r="790" customFormat="false" ht="15.75" hidden="false" customHeight="true" outlineLevel="0" collapsed="false">
      <c r="A790" s="638"/>
    </row>
    <row r="791" customFormat="false" ht="15.75" hidden="false" customHeight="true" outlineLevel="0" collapsed="false">
      <c r="A791" s="638"/>
    </row>
    <row r="792" customFormat="false" ht="15.75" hidden="false" customHeight="true" outlineLevel="0" collapsed="false">
      <c r="A792" s="638"/>
    </row>
    <row r="793" customFormat="false" ht="15.75" hidden="false" customHeight="true" outlineLevel="0" collapsed="false">
      <c r="A793" s="638"/>
    </row>
    <row r="794" customFormat="false" ht="15.75" hidden="false" customHeight="true" outlineLevel="0" collapsed="false">
      <c r="A794" s="638"/>
    </row>
    <row r="795" customFormat="false" ht="15.75" hidden="false" customHeight="true" outlineLevel="0" collapsed="false">
      <c r="A795" s="638"/>
    </row>
    <row r="796" customFormat="false" ht="15.75" hidden="false" customHeight="true" outlineLevel="0" collapsed="false">
      <c r="A796" s="638"/>
    </row>
    <row r="797" customFormat="false" ht="15.75" hidden="false" customHeight="true" outlineLevel="0" collapsed="false">
      <c r="A797" s="638"/>
    </row>
    <row r="798" customFormat="false" ht="15.75" hidden="false" customHeight="true" outlineLevel="0" collapsed="false">
      <c r="A798" s="638"/>
    </row>
    <row r="799" customFormat="false" ht="15.75" hidden="false" customHeight="true" outlineLevel="0" collapsed="false">
      <c r="A799" s="638"/>
    </row>
    <row r="800" customFormat="false" ht="15.75" hidden="false" customHeight="true" outlineLevel="0" collapsed="false">
      <c r="A800" s="638"/>
    </row>
    <row r="801" customFormat="false" ht="15.75" hidden="false" customHeight="true" outlineLevel="0" collapsed="false">
      <c r="A801" s="638"/>
    </row>
    <row r="802" customFormat="false" ht="15.75" hidden="false" customHeight="true" outlineLevel="0" collapsed="false">
      <c r="A802" s="638"/>
    </row>
    <row r="803" customFormat="false" ht="15.75" hidden="false" customHeight="true" outlineLevel="0" collapsed="false">
      <c r="A803" s="638"/>
    </row>
    <row r="804" customFormat="false" ht="15.75" hidden="false" customHeight="true" outlineLevel="0" collapsed="false">
      <c r="A804" s="638"/>
    </row>
    <row r="805" customFormat="false" ht="15.75" hidden="false" customHeight="true" outlineLevel="0" collapsed="false">
      <c r="A805" s="638"/>
    </row>
    <row r="806" customFormat="false" ht="15.75" hidden="false" customHeight="true" outlineLevel="0" collapsed="false">
      <c r="A806" s="638"/>
    </row>
    <row r="807" customFormat="false" ht="15.75" hidden="false" customHeight="true" outlineLevel="0" collapsed="false">
      <c r="A807" s="638"/>
    </row>
    <row r="808" customFormat="false" ht="15.75" hidden="false" customHeight="true" outlineLevel="0" collapsed="false">
      <c r="A808" s="638"/>
    </row>
    <row r="809" customFormat="false" ht="15.75" hidden="false" customHeight="true" outlineLevel="0" collapsed="false">
      <c r="A809" s="638"/>
    </row>
    <row r="810" customFormat="false" ht="15.75" hidden="false" customHeight="true" outlineLevel="0" collapsed="false">
      <c r="A810" s="638"/>
    </row>
    <row r="811" customFormat="false" ht="15.75" hidden="false" customHeight="true" outlineLevel="0" collapsed="false">
      <c r="A811" s="638"/>
    </row>
    <row r="812" customFormat="false" ht="15.75" hidden="false" customHeight="true" outlineLevel="0" collapsed="false">
      <c r="A812" s="638"/>
    </row>
    <row r="813" customFormat="false" ht="15.75" hidden="false" customHeight="true" outlineLevel="0" collapsed="false">
      <c r="A813" s="638"/>
    </row>
    <row r="814" customFormat="false" ht="15.75" hidden="false" customHeight="true" outlineLevel="0" collapsed="false">
      <c r="A814" s="638"/>
    </row>
    <row r="815" customFormat="false" ht="15.75" hidden="false" customHeight="true" outlineLevel="0" collapsed="false">
      <c r="A815" s="638"/>
    </row>
    <row r="816" customFormat="false" ht="15.75" hidden="false" customHeight="true" outlineLevel="0" collapsed="false">
      <c r="A816" s="638"/>
    </row>
    <row r="817" customFormat="false" ht="15.75" hidden="false" customHeight="true" outlineLevel="0" collapsed="false">
      <c r="A817" s="638"/>
    </row>
    <row r="818" customFormat="false" ht="15.75" hidden="false" customHeight="true" outlineLevel="0" collapsed="false">
      <c r="A818" s="638"/>
    </row>
    <row r="819" customFormat="false" ht="15.75" hidden="false" customHeight="true" outlineLevel="0" collapsed="false">
      <c r="A819" s="638"/>
    </row>
    <row r="820" customFormat="false" ht="15.75" hidden="false" customHeight="true" outlineLevel="0" collapsed="false">
      <c r="A820" s="638"/>
    </row>
    <row r="821" customFormat="false" ht="15.75" hidden="false" customHeight="true" outlineLevel="0" collapsed="false">
      <c r="A821" s="638"/>
    </row>
    <row r="822" customFormat="false" ht="15.75" hidden="false" customHeight="true" outlineLevel="0" collapsed="false">
      <c r="A822" s="638"/>
    </row>
    <row r="823" customFormat="false" ht="15.75" hidden="false" customHeight="true" outlineLevel="0" collapsed="false">
      <c r="A823" s="638"/>
    </row>
    <row r="824" customFormat="false" ht="15.75" hidden="false" customHeight="true" outlineLevel="0" collapsed="false">
      <c r="A824" s="638"/>
    </row>
    <row r="825" customFormat="false" ht="15.75" hidden="false" customHeight="true" outlineLevel="0" collapsed="false">
      <c r="A825" s="638"/>
    </row>
    <row r="826" customFormat="false" ht="15.75" hidden="false" customHeight="true" outlineLevel="0" collapsed="false">
      <c r="A826" s="638"/>
    </row>
    <row r="827" customFormat="false" ht="15.75" hidden="false" customHeight="true" outlineLevel="0" collapsed="false">
      <c r="A827" s="638"/>
    </row>
    <row r="828" customFormat="false" ht="15.75" hidden="false" customHeight="true" outlineLevel="0" collapsed="false">
      <c r="A828" s="638"/>
    </row>
    <row r="829" customFormat="false" ht="15.75" hidden="false" customHeight="true" outlineLevel="0" collapsed="false">
      <c r="A829" s="638"/>
    </row>
    <row r="830" customFormat="false" ht="15.75" hidden="false" customHeight="true" outlineLevel="0" collapsed="false">
      <c r="A830" s="638"/>
    </row>
    <row r="831" customFormat="false" ht="15.75" hidden="false" customHeight="true" outlineLevel="0" collapsed="false">
      <c r="A831" s="638"/>
    </row>
    <row r="832" customFormat="false" ht="15.75" hidden="false" customHeight="true" outlineLevel="0" collapsed="false">
      <c r="A832" s="638"/>
    </row>
    <row r="833" customFormat="false" ht="15.75" hidden="false" customHeight="true" outlineLevel="0" collapsed="false">
      <c r="A833" s="638"/>
    </row>
    <row r="834" customFormat="false" ht="15.75" hidden="false" customHeight="true" outlineLevel="0" collapsed="false">
      <c r="A834" s="638"/>
    </row>
    <row r="835" customFormat="false" ht="15.75" hidden="false" customHeight="true" outlineLevel="0" collapsed="false">
      <c r="A835" s="638"/>
    </row>
    <row r="836" customFormat="false" ht="15.75" hidden="false" customHeight="true" outlineLevel="0" collapsed="false">
      <c r="A836" s="638"/>
    </row>
    <row r="837" customFormat="false" ht="15.75" hidden="false" customHeight="true" outlineLevel="0" collapsed="false">
      <c r="A837" s="638"/>
    </row>
    <row r="838" customFormat="false" ht="15.75" hidden="false" customHeight="true" outlineLevel="0" collapsed="false">
      <c r="A838" s="638"/>
    </row>
    <row r="839" customFormat="false" ht="15.75" hidden="false" customHeight="true" outlineLevel="0" collapsed="false">
      <c r="A839" s="638"/>
    </row>
    <row r="840" customFormat="false" ht="15.75" hidden="false" customHeight="true" outlineLevel="0" collapsed="false">
      <c r="A840" s="638"/>
    </row>
    <row r="841" customFormat="false" ht="15.75" hidden="false" customHeight="true" outlineLevel="0" collapsed="false">
      <c r="A841" s="638"/>
    </row>
    <row r="842" customFormat="false" ht="15.75" hidden="false" customHeight="true" outlineLevel="0" collapsed="false">
      <c r="A842" s="638"/>
    </row>
    <row r="843" customFormat="false" ht="15.75" hidden="false" customHeight="true" outlineLevel="0" collapsed="false">
      <c r="A843" s="638"/>
    </row>
    <row r="844" customFormat="false" ht="15.75" hidden="false" customHeight="true" outlineLevel="0" collapsed="false">
      <c r="A844" s="638"/>
    </row>
    <row r="845" customFormat="false" ht="15.75" hidden="false" customHeight="true" outlineLevel="0" collapsed="false">
      <c r="A845" s="638"/>
    </row>
    <row r="846" customFormat="false" ht="15.75" hidden="false" customHeight="true" outlineLevel="0" collapsed="false">
      <c r="A846" s="638"/>
    </row>
    <row r="847" customFormat="false" ht="15.75" hidden="false" customHeight="true" outlineLevel="0" collapsed="false">
      <c r="A847" s="638"/>
    </row>
    <row r="848" customFormat="false" ht="15.75" hidden="false" customHeight="true" outlineLevel="0" collapsed="false">
      <c r="A848" s="638"/>
    </row>
    <row r="849" customFormat="false" ht="15.75" hidden="false" customHeight="true" outlineLevel="0" collapsed="false">
      <c r="A849" s="638"/>
    </row>
    <row r="850" customFormat="false" ht="15.75" hidden="false" customHeight="true" outlineLevel="0" collapsed="false">
      <c r="A850" s="638"/>
    </row>
    <row r="851" customFormat="false" ht="15.75" hidden="false" customHeight="true" outlineLevel="0" collapsed="false">
      <c r="A851" s="638"/>
    </row>
    <row r="852" customFormat="false" ht="15.75" hidden="false" customHeight="true" outlineLevel="0" collapsed="false">
      <c r="A852" s="638"/>
    </row>
    <row r="853" customFormat="false" ht="15.75" hidden="false" customHeight="true" outlineLevel="0" collapsed="false">
      <c r="A853" s="638"/>
    </row>
    <row r="854" customFormat="false" ht="15.75" hidden="false" customHeight="true" outlineLevel="0" collapsed="false">
      <c r="A854" s="638"/>
    </row>
    <row r="855" customFormat="false" ht="15.75" hidden="false" customHeight="true" outlineLevel="0" collapsed="false">
      <c r="A855" s="638"/>
    </row>
    <row r="856" customFormat="false" ht="15.75" hidden="false" customHeight="true" outlineLevel="0" collapsed="false">
      <c r="A856" s="638"/>
    </row>
    <row r="857" customFormat="false" ht="15.75" hidden="false" customHeight="true" outlineLevel="0" collapsed="false">
      <c r="A857" s="638"/>
    </row>
    <row r="858" customFormat="false" ht="15.75" hidden="false" customHeight="true" outlineLevel="0" collapsed="false">
      <c r="A858" s="638"/>
    </row>
    <row r="859" customFormat="false" ht="15.75" hidden="false" customHeight="true" outlineLevel="0" collapsed="false">
      <c r="A859" s="638"/>
    </row>
    <row r="860" customFormat="false" ht="15.75" hidden="false" customHeight="true" outlineLevel="0" collapsed="false">
      <c r="A860" s="638"/>
    </row>
    <row r="861" customFormat="false" ht="15.75" hidden="false" customHeight="true" outlineLevel="0" collapsed="false">
      <c r="A861" s="638"/>
    </row>
    <row r="862" customFormat="false" ht="15.75" hidden="false" customHeight="true" outlineLevel="0" collapsed="false">
      <c r="A862" s="638"/>
    </row>
    <row r="863" customFormat="false" ht="15.75" hidden="false" customHeight="true" outlineLevel="0" collapsed="false">
      <c r="A863" s="638"/>
    </row>
    <row r="864" customFormat="false" ht="15.75" hidden="false" customHeight="true" outlineLevel="0" collapsed="false">
      <c r="A864" s="638"/>
    </row>
    <row r="865" customFormat="false" ht="15.75" hidden="false" customHeight="true" outlineLevel="0" collapsed="false">
      <c r="A865" s="638"/>
    </row>
    <row r="866" customFormat="false" ht="15.75" hidden="false" customHeight="true" outlineLevel="0" collapsed="false">
      <c r="A866" s="638"/>
    </row>
    <row r="867" customFormat="false" ht="15.75" hidden="false" customHeight="true" outlineLevel="0" collapsed="false">
      <c r="A867" s="638"/>
    </row>
    <row r="868" customFormat="false" ht="15.75" hidden="false" customHeight="true" outlineLevel="0" collapsed="false">
      <c r="A868" s="638"/>
    </row>
    <row r="869" customFormat="false" ht="15.75" hidden="false" customHeight="true" outlineLevel="0" collapsed="false">
      <c r="A869" s="638"/>
    </row>
    <row r="870" customFormat="false" ht="15.75" hidden="false" customHeight="true" outlineLevel="0" collapsed="false">
      <c r="A870" s="638"/>
    </row>
    <row r="871" customFormat="false" ht="15.75" hidden="false" customHeight="true" outlineLevel="0" collapsed="false">
      <c r="A871" s="638"/>
    </row>
    <row r="872" customFormat="false" ht="15.75" hidden="false" customHeight="true" outlineLevel="0" collapsed="false">
      <c r="A872" s="638"/>
    </row>
    <row r="873" customFormat="false" ht="15.75" hidden="false" customHeight="true" outlineLevel="0" collapsed="false">
      <c r="A873" s="638"/>
    </row>
    <row r="874" customFormat="false" ht="15.75" hidden="false" customHeight="true" outlineLevel="0" collapsed="false">
      <c r="A874" s="638"/>
    </row>
    <row r="875" customFormat="false" ht="15.75" hidden="false" customHeight="true" outlineLevel="0" collapsed="false">
      <c r="A875" s="638"/>
    </row>
    <row r="876" customFormat="false" ht="15.75" hidden="false" customHeight="true" outlineLevel="0" collapsed="false">
      <c r="A876" s="638"/>
    </row>
    <row r="877" customFormat="false" ht="15.75" hidden="false" customHeight="true" outlineLevel="0" collapsed="false">
      <c r="A877" s="638"/>
    </row>
    <row r="878" customFormat="false" ht="15.75" hidden="false" customHeight="true" outlineLevel="0" collapsed="false">
      <c r="A878" s="638"/>
    </row>
    <row r="879" customFormat="false" ht="15.75" hidden="false" customHeight="true" outlineLevel="0" collapsed="false">
      <c r="A879" s="638"/>
    </row>
    <row r="880" customFormat="false" ht="15.75" hidden="false" customHeight="true" outlineLevel="0" collapsed="false">
      <c r="A880" s="638"/>
    </row>
    <row r="881" customFormat="false" ht="15.75" hidden="false" customHeight="true" outlineLevel="0" collapsed="false">
      <c r="A881" s="638"/>
    </row>
    <row r="882" customFormat="false" ht="15.75" hidden="false" customHeight="true" outlineLevel="0" collapsed="false">
      <c r="A882" s="638"/>
    </row>
    <row r="883" customFormat="false" ht="15.75" hidden="false" customHeight="true" outlineLevel="0" collapsed="false">
      <c r="A883" s="638"/>
    </row>
    <row r="884" customFormat="false" ht="15.75" hidden="false" customHeight="true" outlineLevel="0" collapsed="false">
      <c r="A884" s="638"/>
    </row>
    <row r="885" customFormat="false" ht="15.75" hidden="false" customHeight="true" outlineLevel="0" collapsed="false">
      <c r="A885" s="638"/>
    </row>
    <row r="886" customFormat="false" ht="15.75" hidden="false" customHeight="true" outlineLevel="0" collapsed="false">
      <c r="A886" s="638"/>
    </row>
    <row r="887" customFormat="false" ht="15.75" hidden="false" customHeight="true" outlineLevel="0" collapsed="false">
      <c r="A887" s="638"/>
    </row>
    <row r="888" customFormat="false" ht="15.75" hidden="false" customHeight="true" outlineLevel="0" collapsed="false">
      <c r="A888" s="638"/>
    </row>
    <row r="889" customFormat="false" ht="15.75" hidden="false" customHeight="true" outlineLevel="0" collapsed="false">
      <c r="A889" s="638"/>
    </row>
    <row r="890" customFormat="false" ht="15.75" hidden="false" customHeight="true" outlineLevel="0" collapsed="false">
      <c r="A890" s="638"/>
    </row>
    <row r="891" customFormat="false" ht="15.75" hidden="false" customHeight="true" outlineLevel="0" collapsed="false">
      <c r="A891" s="638"/>
    </row>
    <row r="892" customFormat="false" ht="15.75" hidden="false" customHeight="true" outlineLevel="0" collapsed="false">
      <c r="A892" s="638"/>
    </row>
    <row r="893" customFormat="false" ht="15.75" hidden="false" customHeight="true" outlineLevel="0" collapsed="false">
      <c r="A893" s="638"/>
    </row>
    <row r="894" customFormat="false" ht="15.75" hidden="false" customHeight="true" outlineLevel="0" collapsed="false">
      <c r="A894" s="638"/>
    </row>
  </sheetData>
  <mergeCells count="3">
    <mergeCell ref="A1:J1"/>
    <mergeCell ref="A14:J14"/>
    <mergeCell ref="A18:J1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9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12.57"/>
    <col collapsed="false" customWidth="true" hidden="false" outlineLevel="0" max="3" min="2" style="0" width="20.71"/>
    <col collapsed="false" customWidth="true" hidden="false" outlineLevel="0" max="4" min="4" style="0" width="21.57"/>
    <col collapsed="false" customWidth="true" hidden="false" outlineLevel="0" max="26" min="5" style="0" width="20.71"/>
    <col collapsed="false" customWidth="true" hidden="false" outlineLevel="0" max="31" min="27" style="0" width="21.71"/>
  </cols>
  <sheetData>
    <row r="1" customFormat="false" ht="15.75" hidden="false" customHeight="true" outlineLevel="0" collapsed="false">
      <c r="A1" s="639"/>
      <c r="B1" s="640" t="s">
        <v>579</v>
      </c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0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</row>
    <row r="2" customFormat="false" ht="210" hidden="false" customHeight="true" outlineLevel="0" collapsed="false">
      <c r="A2" s="641"/>
      <c r="B2" s="598"/>
      <c r="C2" s="598"/>
      <c r="D2" s="598"/>
      <c r="E2" s="598"/>
      <c r="F2" s="598"/>
      <c r="G2" s="598"/>
      <c r="H2" s="598"/>
      <c r="I2" s="598"/>
      <c r="J2" s="598"/>
      <c r="K2" s="598"/>
      <c r="L2" s="598"/>
      <c r="M2" s="598"/>
      <c r="N2" s="598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</row>
    <row r="3" customFormat="false" ht="15.75" hidden="false" customHeight="true" outlineLevel="0" collapsed="false">
      <c r="A3" s="642" t="s">
        <v>446</v>
      </c>
      <c r="B3" s="595" t="s">
        <v>447</v>
      </c>
      <c r="C3" s="595" t="s">
        <v>580</v>
      </c>
      <c r="D3" s="595" t="s">
        <v>581</v>
      </c>
      <c r="E3" s="595" t="s">
        <v>582</v>
      </c>
      <c r="F3" s="595" t="s">
        <v>583</v>
      </c>
      <c r="G3" s="595" t="s">
        <v>584</v>
      </c>
      <c r="H3" s="595" t="s">
        <v>585</v>
      </c>
      <c r="I3" s="595" t="s">
        <v>586</v>
      </c>
      <c r="J3" s="595" t="s">
        <v>587</v>
      </c>
      <c r="K3" s="595" t="s">
        <v>588</v>
      </c>
      <c r="L3" s="595" t="s">
        <v>589</v>
      </c>
      <c r="M3" s="595" t="s">
        <v>590</v>
      </c>
      <c r="N3" s="595" t="s">
        <v>591</v>
      </c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597"/>
      <c r="AE3" s="597"/>
    </row>
    <row r="4" customFormat="false" ht="15.75" hidden="false" customHeight="true" outlineLevel="0" collapsed="false">
      <c r="A4" s="643" t="s">
        <v>548</v>
      </c>
      <c r="B4" s="598" t="n">
        <v>10</v>
      </c>
      <c r="C4" s="598" t="n">
        <v>10</v>
      </c>
      <c r="D4" s="598" t="n">
        <v>10</v>
      </c>
      <c r="E4" s="598" t="n">
        <v>10</v>
      </c>
      <c r="F4" s="598" t="n">
        <v>10</v>
      </c>
      <c r="G4" s="598" t="n">
        <v>10</v>
      </c>
      <c r="H4" s="598" t="n">
        <v>10</v>
      </c>
      <c r="I4" s="598" t="n">
        <v>10</v>
      </c>
      <c r="J4" s="598" t="n">
        <v>10</v>
      </c>
      <c r="K4" s="598" t="n">
        <v>10</v>
      </c>
      <c r="L4" s="598" t="n">
        <v>10</v>
      </c>
      <c r="M4" s="598" t="n">
        <v>10</v>
      </c>
      <c r="N4" s="598" t="n">
        <v>10</v>
      </c>
      <c r="O4" s="95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598"/>
      <c r="AE4" s="598"/>
    </row>
    <row r="5" customFormat="false" ht="15.75" hidden="false" customHeight="true" outlineLevel="0" collapsed="false">
      <c r="A5" s="644"/>
      <c r="B5" s="645"/>
      <c r="C5" s="645"/>
      <c r="D5" s="64"/>
      <c r="E5" s="64"/>
      <c r="F5" s="64"/>
      <c r="G5" s="64"/>
      <c r="H5" s="64"/>
      <c r="I5" s="64"/>
      <c r="J5" s="64"/>
      <c r="K5" s="64"/>
      <c r="L5" s="64"/>
      <c r="M5" s="64"/>
      <c r="N5" s="64" t="s">
        <v>592</v>
      </c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</row>
    <row r="6" customFormat="false" ht="15.75" hidden="false" customHeight="true" outlineLevel="0" collapsed="false">
      <c r="A6" s="640"/>
      <c r="B6" s="640" t="s">
        <v>593</v>
      </c>
      <c r="C6" s="640"/>
      <c r="D6" s="640"/>
      <c r="E6" s="640"/>
      <c r="F6" s="640"/>
      <c r="G6" s="640"/>
      <c r="H6" s="640"/>
      <c r="I6" s="640"/>
      <c r="J6" s="640"/>
      <c r="K6" s="640"/>
      <c r="L6" s="640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</row>
    <row r="7" customFormat="false" ht="210" hidden="false" customHeight="true" outlineLevel="0" collapsed="false">
      <c r="A7" s="641"/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 t="s">
        <v>594</v>
      </c>
      <c r="N7" s="598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</row>
    <row r="8" customFormat="false" ht="15.75" hidden="false" customHeight="true" outlineLevel="0" collapsed="false">
      <c r="A8" s="646" t="s">
        <v>446</v>
      </c>
      <c r="B8" s="594" t="s">
        <v>595</v>
      </c>
      <c r="C8" s="594" t="s">
        <v>596</v>
      </c>
      <c r="D8" s="594" t="s">
        <v>597</v>
      </c>
      <c r="E8" s="594" t="s">
        <v>598</v>
      </c>
      <c r="F8" s="594" t="s">
        <v>599</v>
      </c>
      <c r="G8" s="594" t="s">
        <v>600</v>
      </c>
      <c r="H8" s="594" t="s">
        <v>601</v>
      </c>
      <c r="I8" s="594" t="s">
        <v>602</v>
      </c>
      <c r="J8" s="594" t="s">
        <v>603</v>
      </c>
      <c r="K8" s="594" t="s">
        <v>604</v>
      </c>
      <c r="L8" s="594" t="s">
        <v>605</v>
      </c>
      <c r="M8" s="598" t="s">
        <v>606</v>
      </c>
      <c r="N8" s="598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</row>
    <row r="9" customFormat="false" ht="15.75" hidden="false" customHeight="true" outlineLevel="0" collapsed="false">
      <c r="A9" s="647" t="s">
        <v>548</v>
      </c>
      <c r="B9" s="604" t="n">
        <v>10</v>
      </c>
      <c r="C9" s="604" t="n">
        <v>10</v>
      </c>
      <c r="D9" s="604" t="n">
        <v>10</v>
      </c>
      <c r="E9" s="604" t="n">
        <v>10</v>
      </c>
      <c r="F9" s="604" t="n">
        <v>10</v>
      </c>
      <c r="G9" s="604" t="n">
        <v>10</v>
      </c>
      <c r="H9" s="604" t="n">
        <v>10</v>
      </c>
      <c r="I9" s="604" t="n">
        <v>10</v>
      </c>
      <c r="J9" s="604" t="n">
        <v>10</v>
      </c>
      <c r="K9" s="604" t="n">
        <v>10</v>
      </c>
      <c r="L9" s="604" t="n">
        <v>10</v>
      </c>
      <c r="M9" s="598"/>
      <c r="N9" s="598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</row>
    <row r="10" customFormat="false" ht="15.75" hidden="false" customHeight="true" outlineLevel="0" collapsed="false">
      <c r="A10" s="644"/>
      <c r="B10" s="648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</row>
    <row r="11" customFormat="false" ht="15.75" hidden="false" customHeight="true" outlineLevel="0" collapsed="false">
      <c r="A11" s="649"/>
      <c r="B11" s="650" t="s">
        <v>607</v>
      </c>
      <c r="C11" s="650"/>
      <c r="D11" s="650"/>
      <c r="E11" s="650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</row>
    <row r="12" customFormat="false" ht="202.5" hidden="false" customHeight="true" outlineLevel="0" collapsed="false">
      <c r="A12" s="641"/>
      <c r="B12" s="598"/>
      <c r="C12" s="598"/>
      <c r="D12" s="598"/>
      <c r="E12" s="598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customFormat="false" ht="15.75" hidden="false" customHeight="true" outlineLevel="0" collapsed="false">
      <c r="A13" s="646" t="s">
        <v>446</v>
      </c>
      <c r="B13" s="594" t="s">
        <v>608</v>
      </c>
      <c r="C13" s="594" t="s">
        <v>609</v>
      </c>
      <c r="D13" s="594" t="s">
        <v>610</v>
      </c>
      <c r="E13" s="594" t="s">
        <v>611</v>
      </c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</row>
    <row r="14" customFormat="false" ht="15.75" hidden="false" customHeight="true" outlineLevel="0" collapsed="false">
      <c r="A14" s="647" t="s">
        <v>548</v>
      </c>
      <c r="B14" s="604" t="n">
        <v>12</v>
      </c>
      <c r="C14" s="604" t="n">
        <v>12</v>
      </c>
      <c r="D14" s="604" t="n">
        <v>12</v>
      </c>
      <c r="E14" s="604" t="n">
        <v>12</v>
      </c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</row>
    <row r="15" customFormat="false" ht="15.75" hidden="false" customHeight="true" outlineLevel="0" collapsed="false">
      <c r="A15" s="644"/>
      <c r="B15" s="648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</row>
    <row r="16" customFormat="false" ht="15.75" hidden="false" customHeight="true" outlineLevel="0" collapsed="false">
      <c r="A16" s="649"/>
      <c r="B16" s="650" t="s">
        <v>612</v>
      </c>
      <c r="C16" s="650"/>
      <c r="D16" s="650"/>
      <c r="E16" s="650"/>
      <c r="F16" s="650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</row>
    <row r="17" customFormat="false" ht="210" hidden="false" customHeight="true" outlineLevel="0" collapsed="false">
      <c r="A17" s="641"/>
      <c r="B17" s="598"/>
      <c r="C17" s="598"/>
      <c r="D17" s="598"/>
      <c r="E17" s="598"/>
      <c r="F17" s="598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customFormat="false" ht="15.75" hidden="false" customHeight="true" outlineLevel="0" collapsed="false">
      <c r="A18" s="646" t="s">
        <v>446</v>
      </c>
      <c r="B18" s="594" t="s">
        <v>613</v>
      </c>
      <c r="C18" s="594" t="s">
        <v>614</v>
      </c>
      <c r="D18" s="594" t="s">
        <v>615</v>
      </c>
      <c r="E18" s="594" t="s">
        <v>616</v>
      </c>
      <c r="F18" s="594" t="s">
        <v>494</v>
      </c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</row>
    <row r="19" customFormat="false" ht="15.75" hidden="false" customHeight="true" outlineLevel="0" collapsed="false">
      <c r="A19" s="647" t="s">
        <v>548</v>
      </c>
      <c r="B19" s="604" t="n">
        <v>10</v>
      </c>
      <c r="C19" s="604" t="n">
        <v>10</v>
      </c>
      <c r="D19" s="604" t="n">
        <v>10</v>
      </c>
      <c r="E19" s="604" t="n">
        <v>10</v>
      </c>
      <c r="F19" s="604" t="n">
        <v>10</v>
      </c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</row>
    <row r="20" customFormat="false" ht="15.75" hidden="false" customHeight="true" outlineLevel="0" collapsed="false">
      <c r="A20" s="64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</row>
    <row r="21" customFormat="false" ht="15.75" hidden="false" customHeight="true" outlineLevel="0" collapsed="false">
      <c r="A21" s="64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customFormat="false" ht="15.75" hidden="false" customHeight="true" outlineLevel="0" collapsed="false">
      <c r="A22" s="64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</row>
    <row r="23" customFormat="false" ht="15.75" hidden="false" customHeight="true" outlineLevel="0" collapsed="false">
      <c r="A23" s="64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</row>
    <row r="24" customFormat="false" ht="15.75" hidden="false" customHeight="true" outlineLevel="0" collapsed="false">
      <c r="A24" s="64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</row>
    <row r="25" customFormat="false" ht="15.75" hidden="false" customHeight="true" outlineLevel="0" collapsed="false">
      <c r="A25" s="64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</row>
    <row r="26" customFormat="false" ht="15.75" hidden="false" customHeight="true" outlineLevel="0" collapsed="false">
      <c r="A26" s="64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</row>
    <row r="27" customFormat="false" ht="15.75" hidden="false" customHeight="true" outlineLevel="0" collapsed="false">
      <c r="A27" s="64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</row>
    <row r="28" customFormat="false" ht="15.75" hidden="false" customHeight="true" outlineLevel="0" collapsed="false">
      <c r="A28" s="64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</row>
    <row r="29" customFormat="false" ht="15.75" hidden="false" customHeight="true" outlineLevel="0" collapsed="false">
      <c r="A29" s="64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</row>
    <row r="30" customFormat="false" ht="15.75" hidden="false" customHeight="true" outlineLevel="0" collapsed="false">
      <c r="A30" s="64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</row>
    <row r="31" customFormat="false" ht="15.75" hidden="false" customHeight="true" outlineLevel="0" collapsed="false">
      <c r="A31" s="64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customFormat="false" ht="15.75" hidden="false" customHeight="true" outlineLevel="0" collapsed="false">
      <c r="A32" s="64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</row>
    <row r="33" customFormat="false" ht="15.75" hidden="false" customHeight="true" outlineLevel="0" collapsed="false">
      <c r="A33" s="64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</row>
    <row r="34" customFormat="false" ht="15.75" hidden="false" customHeight="true" outlineLevel="0" collapsed="false">
      <c r="A34" s="64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</row>
    <row r="35" customFormat="false" ht="15.75" hidden="false" customHeight="true" outlineLevel="0" collapsed="false">
      <c r="A35" s="64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customFormat="false" ht="15.75" hidden="false" customHeight="true" outlineLevel="0" collapsed="false">
      <c r="A36" s="64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</row>
    <row r="37" customFormat="false" ht="15.75" hidden="false" customHeight="true" outlineLevel="0" collapsed="false">
      <c r="A37" s="64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</row>
    <row r="38" customFormat="false" ht="15.75" hidden="false" customHeight="true" outlineLevel="0" collapsed="false">
      <c r="A38" s="64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</row>
    <row r="39" customFormat="false" ht="15.75" hidden="false" customHeight="true" outlineLevel="0" collapsed="false">
      <c r="A39" s="64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</row>
    <row r="40" customFormat="false" ht="15.75" hidden="false" customHeight="true" outlineLevel="0" collapsed="false">
      <c r="A40" s="64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customFormat="false" ht="15.75" hidden="false" customHeight="true" outlineLevel="0" collapsed="false">
      <c r="A41" s="644"/>
      <c r="B41" s="557" t="s">
        <v>617</v>
      </c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</row>
    <row r="42" customFormat="false" ht="15.75" hidden="false" customHeight="true" outlineLevel="0" collapsed="false">
      <c r="A42" s="644"/>
      <c r="B42" s="557"/>
      <c r="C42" s="64" t="s">
        <v>606</v>
      </c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</row>
    <row r="43" customFormat="false" ht="15.75" hidden="false" customHeight="true" outlineLevel="0" collapsed="false">
      <c r="A43" s="651"/>
      <c r="B43" s="652" t="s">
        <v>447</v>
      </c>
      <c r="C43" s="653" t="s">
        <v>605</v>
      </c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</row>
    <row r="44" customFormat="false" ht="15.75" hidden="false" customHeight="true" outlineLevel="0" collapsed="false">
      <c r="A44" s="651"/>
      <c r="B44" s="652" t="s">
        <v>580</v>
      </c>
      <c r="C44" s="652" t="s">
        <v>447</v>
      </c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</row>
    <row r="45" customFormat="false" ht="15.75" hidden="false" customHeight="true" outlineLevel="0" collapsed="false">
      <c r="A45" s="651"/>
      <c r="B45" s="652" t="s">
        <v>581</v>
      </c>
      <c r="C45" s="652" t="s">
        <v>580</v>
      </c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customFormat="false" ht="15.75" hidden="false" customHeight="true" outlineLevel="0" collapsed="false">
      <c r="A46" s="651"/>
      <c r="B46" s="652" t="s">
        <v>582</v>
      </c>
      <c r="C46" s="652" t="s">
        <v>581</v>
      </c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</row>
    <row r="47" customFormat="false" ht="15.75" hidden="false" customHeight="true" outlineLevel="0" collapsed="false">
      <c r="A47" s="651"/>
      <c r="B47" s="653" t="s">
        <v>583</v>
      </c>
      <c r="C47" s="653" t="s">
        <v>595</v>
      </c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</row>
    <row r="48" customFormat="false" ht="15.75" hidden="false" customHeight="true" outlineLevel="0" collapsed="false">
      <c r="A48" s="651"/>
      <c r="B48" s="652" t="s">
        <v>584</v>
      </c>
      <c r="C48" s="653" t="s">
        <v>596</v>
      </c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</row>
    <row r="49" customFormat="false" ht="15.75" hidden="false" customHeight="true" outlineLevel="0" collapsed="false">
      <c r="A49" s="651"/>
      <c r="B49" s="653" t="s">
        <v>585</v>
      </c>
      <c r="C49" s="653" t="s">
        <v>597</v>
      </c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</row>
    <row r="50" customFormat="false" ht="15.75" hidden="false" customHeight="true" outlineLevel="0" collapsed="false">
      <c r="A50" s="651"/>
      <c r="B50" s="652" t="s">
        <v>586</v>
      </c>
      <c r="C50" s="652" t="s">
        <v>600</v>
      </c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</row>
    <row r="51" customFormat="false" ht="15.75" hidden="false" customHeight="true" outlineLevel="0" collapsed="false">
      <c r="A51" s="651"/>
      <c r="B51" s="652" t="s">
        <v>587</v>
      </c>
      <c r="C51" s="652" t="s">
        <v>598</v>
      </c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</row>
    <row r="52" customFormat="false" ht="15.75" hidden="false" customHeight="true" outlineLevel="0" collapsed="false">
      <c r="A52" s="651"/>
      <c r="B52" s="652" t="s">
        <v>588</v>
      </c>
      <c r="C52" s="653" t="s">
        <v>601</v>
      </c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</row>
    <row r="53" customFormat="false" ht="15.75" hidden="false" customHeight="true" outlineLevel="0" collapsed="false">
      <c r="A53" s="651"/>
      <c r="B53" s="652" t="s">
        <v>589</v>
      </c>
      <c r="C53" s="652" t="s">
        <v>582</v>
      </c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</row>
    <row r="54" customFormat="false" ht="15.75" hidden="false" customHeight="true" outlineLevel="0" collapsed="false">
      <c r="A54" s="651"/>
      <c r="B54" s="652" t="s">
        <v>590</v>
      </c>
      <c r="C54" s="653" t="s">
        <v>602</v>
      </c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</row>
    <row r="55" customFormat="false" ht="15.75" hidden="false" customHeight="true" outlineLevel="0" collapsed="false">
      <c r="A55" s="651"/>
      <c r="B55" s="652" t="s">
        <v>591</v>
      </c>
      <c r="C55" s="653" t="s">
        <v>583</v>
      </c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</row>
    <row r="56" customFormat="false" ht="15.75" hidden="false" customHeight="true" outlineLevel="0" collapsed="false">
      <c r="A56" s="651"/>
      <c r="B56" s="653" t="s">
        <v>595</v>
      </c>
      <c r="C56" s="652" t="s">
        <v>584</v>
      </c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</row>
    <row r="57" customFormat="false" ht="15.75" hidden="false" customHeight="true" outlineLevel="0" collapsed="false">
      <c r="A57" s="651"/>
      <c r="B57" s="653" t="s">
        <v>596</v>
      </c>
      <c r="C57" s="652" t="s">
        <v>599</v>
      </c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</row>
    <row r="58" customFormat="false" ht="15.75" hidden="false" customHeight="true" outlineLevel="0" collapsed="false">
      <c r="A58" s="651"/>
      <c r="B58" s="653" t="s">
        <v>597</v>
      </c>
      <c r="C58" s="653" t="s">
        <v>585</v>
      </c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</row>
    <row r="59" customFormat="false" ht="15.75" hidden="false" customHeight="true" outlineLevel="0" collapsed="false">
      <c r="A59" s="651"/>
      <c r="B59" s="652" t="s">
        <v>598</v>
      </c>
      <c r="C59" s="652" t="s">
        <v>586</v>
      </c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</row>
    <row r="60" customFormat="false" ht="15.75" hidden="false" customHeight="true" outlineLevel="0" collapsed="false">
      <c r="A60" s="651"/>
      <c r="B60" s="652" t="s">
        <v>599</v>
      </c>
      <c r="C60" s="652" t="s">
        <v>587</v>
      </c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</row>
    <row r="61" customFormat="false" ht="15.75" hidden="false" customHeight="true" outlineLevel="0" collapsed="false">
      <c r="A61" s="651"/>
      <c r="B61" s="652" t="s">
        <v>600</v>
      </c>
      <c r="C61" s="652" t="s">
        <v>588</v>
      </c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</row>
    <row r="62" customFormat="false" ht="15.75" hidden="false" customHeight="true" outlineLevel="0" collapsed="false">
      <c r="A62" s="651"/>
      <c r="B62" s="653" t="s">
        <v>601</v>
      </c>
      <c r="C62" s="654" t="s">
        <v>603</v>
      </c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</row>
    <row r="63" customFormat="false" ht="15.75" hidden="false" customHeight="true" outlineLevel="0" collapsed="false">
      <c r="A63" s="651"/>
      <c r="B63" s="653" t="s">
        <v>602</v>
      </c>
      <c r="C63" s="652" t="s">
        <v>604</v>
      </c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</row>
    <row r="64" customFormat="false" ht="15.75" hidden="false" customHeight="true" outlineLevel="0" collapsed="false">
      <c r="A64" s="651"/>
      <c r="B64" s="654" t="s">
        <v>603</v>
      </c>
      <c r="C64" s="652" t="s">
        <v>589</v>
      </c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</row>
    <row r="65" customFormat="false" ht="15.75" hidden="false" customHeight="true" outlineLevel="0" collapsed="false">
      <c r="A65" s="651"/>
      <c r="B65" s="652" t="s">
        <v>604</v>
      </c>
      <c r="C65" s="652" t="s">
        <v>590</v>
      </c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</row>
    <row r="66" customFormat="false" ht="15.75" hidden="false" customHeight="true" outlineLevel="0" collapsed="false">
      <c r="A66" s="651"/>
      <c r="B66" s="653" t="s">
        <v>605</v>
      </c>
      <c r="C66" s="652" t="s">
        <v>591</v>
      </c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</row>
    <row r="67" customFormat="false" ht="15.75" hidden="false" customHeight="true" outlineLevel="0" collapsed="false">
      <c r="A67" s="651"/>
      <c r="B67" s="654" t="s">
        <v>608</v>
      </c>
      <c r="C67" s="654" t="s">
        <v>608</v>
      </c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</row>
    <row r="68" customFormat="false" ht="15.75" hidden="false" customHeight="true" outlineLevel="0" collapsed="false">
      <c r="A68" s="651"/>
      <c r="B68" s="654" t="s">
        <v>609</v>
      </c>
      <c r="C68" s="654" t="s">
        <v>609</v>
      </c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</row>
    <row r="69" customFormat="false" ht="15.75" hidden="false" customHeight="true" outlineLevel="0" collapsed="false">
      <c r="A69" s="651"/>
      <c r="B69" s="654" t="s">
        <v>610</v>
      </c>
      <c r="C69" s="654" t="s">
        <v>610</v>
      </c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</row>
    <row r="70" customFormat="false" ht="15.75" hidden="false" customHeight="true" outlineLevel="0" collapsed="false">
      <c r="A70" s="651"/>
      <c r="B70" s="654" t="s">
        <v>611</v>
      </c>
      <c r="C70" s="654" t="s">
        <v>611</v>
      </c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</row>
    <row r="71" customFormat="false" ht="15.75" hidden="false" customHeight="true" outlineLevel="0" collapsed="false">
      <c r="A71" s="644"/>
      <c r="B71" s="652" t="str">
        <f aca="false">IF(OR(Термо!B16='Наружная отделка'!B20,Термо!B16='Наружная отделка'!C20,Термо!B16='Наружная отделка'!B29,Термо!B16='Наружная отделка'!C29),"Ф-63 (Darkwood SP)"," ")</f>
        <v> </v>
      </c>
      <c r="C71" s="64" t="str">
        <f aca="false">IF(OR(Термо!B16='Наружная отделка'!B20,Термо!B16='Наружная отделка'!C20,Термо!B16='Наружная отделка'!B29,Термо!B16='Наружная отделка'!C29),"Ф-63 (Darkwood SP)"," ")</f>
        <v> </v>
      </c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</row>
    <row r="72" customFormat="false" ht="15.75" hidden="false" customHeight="true" outlineLevel="0" collapsed="false">
      <c r="A72" s="644"/>
      <c r="B72" s="652" t="str">
        <f aca="false">IF(OR(Термо!B16='Наружная отделка'!F20,Термо!B16='Наружная отделка'!F29,Термо!B16='Наружная отделка'!G29,Термо!B16='Наружная отделка'!H29),"Ф-81 (Drevos SP)"," ")</f>
        <v> </v>
      </c>
      <c r="C72" s="64" t="str">
        <f aca="false">IF(OR(Термо!B16='Наружная отделка'!F20,Термо!B16='Наружная отделка'!F29,Термо!B16='Наружная отделка'!G29,Термо!B16='Наружная отделка'!H29),"Ф-81 (Drevos SP)"," ")</f>
        <v> </v>
      </c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</row>
    <row r="73" customFormat="false" ht="15.75" hidden="false" customHeight="true" outlineLevel="0" collapsed="false">
      <c r="A73" s="644"/>
      <c r="B73" s="652" t="str">
        <f aca="false">IF(Термо!B16='Наружная отделка'!F16,"Ф-96 (Senator Max SP)"," ")</f>
        <v> </v>
      </c>
      <c r="C73" s="64" t="str">
        <f aca="false">IF(Термо!B16='Наружная отделка'!F16,"Ф-96 (Senator Max SP)"," ")</f>
        <v> </v>
      </c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</row>
    <row r="74" customFormat="false" ht="15.75" hidden="false" customHeight="true" outlineLevel="0" collapsed="false">
      <c r="A74" s="644"/>
      <c r="B74" s="652" t="str">
        <f aca="false">IF(Термо!B16='Наружная отделка'!E16,"Ф-84 (Senator SP)"," ")</f>
        <v> </v>
      </c>
      <c r="C74" s="64" t="str">
        <f aca="false">IF(Термо!B16='Наружная отделка'!E16,"Ф-84 (Senator SP)"," ")</f>
        <v> </v>
      </c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</row>
    <row r="75" customFormat="false" ht="15.75" hidden="false" customHeight="true" outlineLevel="0" collapsed="false">
      <c r="A75" s="644"/>
      <c r="B75" s="652" t="str">
        <f aca="false">IF(Термо!B16='Наружная отделка'!D16,"Ф-85 (Credo SP)"," ")</f>
        <v>Ф-85 (Credo SP)</v>
      </c>
      <c r="C75" s="64" t="str">
        <f aca="false">IF(Термо!B16='Наружная отделка'!D16,"Ф-85 (Credo SP)"," ")</f>
        <v>Ф-85 (Credo SP)</v>
      </c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</row>
    <row r="76" customFormat="false" ht="15.75" hidden="false" customHeight="true" outlineLevel="0" collapsed="false">
      <c r="A76" s="64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</row>
    <row r="77" customFormat="false" ht="15.75" hidden="false" customHeight="true" outlineLevel="0" collapsed="false">
      <c r="A77" s="64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</row>
    <row r="78" customFormat="false" ht="15.75" hidden="false" customHeight="true" outlineLevel="0" collapsed="false">
      <c r="A78" s="64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</row>
    <row r="79" customFormat="false" ht="15.75" hidden="false" customHeight="true" outlineLevel="0" collapsed="false">
      <c r="A79" s="64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</row>
    <row r="80" customFormat="false" ht="15.75" hidden="false" customHeight="true" outlineLevel="0" collapsed="false">
      <c r="A80" s="64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</row>
    <row r="81" customFormat="false" ht="15.75" hidden="false" customHeight="true" outlineLevel="0" collapsed="false">
      <c r="A81" s="64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</row>
    <row r="82" customFormat="false" ht="15.75" hidden="false" customHeight="true" outlineLevel="0" collapsed="false">
      <c r="A82" s="64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</row>
    <row r="83" customFormat="false" ht="15.75" hidden="false" customHeight="true" outlineLevel="0" collapsed="false">
      <c r="A83" s="64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</row>
    <row r="84" customFormat="false" ht="15.75" hidden="false" customHeight="true" outlineLevel="0" collapsed="false">
      <c r="A84" s="64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</row>
    <row r="85" customFormat="false" ht="15.75" hidden="false" customHeight="true" outlineLevel="0" collapsed="false">
      <c r="A85" s="64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</row>
    <row r="86" customFormat="false" ht="15.75" hidden="false" customHeight="true" outlineLevel="0" collapsed="false">
      <c r="A86" s="64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</row>
    <row r="87" customFormat="false" ht="15.75" hidden="false" customHeight="true" outlineLevel="0" collapsed="false">
      <c r="A87" s="64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</row>
    <row r="88" customFormat="false" ht="15.75" hidden="false" customHeight="true" outlineLevel="0" collapsed="false">
      <c r="A88" s="64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</row>
    <row r="89" customFormat="false" ht="15.75" hidden="false" customHeight="true" outlineLevel="0" collapsed="false">
      <c r="A89" s="64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</row>
    <row r="90" customFormat="false" ht="15.75" hidden="false" customHeight="true" outlineLevel="0" collapsed="false">
      <c r="A90" s="64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</row>
    <row r="91" customFormat="false" ht="15.75" hidden="false" customHeight="true" outlineLevel="0" collapsed="false">
      <c r="A91" s="64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</row>
    <row r="92" customFormat="false" ht="15.75" hidden="false" customHeight="true" outlineLevel="0" collapsed="false">
      <c r="A92" s="64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</row>
    <row r="93" customFormat="false" ht="15.75" hidden="false" customHeight="true" outlineLevel="0" collapsed="false">
      <c r="A93" s="64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</row>
    <row r="94" customFormat="false" ht="15.75" hidden="false" customHeight="true" outlineLevel="0" collapsed="false">
      <c r="A94" s="64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</row>
    <row r="95" customFormat="false" ht="15.75" hidden="false" customHeight="true" outlineLevel="0" collapsed="false">
      <c r="A95" s="64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</row>
    <row r="96" customFormat="false" ht="15.75" hidden="false" customHeight="true" outlineLevel="0" collapsed="false">
      <c r="A96" s="64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</row>
    <row r="97" customFormat="false" ht="15.75" hidden="false" customHeight="true" outlineLevel="0" collapsed="false">
      <c r="A97" s="64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</row>
    <row r="98" customFormat="false" ht="15.75" hidden="false" customHeight="true" outlineLevel="0" collapsed="false">
      <c r="A98" s="64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</row>
    <row r="99" customFormat="false" ht="15.75" hidden="false" customHeight="true" outlineLevel="0" collapsed="false">
      <c r="A99" s="64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</row>
    <row r="100" customFormat="false" ht="15.75" hidden="false" customHeight="true" outlineLevel="0" collapsed="false">
      <c r="A100" s="64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</row>
    <row r="101" customFormat="false" ht="15.75" hidden="false" customHeight="true" outlineLevel="0" collapsed="false">
      <c r="A101" s="64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</row>
    <row r="102" customFormat="false" ht="15.75" hidden="false" customHeight="true" outlineLevel="0" collapsed="false">
      <c r="A102" s="64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</row>
    <row r="103" customFormat="false" ht="15.75" hidden="false" customHeight="true" outlineLevel="0" collapsed="false">
      <c r="A103" s="64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</row>
    <row r="104" customFormat="false" ht="15.75" hidden="false" customHeight="true" outlineLevel="0" collapsed="false">
      <c r="A104" s="64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</row>
    <row r="105" customFormat="false" ht="15.75" hidden="false" customHeight="true" outlineLevel="0" collapsed="false">
      <c r="A105" s="64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</row>
    <row r="106" customFormat="false" ht="15.75" hidden="false" customHeight="true" outlineLevel="0" collapsed="false">
      <c r="A106" s="64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</row>
    <row r="107" customFormat="false" ht="15.75" hidden="false" customHeight="true" outlineLevel="0" collapsed="false">
      <c r="A107" s="64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</row>
    <row r="108" customFormat="false" ht="15.75" hidden="false" customHeight="true" outlineLevel="0" collapsed="false">
      <c r="A108" s="64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</row>
    <row r="109" customFormat="false" ht="15.75" hidden="false" customHeight="true" outlineLevel="0" collapsed="false">
      <c r="A109" s="64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</row>
    <row r="110" customFormat="false" ht="15.75" hidden="false" customHeight="true" outlineLevel="0" collapsed="false">
      <c r="A110" s="64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</row>
    <row r="111" customFormat="false" ht="15.75" hidden="false" customHeight="true" outlineLevel="0" collapsed="false">
      <c r="A111" s="64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</row>
    <row r="112" customFormat="false" ht="15.75" hidden="false" customHeight="true" outlineLevel="0" collapsed="false">
      <c r="A112" s="64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</row>
    <row r="113" customFormat="false" ht="15.75" hidden="false" customHeight="true" outlineLevel="0" collapsed="false">
      <c r="A113" s="64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</row>
    <row r="114" customFormat="false" ht="15.75" hidden="false" customHeight="true" outlineLevel="0" collapsed="false">
      <c r="A114" s="64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</row>
    <row r="115" customFormat="false" ht="15.75" hidden="false" customHeight="true" outlineLevel="0" collapsed="false">
      <c r="A115" s="64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</row>
    <row r="116" customFormat="false" ht="15.75" hidden="false" customHeight="true" outlineLevel="0" collapsed="false">
      <c r="A116" s="64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</row>
    <row r="117" customFormat="false" ht="15.75" hidden="false" customHeight="true" outlineLevel="0" collapsed="false">
      <c r="A117" s="64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</row>
    <row r="118" customFormat="false" ht="15.75" hidden="false" customHeight="true" outlineLevel="0" collapsed="false">
      <c r="A118" s="64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</row>
    <row r="119" customFormat="false" ht="15.75" hidden="false" customHeight="true" outlineLevel="0" collapsed="false">
      <c r="A119" s="64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</row>
    <row r="120" customFormat="false" ht="15.75" hidden="false" customHeight="true" outlineLevel="0" collapsed="false">
      <c r="A120" s="64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</row>
    <row r="121" customFormat="false" ht="15.75" hidden="false" customHeight="true" outlineLevel="0" collapsed="false">
      <c r="A121" s="64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</row>
    <row r="122" customFormat="false" ht="15.75" hidden="false" customHeight="true" outlineLevel="0" collapsed="false">
      <c r="A122" s="64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</row>
    <row r="123" customFormat="false" ht="15.75" hidden="false" customHeight="true" outlineLevel="0" collapsed="false">
      <c r="A123" s="64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</row>
    <row r="124" customFormat="false" ht="15.75" hidden="false" customHeight="true" outlineLevel="0" collapsed="false">
      <c r="A124" s="64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</row>
    <row r="125" customFormat="false" ht="15.75" hidden="false" customHeight="true" outlineLevel="0" collapsed="false">
      <c r="A125" s="64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</row>
    <row r="126" customFormat="false" ht="15.75" hidden="false" customHeight="true" outlineLevel="0" collapsed="false">
      <c r="A126" s="64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</row>
    <row r="127" customFormat="false" ht="15.75" hidden="false" customHeight="true" outlineLevel="0" collapsed="false">
      <c r="A127" s="64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</row>
    <row r="128" customFormat="false" ht="15.75" hidden="false" customHeight="true" outlineLevel="0" collapsed="false">
      <c r="A128" s="64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</row>
    <row r="129" customFormat="false" ht="15.75" hidden="false" customHeight="true" outlineLevel="0" collapsed="false">
      <c r="A129" s="64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</row>
    <row r="130" customFormat="false" ht="15.75" hidden="false" customHeight="true" outlineLevel="0" collapsed="false">
      <c r="A130" s="64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</row>
    <row r="131" customFormat="false" ht="15.75" hidden="false" customHeight="true" outlineLevel="0" collapsed="false">
      <c r="A131" s="64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</row>
    <row r="132" customFormat="false" ht="15.75" hidden="false" customHeight="true" outlineLevel="0" collapsed="false">
      <c r="A132" s="64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</row>
    <row r="133" customFormat="false" ht="15.75" hidden="false" customHeight="true" outlineLevel="0" collapsed="false">
      <c r="A133" s="64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</row>
    <row r="134" customFormat="false" ht="15.75" hidden="false" customHeight="true" outlineLevel="0" collapsed="false">
      <c r="A134" s="64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</row>
    <row r="135" customFormat="false" ht="15.75" hidden="false" customHeight="true" outlineLevel="0" collapsed="false">
      <c r="A135" s="64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</row>
    <row r="136" customFormat="false" ht="15.75" hidden="false" customHeight="true" outlineLevel="0" collapsed="false">
      <c r="A136" s="64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</row>
    <row r="137" customFormat="false" ht="15.75" hidden="false" customHeight="true" outlineLevel="0" collapsed="false">
      <c r="A137" s="64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</row>
    <row r="138" customFormat="false" ht="15.75" hidden="false" customHeight="true" outlineLevel="0" collapsed="false">
      <c r="A138" s="64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</row>
    <row r="139" customFormat="false" ht="15.75" hidden="false" customHeight="true" outlineLevel="0" collapsed="false">
      <c r="A139" s="64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</row>
    <row r="140" customFormat="false" ht="15.75" hidden="false" customHeight="true" outlineLevel="0" collapsed="false">
      <c r="A140" s="64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</row>
    <row r="141" customFormat="false" ht="15.75" hidden="false" customHeight="true" outlineLevel="0" collapsed="false">
      <c r="A141" s="64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</row>
    <row r="142" customFormat="false" ht="15.75" hidden="false" customHeight="true" outlineLevel="0" collapsed="false">
      <c r="A142" s="64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</row>
    <row r="143" customFormat="false" ht="15.75" hidden="false" customHeight="true" outlineLevel="0" collapsed="false">
      <c r="A143" s="64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</row>
    <row r="144" customFormat="false" ht="15.75" hidden="false" customHeight="true" outlineLevel="0" collapsed="false">
      <c r="A144" s="64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</row>
    <row r="145" customFormat="false" ht="15.75" hidden="false" customHeight="true" outlineLevel="0" collapsed="false">
      <c r="A145" s="64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</row>
    <row r="146" customFormat="false" ht="15.75" hidden="false" customHeight="true" outlineLevel="0" collapsed="false">
      <c r="A146" s="64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</row>
    <row r="147" customFormat="false" ht="15.75" hidden="false" customHeight="true" outlineLevel="0" collapsed="false">
      <c r="A147" s="64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</row>
    <row r="148" customFormat="false" ht="15.75" hidden="false" customHeight="true" outlineLevel="0" collapsed="false">
      <c r="A148" s="64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</row>
    <row r="149" customFormat="false" ht="15.75" hidden="false" customHeight="true" outlineLevel="0" collapsed="false">
      <c r="A149" s="64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</row>
    <row r="150" customFormat="false" ht="15.75" hidden="false" customHeight="true" outlineLevel="0" collapsed="false">
      <c r="A150" s="64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</row>
    <row r="151" customFormat="false" ht="15.75" hidden="false" customHeight="true" outlineLevel="0" collapsed="false">
      <c r="A151" s="64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</row>
    <row r="152" customFormat="false" ht="15.75" hidden="false" customHeight="true" outlineLevel="0" collapsed="false">
      <c r="A152" s="64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</row>
    <row r="153" customFormat="false" ht="15.75" hidden="false" customHeight="true" outlineLevel="0" collapsed="false">
      <c r="A153" s="64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</row>
    <row r="154" customFormat="false" ht="15.75" hidden="false" customHeight="true" outlineLevel="0" collapsed="false">
      <c r="A154" s="64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</row>
    <row r="155" customFormat="false" ht="15.75" hidden="false" customHeight="true" outlineLevel="0" collapsed="false">
      <c r="A155" s="64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</row>
    <row r="156" customFormat="false" ht="15.75" hidden="false" customHeight="true" outlineLevel="0" collapsed="false">
      <c r="A156" s="64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</row>
    <row r="157" customFormat="false" ht="15.75" hidden="false" customHeight="true" outlineLevel="0" collapsed="false">
      <c r="A157" s="64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</row>
    <row r="158" customFormat="false" ht="15.75" hidden="false" customHeight="true" outlineLevel="0" collapsed="false">
      <c r="A158" s="64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</row>
    <row r="159" customFormat="false" ht="15.75" hidden="false" customHeight="true" outlineLevel="0" collapsed="false">
      <c r="A159" s="64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</row>
    <row r="160" customFormat="false" ht="15.75" hidden="false" customHeight="true" outlineLevel="0" collapsed="false">
      <c r="A160" s="64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</row>
    <row r="161" customFormat="false" ht="15.75" hidden="false" customHeight="true" outlineLevel="0" collapsed="false">
      <c r="A161" s="64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</row>
    <row r="162" customFormat="false" ht="15.75" hidden="false" customHeight="true" outlineLevel="0" collapsed="false">
      <c r="A162" s="64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</row>
    <row r="163" customFormat="false" ht="15.75" hidden="false" customHeight="true" outlineLevel="0" collapsed="false">
      <c r="A163" s="64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</row>
    <row r="164" customFormat="false" ht="15.75" hidden="false" customHeight="true" outlineLevel="0" collapsed="false">
      <c r="A164" s="64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</row>
    <row r="165" customFormat="false" ht="15.75" hidden="false" customHeight="true" outlineLevel="0" collapsed="false">
      <c r="A165" s="64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</row>
    <row r="166" customFormat="false" ht="15.75" hidden="false" customHeight="true" outlineLevel="0" collapsed="false">
      <c r="A166" s="64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</row>
    <row r="167" customFormat="false" ht="15.75" hidden="false" customHeight="true" outlineLevel="0" collapsed="false">
      <c r="A167" s="64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</row>
    <row r="168" customFormat="false" ht="15.75" hidden="false" customHeight="true" outlineLevel="0" collapsed="false">
      <c r="A168" s="64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</row>
    <row r="169" customFormat="false" ht="15.75" hidden="false" customHeight="true" outlineLevel="0" collapsed="false">
      <c r="A169" s="64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</row>
    <row r="170" customFormat="false" ht="15.75" hidden="false" customHeight="true" outlineLevel="0" collapsed="false">
      <c r="A170" s="64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</row>
    <row r="171" customFormat="false" ht="15.75" hidden="false" customHeight="true" outlineLevel="0" collapsed="false">
      <c r="A171" s="64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</row>
    <row r="172" customFormat="false" ht="15.75" hidden="false" customHeight="true" outlineLevel="0" collapsed="false">
      <c r="A172" s="64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</row>
    <row r="173" customFormat="false" ht="15.75" hidden="false" customHeight="true" outlineLevel="0" collapsed="false">
      <c r="A173" s="64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</row>
    <row r="174" customFormat="false" ht="15.75" hidden="false" customHeight="true" outlineLevel="0" collapsed="false">
      <c r="A174" s="64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</row>
    <row r="175" customFormat="false" ht="15.75" hidden="false" customHeight="true" outlineLevel="0" collapsed="false">
      <c r="A175" s="64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</row>
    <row r="176" customFormat="false" ht="15.75" hidden="false" customHeight="true" outlineLevel="0" collapsed="false">
      <c r="A176" s="64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</row>
    <row r="177" customFormat="false" ht="15.75" hidden="false" customHeight="true" outlineLevel="0" collapsed="false">
      <c r="A177" s="64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</row>
    <row r="178" customFormat="false" ht="15.75" hidden="false" customHeight="true" outlineLevel="0" collapsed="false">
      <c r="A178" s="64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</row>
    <row r="179" customFormat="false" ht="15.75" hidden="false" customHeight="true" outlineLevel="0" collapsed="false">
      <c r="A179" s="64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</row>
    <row r="180" customFormat="false" ht="15.75" hidden="false" customHeight="true" outlineLevel="0" collapsed="false">
      <c r="A180" s="64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</row>
    <row r="181" customFormat="false" ht="15.75" hidden="false" customHeight="true" outlineLevel="0" collapsed="false">
      <c r="A181" s="64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</row>
    <row r="182" customFormat="false" ht="15.75" hidden="false" customHeight="true" outlineLevel="0" collapsed="false">
      <c r="A182" s="64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</row>
    <row r="183" customFormat="false" ht="15.75" hidden="false" customHeight="true" outlineLevel="0" collapsed="false">
      <c r="A183" s="64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</row>
    <row r="184" customFormat="false" ht="15.75" hidden="false" customHeight="true" outlineLevel="0" collapsed="false">
      <c r="A184" s="64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</row>
    <row r="185" customFormat="false" ht="15.75" hidden="false" customHeight="true" outlineLevel="0" collapsed="false">
      <c r="A185" s="64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</row>
    <row r="186" customFormat="false" ht="15.75" hidden="false" customHeight="true" outlineLevel="0" collapsed="false">
      <c r="A186" s="64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</row>
    <row r="187" customFormat="false" ht="15.75" hidden="false" customHeight="true" outlineLevel="0" collapsed="false">
      <c r="A187" s="64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</row>
    <row r="188" customFormat="false" ht="15.75" hidden="false" customHeight="true" outlineLevel="0" collapsed="false">
      <c r="A188" s="64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</row>
    <row r="189" customFormat="false" ht="15.75" hidden="false" customHeight="true" outlineLevel="0" collapsed="false">
      <c r="A189" s="64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</row>
    <row r="190" customFormat="false" ht="15.75" hidden="false" customHeight="true" outlineLevel="0" collapsed="false">
      <c r="A190" s="64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</row>
    <row r="191" customFormat="false" ht="15.75" hidden="false" customHeight="true" outlineLevel="0" collapsed="false">
      <c r="A191" s="64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</row>
    <row r="192" customFormat="false" ht="15.75" hidden="false" customHeight="true" outlineLevel="0" collapsed="false">
      <c r="A192" s="64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</row>
    <row r="193" customFormat="false" ht="15.75" hidden="false" customHeight="true" outlineLevel="0" collapsed="false">
      <c r="A193" s="64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</row>
    <row r="194" customFormat="false" ht="15.75" hidden="false" customHeight="true" outlineLevel="0" collapsed="false">
      <c r="A194" s="64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</row>
    <row r="195" customFormat="false" ht="15.75" hidden="false" customHeight="true" outlineLevel="0" collapsed="false">
      <c r="A195" s="64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</row>
    <row r="196" customFormat="false" ht="15.75" hidden="false" customHeight="true" outlineLevel="0" collapsed="false">
      <c r="A196" s="64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</row>
    <row r="197" customFormat="false" ht="15.75" hidden="false" customHeight="true" outlineLevel="0" collapsed="false">
      <c r="A197" s="64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</row>
    <row r="198" customFormat="false" ht="15.75" hidden="false" customHeight="true" outlineLevel="0" collapsed="false">
      <c r="A198" s="64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</row>
    <row r="199" customFormat="false" ht="15.75" hidden="false" customHeight="true" outlineLevel="0" collapsed="false">
      <c r="A199" s="64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</row>
    <row r="200" customFormat="false" ht="15.75" hidden="false" customHeight="true" outlineLevel="0" collapsed="false">
      <c r="A200" s="64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</row>
    <row r="201" customFormat="false" ht="15.75" hidden="false" customHeight="true" outlineLevel="0" collapsed="false">
      <c r="A201" s="64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</row>
    <row r="202" customFormat="false" ht="15.75" hidden="false" customHeight="true" outlineLevel="0" collapsed="false">
      <c r="A202" s="64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</row>
    <row r="203" customFormat="false" ht="15.75" hidden="false" customHeight="true" outlineLevel="0" collapsed="false">
      <c r="A203" s="64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</row>
    <row r="204" customFormat="false" ht="15.75" hidden="false" customHeight="true" outlineLevel="0" collapsed="false">
      <c r="A204" s="64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</row>
    <row r="205" customFormat="false" ht="15.75" hidden="false" customHeight="true" outlineLevel="0" collapsed="false">
      <c r="A205" s="64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</row>
    <row r="206" customFormat="false" ht="15.75" hidden="false" customHeight="true" outlineLevel="0" collapsed="false">
      <c r="A206" s="64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</row>
    <row r="207" customFormat="false" ht="15.75" hidden="false" customHeight="true" outlineLevel="0" collapsed="false">
      <c r="A207" s="64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</row>
    <row r="208" customFormat="false" ht="15.75" hidden="false" customHeight="true" outlineLevel="0" collapsed="false">
      <c r="A208" s="64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</row>
    <row r="209" customFormat="false" ht="15.75" hidden="false" customHeight="true" outlineLevel="0" collapsed="false">
      <c r="A209" s="64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</row>
    <row r="210" customFormat="false" ht="15.75" hidden="false" customHeight="true" outlineLevel="0" collapsed="false">
      <c r="A210" s="64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</row>
    <row r="211" customFormat="false" ht="15.75" hidden="false" customHeight="true" outlineLevel="0" collapsed="false">
      <c r="A211" s="64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</row>
    <row r="212" customFormat="false" ht="15.75" hidden="false" customHeight="true" outlineLevel="0" collapsed="false">
      <c r="A212" s="64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</row>
    <row r="213" customFormat="false" ht="15.75" hidden="false" customHeight="true" outlineLevel="0" collapsed="false">
      <c r="A213" s="64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</row>
    <row r="214" customFormat="false" ht="15.75" hidden="false" customHeight="true" outlineLevel="0" collapsed="false">
      <c r="A214" s="64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</row>
    <row r="215" customFormat="false" ht="15.75" hidden="false" customHeight="true" outlineLevel="0" collapsed="false">
      <c r="A215" s="64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</row>
    <row r="216" customFormat="false" ht="15.75" hidden="false" customHeight="true" outlineLevel="0" collapsed="false">
      <c r="A216" s="64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</row>
    <row r="217" customFormat="false" ht="15.75" hidden="false" customHeight="true" outlineLevel="0" collapsed="false">
      <c r="A217" s="64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</row>
    <row r="218" customFormat="false" ht="15.75" hidden="false" customHeight="true" outlineLevel="0" collapsed="false">
      <c r="A218" s="64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</row>
    <row r="219" customFormat="false" ht="15.75" hidden="false" customHeight="true" outlineLevel="0" collapsed="false">
      <c r="A219" s="64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</row>
    <row r="220" customFormat="false" ht="15.75" hidden="false" customHeight="true" outlineLevel="0" collapsed="false">
      <c r="A220" s="64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</row>
    <row r="221" customFormat="false" ht="15.75" hidden="false" customHeight="true" outlineLevel="0" collapsed="false">
      <c r="A221" s="64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</row>
    <row r="222" customFormat="false" ht="15.75" hidden="false" customHeight="true" outlineLevel="0" collapsed="false">
      <c r="A222" s="64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</row>
    <row r="223" customFormat="false" ht="15.75" hidden="false" customHeight="true" outlineLevel="0" collapsed="false">
      <c r="A223" s="64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</row>
    <row r="224" customFormat="false" ht="15.75" hidden="false" customHeight="true" outlineLevel="0" collapsed="false">
      <c r="A224" s="64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</row>
    <row r="225" customFormat="false" ht="15.75" hidden="false" customHeight="true" outlineLevel="0" collapsed="false">
      <c r="A225" s="64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</row>
    <row r="226" customFormat="false" ht="15.75" hidden="false" customHeight="true" outlineLevel="0" collapsed="false">
      <c r="A226" s="64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</row>
    <row r="227" customFormat="false" ht="15.75" hidden="false" customHeight="true" outlineLevel="0" collapsed="false">
      <c r="A227" s="64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</row>
    <row r="228" customFormat="false" ht="15.75" hidden="false" customHeight="true" outlineLevel="0" collapsed="false">
      <c r="A228" s="64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</row>
    <row r="229" customFormat="false" ht="15.75" hidden="false" customHeight="true" outlineLevel="0" collapsed="false">
      <c r="A229" s="64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</row>
    <row r="230" customFormat="false" ht="15.75" hidden="false" customHeight="true" outlineLevel="0" collapsed="false">
      <c r="A230" s="64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</row>
    <row r="231" customFormat="false" ht="15.75" hidden="false" customHeight="true" outlineLevel="0" collapsed="false">
      <c r="A231" s="64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</row>
    <row r="232" customFormat="false" ht="15.75" hidden="false" customHeight="true" outlineLevel="0" collapsed="false">
      <c r="A232" s="64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</row>
    <row r="233" customFormat="false" ht="15.75" hidden="false" customHeight="true" outlineLevel="0" collapsed="false">
      <c r="A233" s="64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</row>
    <row r="234" customFormat="false" ht="15.75" hidden="false" customHeight="true" outlineLevel="0" collapsed="false">
      <c r="A234" s="64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</row>
    <row r="235" customFormat="false" ht="15.75" hidden="false" customHeight="true" outlineLevel="0" collapsed="false">
      <c r="A235" s="64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</row>
    <row r="236" customFormat="false" ht="15.75" hidden="false" customHeight="true" outlineLevel="0" collapsed="false">
      <c r="A236" s="64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</row>
    <row r="237" customFormat="false" ht="15.75" hidden="false" customHeight="true" outlineLevel="0" collapsed="false">
      <c r="A237" s="64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</row>
    <row r="238" customFormat="false" ht="15.75" hidden="false" customHeight="true" outlineLevel="0" collapsed="false">
      <c r="A238" s="64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</row>
    <row r="239" customFormat="false" ht="15.75" hidden="false" customHeight="true" outlineLevel="0" collapsed="false">
      <c r="A239" s="64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</row>
    <row r="240" customFormat="false" ht="15.75" hidden="false" customHeight="true" outlineLevel="0" collapsed="false">
      <c r="A240" s="64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</row>
    <row r="241" customFormat="false" ht="15.75" hidden="false" customHeight="true" outlineLevel="0" collapsed="false">
      <c r="A241" s="64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</row>
    <row r="242" customFormat="false" ht="15.75" hidden="false" customHeight="true" outlineLevel="0" collapsed="false">
      <c r="A242" s="64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</row>
    <row r="243" customFormat="false" ht="15.75" hidden="false" customHeight="true" outlineLevel="0" collapsed="false">
      <c r="A243" s="64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</row>
    <row r="244" customFormat="false" ht="15.75" hidden="false" customHeight="true" outlineLevel="0" collapsed="false">
      <c r="A244" s="64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</row>
    <row r="245" customFormat="false" ht="15.75" hidden="false" customHeight="true" outlineLevel="0" collapsed="false">
      <c r="A245" s="64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</row>
    <row r="246" customFormat="false" ht="15.75" hidden="false" customHeight="true" outlineLevel="0" collapsed="false">
      <c r="A246" s="64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</row>
    <row r="247" customFormat="false" ht="15.75" hidden="false" customHeight="true" outlineLevel="0" collapsed="false">
      <c r="A247" s="64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</row>
    <row r="248" customFormat="false" ht="15.75" hidden="false" customHeight="true" outlineLevel="0" collapsed="false">
      <c r="A248" s="64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</row>
    <row r="249" customFormat="false" ht="15.75" hidden="false" customHeight="true" outlineLevel="0" collapsed="false">
      <c r="A249" s="64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</row>
    <row r="250" customFormat="false" ht="15.75" hidden="false" customHeight="true" outlineLevel="0" collapsed="false">
      <c r="A250" s="64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</row>
    <row r="251" customFormat="false" ht="15.75" hidden="false" customHeight="true" outlineLevel="0" collapsed="false">
      <c r="A251" s="64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</row>
    <row r="252" customFormat="false" ht="15.75" hidden="false" customHeight="true" outlineLevel="0" collapsed="false">
      <c r="A252" s="64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</row>
    <row r="253" customFormat="false" ht="15.75" hidden="false" customHeight="true" outlineLevel="0" collapsed="false">
      <c r="A253" s="64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</row>
    <row r="254" customFormat="false" ht="15.75" hidden="false" customHeight="true" outlineLevel="0" collapsed="false">
      <c r="A254" s="64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</row>
    <row r="255" customFormat="false" ht="15.75" hidden="false" customHeight="true" outlineLevel="0" collapsed="false">
      <c r="A255" s="64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</row>
    <row r="256" customFormat="false" ht="15.75" hidden="false" customHeight="true" outlineLevel="0" collapsed="false">
      <c r="A256" s="64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</row>
    <row r="257" customFormat="false" ht="15.75" hidden="false" customHeight="true" outlineLevel="0" collapsed="false">
      <c r="A257" s="64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</row>
    <row r="258" customFormat="false" ht="15.75" hidden="false" customHeight="true" outlineLevel="0" collapsed="false">
      <c r="A258" s="64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</row>
    <row r="259" customFormat="false" ht="15.75" hidden="false" customHeight="true" outlineLevel="0" collapsed="false">
      <c r="A259" s="64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</row>
    <row r="260" customFormat="false" ht="15.75" hidden="false" customHeight="true" outlineLevel="0" collapsed="false">
      <c r="A260" s="64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</row>
    <row r="261" customFormat="false" ht="15.75" hidden="false" customHeight="true" outlineLevel="0" collapsed="false">
      <c r="A261" s="64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</row>
    <row r="262" customFormat="false" ht="15.75" hidden="false" customHeight="true" outlineLevel="0" collapsed="false">
      <c r="A262" s="64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</row>
    <row r="263" customFormat="false" ht="15.75" hidden="false" customHeight="true" outlineLevel="0" collapsed="false">
      <c r="A263" s="64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</row>
    <row r="264" customFormat="false" ht="15.75" hidden="false" customHeight="true" outlineLevel="0" collapsed="false">
      <c r="A264" s="64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</row>
    <row r="265" customFormat="false" ht="15.75" hidden="false" customHeight="true" outlineLevel="0" collapsed="false">
      <c r="A265" s="64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</row>
    <row r="266" customFormat="false" ht="15.75" hidden="false" customHeight="true" outlineLevel="0" collapsed="false">
      <c r="A266" s="64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</row>
    <row r="267" customFormat="false" ht="15.75" hidden="false" customHeight="true" outlineLevel="0" collapsed="false">
      <c r="A267" s="64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</row>
    <row r="268" customFormat="false" ht="15.75" hidden="false" customHeight="true" outlineLevel="0" collapsed="false">
      <c r="A268" s="64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</row>
    <row r="269" customFormat="false" ht="15.75" hidden="false" customHeight="true" outlineLevel="0" collapsed="false">
      <c r="A269" s="64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</row>
    <row r="270" customFormat="false" ht="15.75" hidden="false" customHeight="true" outlineLevel="0" collapsed="false">
      <c r="A270" s="64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</row>
    <row r="271" customFormat="false" ht="15.75" hidden="false" customHeight="true" outlineLevel="0" collapsed="false">
      <c r="A271" s="64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</row>
    <row r="272" customFormat="false" ht="15.75" hidden="false" customHeight="true" outlineLevel="0" collapsed="false">
      <c r="A272" s="64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</row>
    <row r="273" customFormat="false" ht="15.75" hidden="false" customHeight="true" outlineLevel="0" collapsed="false">
      <c r="A273" s="64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</row>
    <row r="274" customFormat="false" ht="15.75" hidden="false" customHeight="true" outlineLevel="0" collapsed="false">
      <c r="A274" s="64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</row>
    <row r="275" customFormat="false" ht="15.75" hidden="false" customHeight="true" outlineLevel="0" collapsed="false">
      <c r="A275" s="64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</row>
    <row r="276" customFormat="false" ht="15.75" hidden="false" customHeight="true" outlineLevel="0" collapsed="false">
      <c r="A276" s="64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</row>
    <row r="277" customFormat="false" ht="15.75" hidden="false" customHeight="true" outlineLevel="0" collapsed="false">
      <c r="A277" s="64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</row>
    <row r="278" customFormat="false" ht="15.75" hidden="false" customHeight="true" outlineLevel="0" collapsed="false">
      <c r="A278" s="64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</row>
    <row r="279" customFormat="false" ht="15.75" hidden="false" customHeight="true" outlineLevel="0" collapsed="false">
      <c r="A279" s="64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</row>
    <row r="280" customFormat="false" ht="15.75" hidden="false" customHeight="true" outlineLevel="0" collapsed="false">
      <c r="A280" s="64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</row>
    <row r="281" customFormat="false" ht="15.75" hidden="false" customHeight="true" outlineLevel="0" collapsed="false">
      <c r="A281" s="64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</row>
    <row r="282" customFormat="false" ht="15.75" hidden="false" customHeight="true" outlineLevel="0" collapsed="false">
      <c r="A282" s="64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</row>
    <row r="283" customFormat="false" ht="15.75" hidden="false" customHeight="true" outlineLevel="0" collapsed="false">
      <c r="A283" s="64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</row>
    <row r="284" customFormat="false" ht="15.75" hidden="false" customHeight="true" outlineLevel="0" collapsed="false">
      <c r="A284" s="64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</row>
    <row r="285" customFormat="false" ht="15.75" hidden="false" customHeight="true" outlineLevel="0" collapsed="false">
      <c r="A285" s="64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</row>
    <row r="286" customFormat="false" ht="15.75" hidden="false" customHeight="true" outlineLevel="0" collapsed="false">
      <c r="A286" s="64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</row>
    <row r="287" customFormat="false" ht="15.75" hidden="false" customHeight="true" outlineLevel="0" collapsed="false">
      <c r="A287" s="64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</row>
    <row r="288" customFormat="false" ht="15.75" hidden="false" customHeight="true" outlineLevel="0" collapsed="false">
      <c r="A288" s="64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</row>
    <row r="289" customFormat="false" ht="15.75" hidden="false" customHeight="true" outlineLevel="0" collapsed="false">
      <c r="A289" s="64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</row>
    <row r="290" customFormat="false" ht="15.75" hidden="false" customHeight="true" outlineLevel="0" collapsed="false">
      <c r="A290" s="64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</row>
    <row r="291" customFormat="false" ht="15.75" hidden="false" customHeight="true" outlineLevel="0" collapsed="false">
      <c r="A291" s="64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</row>
    <row r="292" customFormat="false" ht="15.75" hidden="false" customHeight="true" outlineLevel="0" collapsed="false">
      <c r="A292" s="64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</row>
    <row r="293" customFormat="false" ht="15.75" hidden="false" customHeight="true" outlineLevel="0" collapsed="false">
      <c r="A293" s="64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</row>
    <row r="294" customFormat="false" ht="15.75" hidden="false" customHeight="true" outlineLevel="0" collapsed="false">
      <c r="A294" s="64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</row>
    <row r="295" customFormat="false" ht="15.75" hidden="false" customHeight="true" outlineLevel="0" collapsed="false">
      <c r="A295" s="64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</row>
    <row r="296" customFormat="false" ht="15.75" hidden="false" customHeight="true" outlineLevel="0" collapsed="false">
      <c r="A296" s="64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</row>
    <row r="297" customFormat="false" ht="15.75" hidden="false" customHeight="true" outlineLevel="0" collapsed="false">
      <c r="A297" s="64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</row>
    <row r="298" customFormat="false" ht="15.75" hidden="false" customHeight="true" outlineLevel="0" collapsed="false">
      <c r="A298" s="64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</row>
    <row r="299" customFormat="false" ht="15.75" hidden="false" customHeight="true" outlineLevel="0" collapsed="false">
      <c r="A299" s="64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</row>
    <row r="300" customFormat="false" ht="15.75" hidden="false" customHeight="true" outlineLevel="0" collapsed="false">
      <c r="A300" s="64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</row>
    <row r="301" customFormat="false" ht="15.75" hidden="false" customHeight="true" outlineLevel="0" collapsed="false">
      <c r="A301" s="64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</row>
    <row r="302" customFormat="false" ht="15.75" hidden="false" customHeight="true" outlineLevel="0" collapsed="false">
      <c r="A302" s="64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</row>
    <row r="303" customFormat="false" ht="15.75" hidden="false" customHeight="true" outlineLevel="0" collapsed="false">
      <c r="A303" s="64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</row>
    <row r="304" customFormat="false" ht="15.75" hidden="false" customHeight="true" outlineLevel="0" collapsed="false">
      <c r="A304" s="64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</row>
    <row r="305" customFormat="false" ht="15.75" hidden="false" customHeight="true" outlineLevel="0" collapsed="false">
      <c r="A305" s="64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</row>
    <row r="306" customFormat="false" ht="15.75" hidden="false" customHeight="true" outlineLevel="0" collapsed="false">
      <c r="A306" s="64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</row>
    <row r="307" customFormat="false" ht="15.75" hidden="false" customHeight="true" outlineLevel="0" collapsed="false">
      <c r="A307" s="64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</row>
    <row r="308" customFormat="false" ht="15.75" hidden="false" customHeight="true" outlineLevel="0" collapsed="false">
      <c r="A308" s="64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</row>
    <row r="309" customFormat="false" ht="15.75" hidden="false" customHeight="true" outlineLevel="0" collapsed="false">
      <c r="A309" s="64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</row>
    <row r="310" customFormat="false" ht="15.75" hidden="false" customHeight="true" outlineLevel="0" collapsed="false">
      <c r="A310" s="64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</row>
    <row r="311" customFormat="false" ht="15.75" hidden="false" customHeight="true" outlineLevel="0" collapsed="false">
      <c r="A311" s="64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</row>
    <row r="312" customFormat="false" ht="15.75" hidden="false" customHeight="true" outlineLevel="0" collapsed="false">
      <c r="A312" s="64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</row>
    <row r="313" customFormat="false" ht="15.75" hidden="false" customHeight="true" outlineLevel="0" collapsed="false">
      <c r="A313" s="64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</row>
    <row r="314" customFormat="false" ht="15.75" hidden="false" customHeight="true" outlineLevel="0" collapsed="false">
      <c r="A314" s="64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</row>
    <row r="315" customFormat="false" ht="15.75" hidden="false" customHeight="true" outlineLevel="0" collapsed="false">
      <c r="A315" s="64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</row>
    <row r="316" customFormat="false" ht="15.75" hidden="false" customHeight="true" outlineLevel="0" collapsed="false">
      <c r="A316" s="64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</row>
    <row r="317" customFormat="false" ht="15.75" hidden="false" customHeight="true" outlineLevel="0" collapsed="false">
      <c r="A317" s="64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</row>
    <row r="318" customFormat="false" ht="15.75" hidden="false" customHeight="true" outlineLevel="0" collapsed="false">
      <c r="A318" s="64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</row>
    <row r="319" customFormat="false" ht="15.75" hidden="false" customHeight="true" outlineLevel="0" collapsed="false">
      <c r="A319" s="64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</row>
    <row r="320" customFormat="false" ht="15.75" hidden="false" customHeight="true" outlineLevel="0" collapsed="false">
      <c r="A320" s="64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</row>
    <row r="321" customFormat="false" ht="15.75" hidden="false" customHeight="true" outlineLevel="0" collapsed="false">
      <c r="A321" s="64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</row>
    <row r="322" customFormat="false" ht="15.75" hidden="false" customHeight="true" outlineLevel="0" collapsed="false">
      <c r="A322" s="64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</row>
    <row r="323" customFormat="false" ht="15.75" hidden="false" customHeight="true" outlineLevel="0" collapsed="false">
      <c r="A323" s="64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</row>
    <row r="324" customFormat="false" ht="15.75" hidden="false" customHeight="true" outlineLevel="0" collapsed="false">
      <c r="A324" s="64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</row>
    <row r="325" customFormat="false" ht="15.75" hidden="false" customHeight="true" outlineLevel="0" collapsed="false">
      <c r="A325" s="64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</row>
    <row r="326" customFormat="false" ht="15.75" hidden="false" customHeight="true" outlineLevel="0" collapsed="false">
      <c r="A326" s="64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</row>
    <row r="327" customFormat="false" ht="15.75" hidden="false" customHeight="true" outlineLevel="0" collapsed="false">
      <c r="A327" s="64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</row>
    <row r="328" customFormat="false" ht="15.75" hidden="false" customHeight="true" outlineLevel="0" collapsed="false">
      <c r="A328" s="64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</row>
    <row r="329" customFormat="false" ht="15.75" hidden="false" customHeight="true" outlineLevel="0" collapsed="false">
      <c r="A329" s="64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</row>
    <row r="330" customFormat="false" ht="15.75" hidden="false" customHeight="true" outlineLevel="0" collapsed="false">
      <c r="A330" s="64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</row>
    <row r="331" customFormat="false" ht="15.75" hidden="false" customHeight="true" outlineLevel="0" collapsed="false">
      <c r="A331" s="64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</row>
    <row r="332" customFormat="false" ht="15.75" hidden="false" customHeight="true" outlineLevel="0" collapsed="false">
      <c r="A332" s="64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</row>
    <row r="333" customFormat="false" ht="15.75" hidden="false" customHeight="true" outlineLevel="0" collapsed="false">
      <c r="A333" s="64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</row>
    <row r="334" customFormat="false" ht="15.75" hidden="false" customHeight="true" outlineLevel="0" collapsed="false">
      <c r="A334" s="64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</row>
    <row r="335" customFormat="false" ht="15.75" hidden="false" customHeight="true" outlineLevel="0" collapsed="false">
      <c r="A335" s="64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</row>
    <row r="336" customFormat="false" ht="15.75" hidden="false" customHeight="true" outlineLevel="0" collapsed="false">
      <c r="A336" s="64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</row>
    <row r="337" customFormat="false" ht="15.75" hidden="false" customHeight="true" outlineLevel="0" collapsed="false">
      <c r="A337" s="64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</row>
    <row r="338" customFormat="false" ht="15.75" hidden="false" customHeight="true" outlineLevel="0" collapsed="false">
      <c r="A338" s="64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</row>
    <row r="339" customFormat="false" ht="15.75" hidden="false" customHeight="true" outlineLevel="0" collapsed="false">
      <c r="A339" s="64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</row>
    <row r="340" customFormat="false" ht="15.75" hidden="false" customHeight="true" outlineLevel="0" collapsed="false">
      <c r="A340" s="64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</row>
    <row r="341" customFormat="false" ht="15.75" hidden="false" customHeight="true" outlineLevel="0" collapsed="false">
      <c r="A341" s="64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</row>
    <row r="342" customFormat="false" ht="15.75" hidden="false" customHeight="true" outlineLevel="0" collapsed="false">
      <c r="A342" s="64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</row>
    <row r="343" customFormat="false" ht="15.75" hidden="false" customHeight="true" outlineLevel="0" collapsed="false">
      <c r="A343" s="64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</row>
    <row r="344" customFormat="false" ht="15.75" hidden="false" customHeight="true" outlineLevel="0" collapsed="false">
      <c r="A344" s="64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</row>
    <row r="345" customFormat="false" ht="15.75" hidden="false" customHeight="true" outlineLevel="0" collapsed="false">
      <c r="A345" s="64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</row>
    <row r="346" customFormat="false" ht="15.75" hidden="false" customHeight="true" outlineLevel="0" collapsed="false">
      <c r="A346" s="64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</row>
    <row r="347" customFormat="false" ht="15.75" hidden="false" customHeight="true" outlineLevel="0" collapsed="false">
      <c r="A347" s="64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</row>
    <row r="348" customFormat="false" ht="15.75" hidden="false" customHeight="true" outlineLevel="0" collapsed="false">
      <c r="A348" s="64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</row>
    <row r="349" customFormat="false" ht="15.75" hidden="false" customHeight="true" outlineLevel="0" collapsed="false">
      <c r="A349" s="64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</row>
    <row r="350" customFormat="false" ht="15.75" hidden="false" customHeight="true" outlineLevel="0" collapsed="false">
      <c r="A350" s="64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</row>
    <row r="351" customFormat="false" ht="15.75" hidden="false" customHeight="true" outlineLevel="0" collapsed="false">
      <c r="A351" s="64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</row>
    <row r="352" customFormat="false" ht="15.75" hidden="false" customHeight="true" outlineLevel="0" collapsed="false">
      <c r="A352" s="64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</row>
    <row r="353" customFormat="false" ht="15.75" hidden="false" customHeight="true" outlineLevel="0" collapsed="false">
      <c r="A353" s="64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</row>
    <row r="354" customFormat="false" ht="15.75" hidden="false" customHeight="true" outlineLevel="0" collapsed="false">
      <c r="A354" s="64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</row>
    <row r="355" customFormat="false" ht="15.75" hidden="false" customHeight="true" outlineLevel="0" collapsed="false">
      <c r="A355" s="64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</row>
    <row r="356" customFormat="false" ht="15.75" hidden="false" customHeight="true" outlineLevel="0" collapsed="false">
      <c r="A356" s="64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</row>
    <row r="357" customFormat="false" ht="15.75" hidden="false" customHeight="true" outlineLevel="0" collapsed="false">
      <c r="A357" s="64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</row>
    <row r="358" customFormat="false" ht="15.75" hidden="false" customHeight="true" outlineLevel="0" collapsed="false">
      <c r="A358" s="64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</row>
    <row r="359" customFormat="false" ht="15.75" hidden="false" customHeight="true" outlineLevel="0" collapsed="false">
      <c r="A359" s="64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</row>
    <row r="360" customFormat="false" ht="15.75" hidden="false" customHeight="true" outlineLevel="0" collapsed="false">
      <c r="A360" s="64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</row>
    <row r="361" customFormat="false" ht="15.75" hidden="false" customHeight="true" outlineLevel="0" collapsed="false">
      <c r="A361" s="64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</row>
    <row r="362" customFormat="false" ht="15.75" hidden="false" customHeight="true" outlineLevel="0" collapsed="false">
      <c r="A362" s="64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</row>
    <row r="363" customFormat="false" ht="15.75" hidden="false" customHeight="true" outlineLevel="0" collapsed="false">
      <c r="A363" s="64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</row>
    <row r="364" customFormat="false" ht="15.75" hidden="false" customHeight="true" outlineLevel="0" collapsed="false">
      <c r="A364" s="64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</row>
    <row r="365" customFormat="false" ht="15.75" hidden="false" customHeight="true" outlineLevel="0" collapsed="false">
      <c r="A365" s="64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</row>
    <row r="366" customFormat="false" ht="15.75" hidden="false" customHeight="true" outlineLevel="0" collapsed="false">
      <c r="A366" s="64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</row>
    <row r="367" customFormat="false" ht="15.75" hidden="false" customHeight="true" outlineLevel="0" collapsed="false">
      <c r="A367" s="64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</row>
    <row r="368" customFormat="false" ht="15.75" hidden="false" customHeight="true" outlineLevel="0" collapsed="false">
      <c r="A368" s="64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</row>
    <row r="369" customFormat="false" ht="15.75" hidden="false" customHeight="true" outlineLevel="0" collapsed="false">
      <c r="A369" s="64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</row>
    <row r="370" customFormat="false" ht="15.75" hidden="false" customHeight="true" outlineLevel="0" collapsed="false">
      <c r="A370" s="64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</row>
    <row r="371" customFormat="false" ht="15.75" hidden="false" customHeight="true" outlineLevel="0" collapsed="false">
      <c r="A371" s="64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</row>
    <row r="372" customFormat="false" ht="15.75" hidden="false" customHeight="true" outlineLevel="0" collapsed="false">
      <c r="A372" s="64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</row>
    <row r="373" customFormat="false" ht="15.75" hidden="false" customHeight="true" outlineLevel="0" collapsed="false">
      <c r="A373" s="64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</row>
    <row r="374" customFormat="false" ht="15.75" hidden="false" customHeight="true" outlineLevel="0" collapsed="false">
      <c r="A374" s="64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</row>
    <row r="375" customFormat="false" ht="15.75" hidden="false" customHeight="true" outlineLevel="0" collapsed="false">
      <c r="A375" s="64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</row>
    <row r="376" customFormat="false" ht="15.75" hidden="false" customHeight="true" outlineLevel="0" collapsed="false">
      <c r="A376" s="64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</row>
    <row r="377" customFormat="false" ht="15.75" hidden="false" customHeight="true" outlineLevel="0" collapsed="false">
      <c r="A377" s="64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</row>
    <row r="378" customFormat="false" ht="15.75" hidden="false" customHeight="true" outlineLevel="0" collapsed="false">
      <c r="A378" s="64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</row>
    <row r="379" customFormat="false" ht="15.75" hidden="false" customHeight="true" outlineLevel="0" collapsed="false">
      <c r="A379" s="64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</row>
    <row r="380" customFormat="false" ht="15.75" hidden="false" customHeight="true" outlineLevel="0" collapsed="false">
      <c r="A380" s="64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</row>
    <row r="381" customFormat="false" ht="15.75" hidden="false" customHeight="true" outlineLevel="0" collapsed="false">
      <c r="A381" s="64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</row>
    <row r="382" customFormat="false" ht="15.75" hidden="false" customHeight="true" outlineLevel="0" collapsed="false">
      <c r="A382" s="64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</row>
    <row r="383" customFormat="false" ht="15.75" hidden="false" customHeight="true" outlineLevel="0" collapsed="false">
      <c r="A383" s="64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</row>
    <row r="384" customFormat="false" ht="15.75" hidden="false" customHeight="true" outlineLevel="0" collapsed="false">
      <c r="A384" s="64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</row>
    <row r="385" customFormat="false" ht="15.75" hidden="false" customHeight="true" outlineLevel="0" collapsed="false">
      <c r="A385" s="64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</row>
    <row r="386" customFormat="false" ht="15.75" hidden="false" customHeight="true" outlineLevel="0" collapsed="false">
      <c r="A386" s="64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</row>
    <row r="387" customFormat="false" ht="15.75" hidden="false" customHeight="true" outlineLevel="0" collapsed="false">
      <c r="A387" s="64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</row>
    <row r="388" customFormat="false" ht="15.75" hidden="false" customHeight="true" outlineLevel="0" collapsed="false">
      <c r="A388" s="64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</row>
    <row r="389" customFormat="false" ht="15.75" hidden="false" customHeight="true" outlineLevel="0" collapsed="false">
      <c r="A389" s="64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</row>
    <row r="390" customFormat="false" ht="15.75" hidden="false" customHeight="true" outlineLevel="0" collapsed="false">
      <c r="A390" s="64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</row>
    <row r="391" customFormat="false" ht="15.75" hidden="false" customHeight="true" outlineLevel="0" collapsed="false">
      <c r="A391" s="64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</row>
    <row r="392" customFormat="false" ht="15.75" hidden="false" customHeight="true" outlineLevel="0" collapsed="false">
      <c r="A392" s="64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</row>
    <row r="393" customFormat="false" ht="15.75" hidden="false" customHeight="true" outlineLevel="0" collapsed="false">
      <c r="A393" s="64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</row>
    <row r="394" customFormat="false" ht="15.75" hidden="false" customHeight="true" outlineLevel="0" collapsed="false">
      <c r="A394" s="64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</row>
    <row r="395" customFormat="false" ht="15.75" hidden="false" customHeight="true" outlineLevel="0" collapsed="false">
      <c r="A395" s="64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</row>
    <row r="396" customFormat="false" ht="15.75" hidden="false" customHeight="true" outlineLevel="0" collapsed="false">
      <c r="A396" s="64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</row>
    <row r="397" customFormat="false" ht="15.75" hidden="false" customHeight="true" outlineLevel="0" collapsed="false">
      <c r="A397" s="64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</row>
    <row r="398" customFormat="false" ht="15.75" hidden="false" customHeight="true" outlineLevel="0" collapsed="false">
      <c r="A398" s="64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</row>
    <row r="399" customFormat="false" ht="15.75" hidden="false" customHeight="true" outlineLevel="0" collapsed="false">
      <c r="A399" s="64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</row>
    <row r="400" customFormat="false" ht="15.75" hidden="false" customHeight="true" outlineLevel="0" collapsed="false">
      <c r="A400" s="64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</row>
    <row r="401" customFormat="false" ht="15.75" hidden="false" customHeight="true" outlineLevel="0" collapsed="false">
      <c r="A401" s="64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</row>
    <row r="402" customFormat="false" ht="15.75" hidden="false" customHeight="true" outlineLevel="0" collapsed="false">
      <c r="A402" s="64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</row>
    <row r="403" customFormat="false" ht="15.75" hidden="false" customHeight="true" outlineLevel="0" collapsed="false">
      <c r="A403" s="64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</row>
    <row r="404" customFormat="false" ht="15.75" hidden="false" customHeight="true" outlineLevel="0" collapsed="false">
      <c r="A404" s="64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</row>
    <row r="405" customFormat="false" ht="15.75" hidden="false" customHeight="true" outlineLevel="0" collapsed="false">
      <c r="A405" s="64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</row>
    <row r="406" customFormat="false" ht="15.75" hidden="false" customHeight="true" outlineLevel="0" collapsed="false">
      <c r="A406" s="64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</row>
    <row r="407" customFormat="false" ht="15.75" hidden="false" customHeight="true" outlineLevel="0" collapsed="false">
      <c r="A407" s="64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</row>
    <row r="408" customFormat="false" ht="15.75" hidden="false" customHeight="true" outlineLevel="0" collapsed="false">
      <c r="A408" s="64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</row>
    <row r="409" customFormat="false" ht="15.75" hidden="false" customHeight="true" outlineLevel="0" collapsed="false">
      <c r="A409" s="64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</row>
    <row r="410" customFormat="false" ht="15.75" hidden="false" customHeight="true" outlineLevel="0" collapsed="false">
      <c r="A410" s="64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</row>
    <row r="411" customFormat="false" ht="15.75" hidden="false" customHeight="true" outlineLevel="0" collapsed="false">
      <c r="A411" s="64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</row>
    <row r="412" customFormat="false" ht="15.75" hidden="false" customHeight="true" outlineLevel="0" collapsed="false">
      <c r="A412" s="64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</row>
    <row r="413" customFormat="false" ht="15.75" hidden="false" customHeight="true" outlineLevel="0" collapsed="false">
      <c r="A413" s="64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</row>
    <row r="414" customFormat="false" ht="15.75" hidden="false" customHeight="true" outlineLevel="0" collapsed="false">
      <c r="A414" s="64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</row>
    <row r="415" customFormat="false" ht="15.75" hidden="false" customHeight="true" outlineLevel="0" collapsed="false">
      <c r="A415" s="64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</row>
    <row r="416" customFormat="false" ht="15.75" hidden="false" customHeight="true" outlineLevel="0" collapsed="false">
      <c r="A416" s="64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</row>
    <row r="417" customFormat="false" ht="15.75" hidden="false" customHeight="true" outlineLevel="0" collapsed="false">
      <c r="A417" s="64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</row>
    <row r="418" customFormat="false" ht="15.75" hidden="false" customHeight="true" outlineLevel="0" collapsed="false">
      <c r="A418" s="64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</row>
    <row r="419" customFormat="false" ht="15.75" hidden="false" customHeight="true" outlineLevel="0" collapsed="false">
      <c r="A419" s="64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</row>
    <row r="420" customFormat="false" ht="15.75" hidden="false" customHeight="true" outlineLevel="0" collapsed="false">
      <c r="A420" s="64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</row>
    <row r="421" customFormat="false" ht="15.75" hidden="false" customHeight="true" outlineLevel="0" collapsed="false">
      <c r="A421" s="64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</row>
    <row r="422" customFormat="false" ht="15.75" hidden="false" customHeight="true" outlineLevel="0" collapsed="false">
      <c r="A422" s="64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</row>
    <row r="423" customFormat="false" ht="15.75" hidden="false" customHeight="true" outlineLevel="0" collapsed="false">
      <c r="A423" s="64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</row>
    <row r="424" customFormat="false" ht="15.75" hidden="false" customHeight="true" outlineLevel="0" collapsed="false">
      <c r="A424" s="64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</row>
    <row r="425" customFormat="false" ht="15.75" hidden="false" customHeight="true" outlineLevel="0" collapsed="false">
      <c r="A425" s="64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</row>
    <row r="426" customFormat="false" ht="15.75" hidden="false" customHeight="true" outlineLevel="0" collapsed="false">
      <c r="A426" s="64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</row>
    <row r="427" customFormat="false" ht="15.75" hidden="false" customHeight="true" outlineLevel="0" collapsed="false">
      <c r="A427" s="64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</row>
    <row r="428" customFormat="false" ht="15.75" hidden="false" customHeight="true" outlineLevel="0" collapsed="false">
      <c r="A428" s="64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</row>
    <row r="429" customFormat="false" ht="15.75" hidden="false" customHeight="true" outlineLevel="0" collapsed="false">
      <c r="A429" s="64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</row>
    <row r="430" customFormat="false" ht="15.75" hidden="false" customHeight="true" outlineLevel="0" collapsed="false">
      <c r="A430" s="64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</row>
    <row r="431" customFormat="false" ht="15.75" hidden="false" customHeight="true" outlineLevel="0" collapsed="false">
      <c r="A431" s="64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</row>
    <row r="432" customFormat="false" ht="15.75" hidden="false" customHeight="true" outlineLevel="0" collapsed="false">
      <c r="A432" s="64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</row>
    <row r="433" customFormat="false" ht="15.75" hidden="false" customHeight="true" outlineLevel="0" collapsed="false">
      <c r="A433" s="64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</row>
    <row r="434" customFormat="false" ht="15.75" hidden="false" customHeight="true" outlineLevel="0" collapsed="false">
      <c r="A434" s="64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</row>
    <row r="435" customFormat="false" ht="15.75" hidden="false" customHeight="true" outlineLevel="0" collapsed="false">
      <c r="A435" s="64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</row>
    <row r="436" customFormat="false" ht="15.75" hidden="false" customHeight="true" outlineLevel="0" collapsed="false">
      <c r="A436" s="64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</row>
    <row r="437" customFormat="false" ht="15.75" hidden="false" customHeight="true" outlineLevel="0" collapsed="false">
      <c r="A437" s="64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</row>
    <row r="438" customFormat="false" ht="15.75" hidden="false" customHeight="true" outlineLevel="0" collapsed="false">
      <c r="A438" s="64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</row>
    <row r="439" customFormat="false" ht="15.75" hidden="false" customHeight="true" outlineLevel="0" collapsed="false">
      <c r="A439" s="64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</row>
    <row r="440" customFormat="false" ht="15.75" hidden="false" customHeight="true" outlineLevel="0" collapsed="false">
      <c r="A440" s="64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</row>
    <row r="441" customFormat="false" ht="15.75" hidden="false" customHeight="true" outlineLevel="0" collapsed="false">
      <c r="A441" s="64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</row>
    <row r="442" customFormat="false" ht="15.75" hidden="false" customHeight="true" outlineLevel="0" collapsed="false">
      <c r="A442" s="64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</row>
    <row r="443" customFormat="false" ht="15.75" hidden="false" customHeight="true" outlineLevel="0" collapsed="false">
      <c r="A443" s="64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</row>
    <row r="444" customFormat="false" ht="15.75" hidden="false" customHeight="true" outlineLevel="0" collapsed="false">
      <c r="A444" s="64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</row>
    <row r="445" customFormat="false" ht="15.75" hidden="false" customHeight="true" outlineLevel="0" collapsed="false">
      <c r="A445" s="64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</row>
    <row r="446" customFormat="false" ht="15.75" hidden="false" customHeight="true" outlineLevel="0" collapsed="false">
      <c r="A446" s="64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</row>
    <row r="447" customFormat="false" ht="15.75" hidden="false" customHeight="true" outlineLevel="0" collapsed="false">
      <c r="A447" s="64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</row>
    <row r="448" customFormat="false" ht="15.75" hidden="false" customHeight="true" outlineLevel="0" collapsed="false">
      <c r="A448" s="64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</row>
    <row r="449" customFormat="false" ht="15.75" hidden="false" customHeight="true" outlineLevel="0" collapsed="false">
      <c r="A449" s="64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</row>
    <row r="450" customFormat="false" ht="15.75" hidden="false" customHeight="true" outlineLevel="0" collapsed="false">
      <c r="A450" s="64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</row>
    <row r="451" customFormat="false" ht="15.75" hidden="false" customHeight="true" outlineLevel="0" collapsed="false">
      <c r="A451" s="64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</row>
    <row r="452" customFormat="false" ht="15.75" hidden="false" customHeight="true" outlineLevel="0" collapsed="false">
      <c r="A452" s="64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</row>
    <row r="453" customFormat="false" ht="15.75" hidden="false" customHeight="true" outlineLevel="0" collapsed="false">
      <c r="A453" s="64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</row>
    <row r="454" customFormat="false" ht="15.75" hidden="false" customHeight="true" outlineLevel="0" collapsed="false">
      <c r="A454" s="64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</row>
    <row r="455" customFormat="false" ht="15.75" hidden="false" customHeight="true" outlineLevel="0" collapsed="false">
      <c r="A455" s="64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</row>
    <row r="456" customFormat="false" ht="15.75" hidden="false" customHeight="true" outlineLevel="0" collapsed="false">
      <c r="A456" s="64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</row>
    <row r="457" customFormat="false" ht="15.75" hidden="false" customHeight="true" outlineLevel="0" collapsed="false">
      <c r="A457" s="64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</row>
    <row r="458" customFormat="false" ht="15.75" hidden="false" customHeight="true" outlineLevel="0" collapsed="false">
      <c r="A458" s="64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</row>
    <row r="459" customFormat="false" ht="15.75" hidden="false" customHeight="true" outlineLevel="0" collapsed="false">
      <c r="A459" s="64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</row>
    <row r="460" customFormat="false" ht="15.75" hidden="false" customHeight="true" outlineLevel="0" collapsed="false">
      <c r="A460" s="64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</row>
    <row r="461" customFormat="false" ht="15.75" hidden="false" customHeight="true" outlineLevel="0" collapsed="false">
      <c r="A461" s="64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</row>
    <row r="462" customFormat="false" ht="15.75" hidden="false" customHeight="true" outlineLevel="0" collapsed="false">
      <c r="A462" s="64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</row>
    <row r="463" customFormat="false" ht="15.75" hidden="false" customHeight="true" outlineLevel="0" collapsed="false">
      <c r="A463" s="64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</row>
    <row r="464" customFormat="false" ht="15.75" hidden="false" customHeight="true" outlineLevel="0" collapsed="false">
      <c r="A464" s="64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</row>
    <row r="465" customFormat="false" ht="15.75" hidden="false" customHeight="true" outlineLevel="0" collapsed="false">
      <c r="A465" s="64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</row>
    <row r="466" customFormat="false" ht="15.75" hidden="false" customHeight="true" outlineLevel="0" collapsed="false">
      <c r="A466" s="64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</row>
    <row r="467" customFormat="false" ht="15.75" hidden="false" customHeight="true" outlineLevel="0" collapsed="false">
      <c r="A467" s="64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</row>
    <row r="468" customFormat="false" ht="15.75" hidden="false" customHeight="true" outlineLevel="0" collapsed="false">
      <c r="A468" s="64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</row>
    <row r="469" customFormat="false" ht="15.75" hidden="false" customHeight="true" outlineLevel="0" collapsed="false">
      <c r="A469" s="64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</row>
    <row r="470" customFormat="false" ht="15.75" hidden="false" customHeight="true" outlineLevel="0" collapsed="false">
      <c r="A470" s="64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</row>
    <row r="471" customFormat="false" ht="15.75" hidden="false" customHeight="true" outlineLevel="0" collapsed="false">
      <c r="A471" s="64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</row>
    <row r="472" customFormat="false" ht="15.75" hidden="false" customHeight="true" outlineLevel="0" collapsed="false">
      <c r="A472" s="64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</row>
    <row r="473" customFormat="false" ht="15.75" hidden="false" customHeight="true" outlineLevel="0" collapsed="false">
      <c r="A473" s="64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</row>
    <row r="474" customFormat="false" ht="15.75" hidden="false" customHeight="true" outlineLevel="0" collapsed="false">
      <c r="A474" s="64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</row>
    <row r="475" customFormat="false" ht="15.75" hidden="false" customHeight="true" outlineLevel="0" collapsed="false">
      <c r="A475" s="64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</row>
    <row r="476" customFormat="false" ht="15.75" hidden="false" customHeight="true" outlineLevel="0" collapsed="false">
      <c r="A476" s="64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</row>
    <row r="477" customFormat="false" ht="15.75" hidden="false" customHeight="true" outlineLevel="0" collapsed="false">
      <c r="A477" s="64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</row>
    <row r="478" customFormat="false" ht="15.75" hidden="false" customHeight="true" outlineLevel="0" collapsed="false">
      <c r="A478" s="64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</row>
    <row r="479" customFormat="false" ht="15.75" hidden="false" customHeight="true" outlineLevel="0" collapsed="false">
      <c r="A479" s="64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</row>
    <row r="480" customFormat="false" ht="15.75" hidden="false" customHeight="true" outlineLevel="0" collapsed="false">
      <c r="A480" s="64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</row>
    <row r="481" customFormat="false" ht="15.75" hidden="false" customHeight="true" outlineLevel="0" collapsed="false">
      <c r="A481" s="64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</row>
    <row r="482" customFormat="false" ht="15.75" hidden="false" customHeight="true" outlineLevel="0" collapsed="false">
      <c r="A482" s="64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</row>
    <row r="483" customFormat="false" ht="15.75" hidden="false" customHeight="true" outlineLevel="0" collapsed="false">
      <c r="A483" s="64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</row>
    <row r="484" customFormat="false" ht="15.75" hidden="false" customHeight="true" outlineLevel="0" collapsed="false">
      <c r="A484" s="64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</row>
    <row r="485" customFormat="false" ht="15.75" hidden="false" customHeight="true" outlineLevel="0" collapsed="false">
      <c r="A485" s="64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</row>
    <row r="486" customFormat="false" ht="15.75" hidden="false" customHeight="true" outlineLevel="0" collapsed="false">
      <c r="A486" s="64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</row>
    <row r="487" customFormat="false" ht="15.75" hidden="false" customHeight="true" outlineLevel="0" collapsed="false">
      <c r="A487" s="64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</row>
    <row r="488" customFormat="false" ht="15.75" hidden="false" customHeight="true" outlineLevel="0" collapsed="false">
      <c r="A488" s="64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</row>
    <row r="489" customFormat="false" ht="15.75" hidden="false" customHeight="true" outlineLevel="0" collapsed="false">
      <c r="A489" s="64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</row>
    <row r="490" customFormat="false" ht="15.75" hidden="false" customHeight="true" outlineLevel="0" collapsed="false">
      <c r="A490" s="64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</row>
    <row r="491" customFormat="false" ht="15.75" hidden="false" customHeight="true" outlineLevel="0" collapsed="false">
      <c r="A491" s="64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</row>
    <row r="492" customFormat="false" ht="15.75" hidden="false" customHeight="true" outlineLevel="0" collapsed="false">
      <c r="A492" s="64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</row>
    <row r="493" customFormat="false" ht="15.75" hidden="false" customHeight="true" outlineLevel="0" collapsed="false">
      <c r="A493" s="64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</row>
    <row r="494" customFormat="false" ht="15.75" hidden="false" customHeight="true" outlineLevel="0" collapsed="false">
      <c r="A494" s="64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</row>
    <row r="495" customFormat="false" ht="15.75" hidden="false" customHeight="true" outlineLevel="0" collapsed="false">
      <c r="A495" s="64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</row>
    <row r="496" customFormat="false" ht="15.75" hidden="false" customHeight="true" outlineLevel="0" collapsed="false">
      <c r="A496" s="64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</row>
    <row r="497" customFormat="false" ht="15.75" hidden="false" customHeight="true" outlineLevel="0" collapsed="false">
      <c r="A497" s="64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</row>
    <row r="498" customFormat="false" ht="15.75" hidden="false" customHeight="true" outlineLevel="0" collapsed="false">
      <c r="A498" s="64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</row>
    <row r="499" customFormat="false" ht="15.75" hidden="false" customHeight="true" outlineLevel="0" collapsed="false">
      <c r="A499" s="64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</row>
    <row r="500" customFormat="false" ht="15.75" hidden="false" customHeight="true" outlineLevel="0" collapsed="false">
      <c r="A500" s="64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</row>
    <row r="501" customFormat="false" ht="15.75" hidden="false" customHeight="true" outlineLevel="0" collapsed="false">
      <c r="A501" s="64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</row>
    <row r="502" customFormat="false" ht="15.75" hidden="false" customHeight="true" outlineLevel="0" collapsed="false">
      <c r="A502" s="64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</row>
    <row r="503" customFormat="false" ht="15.75" hidden="false" customHeight="true" outlineLevel="0" collapsed="false">
      <c r="A503" s="64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</row>
    <row r="504" customFormat="false" ht="15.75" hidden="false" customHeight="true" outlineLevel="0" collapsed="false">
      <c r="A504" s="64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</row>
    <row r="505" customFormat="false" ht="15.75" hidden="false" customHeight="true" outlineLevel="0" collapsed="false">
      <c r="A505" s="64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</row>
    <row r="506" customFormat="false" ht="15.75" hidden="false" customHeight="true" outlineLevel="0" collapsed="false">
      <c r="A506" s="64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</row>
    <row r="507" customFormat="false" ht="15.75" hidden="false" customHeight="true" outlineLevel="0" collapsed="false">
      <c r="A507" s="64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</row>
    <row r="508" customFormat="false" ht="15.75" hidden="false" customHeight="true" outlineLevel="0" collapsed="false">
      <c r="A508" s="64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</row>
    <row r="509" customFormat="false" ht="15.75" hidden="false" customHeight="true" outlineLevel="0" collapsed="false">
      <c r="A509" s="64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</row>
    <row r="510" customFormat="false" ht="15.75" hidden="false" customHeight="true" outlineLevel="0" collapsed="false">
      <c r="A510" s="64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</row>
    <row r="511" customFormat="false" ht="15.75" hidden="false" customHeight="true" outlineLevel="0" collapsed="false">
      <c r="A511" s="64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</row>
    <row r="512" customFormat="false" ht="15.75" hidden="false" customHeight="true" outlineLevel="0" collapsed="false">
      <c r="A512" s="64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</row>
    <row r="513" customFormat="false" ht="15.75" hidden="false" customHeight="true" outlineLevel="0" collapsed="false">
      <c r="A513" s="64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</row>
    <row r="514" customFormat="false" ht="15.75" hidden="false" customHeight="true" outlineLevel="0" collapsed="false">
      <c r="A514" s="64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</row>
    <row r="515" customFormat="false" ht="15.75" hidden="false" customHeight="true" outlineLevel="0" collapsed="false">
      <c r="A515" s="64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</row>
    <row r="516" customFormat="false" ht="15.75" hidden="false" customHeight="true" outlineLevel="0" collapsed="false">
      <c r="A516" s="64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</row>
    <row r="517" customFormat="false" ht="15.75" hidden="false" customHeight="true" outlineLevel="0" collapsed="false">
      <c r="A517" s="64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</row>
    <row r="518" customFormat="false" ht="15.75" hidden="false" customHeight="true" outlineLevel="0" collapsed="false">
      <c r="A518" s="64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</row>
    <row r="519" customFormat="false" ht="15.75" hidden="false" customHeight="true" outlineLevel="0" collapsed="false">
      <c r="A519" s="64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</row>
    <row r="520" customFormat="false" ht="15.75" hidden="false" customHeight="true" outlineLevel="0" collapsed="false">
      <c r="A520" s="64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</row>
    <row r="521" customFormat="false" ht="15.75" hidden="false" customHeight="true" outlineLevel="0" collapsed="false">
      <c r="A521" s="64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</row>
    <row r="522" customFormat="false" ht="15.75" hidden="false" customHeight="true" outlineLevel="0" collapsed="false">
      <c r="A522" s="64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</row>
    <row r="523" customFormat="false" ht="15.75" hidden="false" customHeight="true" outlineLevel="0" collapsed="false">
      <c r="A523" s="64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</row>
    <row r="524" customFormat="false" ht="15.75" hidden="false" customHeight="true" outlineLevel="0" collapsed="false">
      <c r="A524" s="64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</row>
    <row r="525" customFormat="false" ht="15.75" hidden="false" customHeight="true" outlineLevel="0" collapsed="false">
      <c r="A525" s="64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</row>
    <row r="526" customFormat="false" ht="15.75" hidden="false" customHeight="true" outlineLevel="0" collapsed="false">
      <c r="A526" s="64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</row>
    <row r="527" customFormat="false" ht="15.75" hidden="false" customHeight="true" outlineLevel="0" collapsed="false">
      <c r="A527" s="64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</row>
    <row r="528" customFormat="false" ht="15.75" hidden="false" customHeight="true" outlineLevel="0" collapsed="false">
      <c r="A528" s="64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</row>
    <row r="529" customFormat="false" ht="15.75" hidden="false" customHeight="true" outlineLevel="0" collapsed="false">
      <c r="A529" s="64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</row>
    <row r="530" customFormat="false" ht="15.75" hidden="false" customHeight="true" outlineLevel="0" collapsed="false">
      <c r="A530" s="64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</row>
    <row r="531" customFormat="false" ht="15.75" hidden="false" customHeight="true" outlineLevel="0" collapsed="false">
      <c r="A531" s="64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</row>
    <row r="532" customFormat="false" ht="15.75" hidden="false" customHeight="true" outlineLevel="0" collapsed="false">
      <c r="A532" s="64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</row>
    <row r="533" customFormat="false" ht="15.75" hidden="false" customHeight="true" outlineLevel="0" collapsed="false">
      <c r="A533" s="64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</row>
    <row r="534" customFormat="false" ht="15.75" hidden="false" customHeight="true" outlineLevel="0" collapsed="false">
      <c r="A534" s="64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</row>
    <row r="535" customFormat="false" ht="15.75" hidden="false" customHeight="true" outlineLevel="0" collapsed="false">
      <c r="A535" s="64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</row>
    <row r="536" customFormat="false" ht="15.75" hidden="false" customHeight="true" outlineLevel="0" collapsed="false">
      <c r="A536" s="64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</row>
    <row r="537" customFormat="false" ht="15.75" hidden="false" customHeight="true" outlineLevel="0" collapsed="false">
      <c r="A537" s="64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</row>
    <row r="538" customFormat="false" ht="15.75" hidden="false" customHeight="true" outlineLevel="0" collapsed="false">
      <c r="A538" s="64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</row>
    <row r="539" customFormat="false" ht="15.75" hidden="false" customHeight="true" outlineLevel="0" collapsed="false">
      <c r="A539" s="64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</row>
    <row r="540" customFormat="false" ht="15.75" hidden="false" customHeight="true" outlineLevel="0" collapsed="false">
      <c r="A540" s="64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</row>
    <row r="541" customFormat="false" ht="15.75" hidden="false" customHeight="true" outlineLevel="0" collapsed="false">
      <c r="A541" s="64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</row>
    <row r="542" customFormat="false" ht="15.75" hidden="false" customHeight="true" outlineLevel="0" collapsed="false">
      <c r="A542" s="64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</row>
    <row r="543" customFormat="false" ht="15.75" hidden="false" customHeight="true" outlineLevel="0" collapsed="false">
      <c r="A543" s="64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</row>
    <row r="544" customFormat="false" ht="15.75" hidden="false" customHeight="true" outlineLevel="0" collapsed="false">
      <c r="A544" s="64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</row>
    <row r="545" customFormat="false" ht="15.75" hidden="false" customHeight="true" outlineLevel="0" collapsed="false">
      <c r="A545" s="64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</row>
    <row r="546" customFormat="false" ht="15.75" hidden="false" customHeight="true" outlineLevel="0" collapsed="false">
      <c r="A546" s="64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</row>
    <row r="547" customFormat="false" ht="15.75" hidden="false" customHeight="true" outlineLevel="0" collapsed="false">
      <c r="A547" s="64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</row>
    <row r="548" customFormat="false" ht="15.75" hidden="false" customHeight="true" outlineLevel="0" collapsed="false">
      <c r="A548" s="64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</row>
    <row r="549" customFormat="false" ht="15.75" hidden="false" customHeight="true" outlineLevel="0" collapsed="false">
      <c r="A549" s="64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</row>
    <row r="550" customFormat="false" ht="15.75" hidden="false" customHeight="true" outlineLevel="0" collapsed="false">
      <c r="A550" s="64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</row>
    <row r="551" customFormat="false" ht="15.75" hidden="false" customHeight="true" outlineLevel="0" collapsed="false">
      <c r="A551" s="64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</row>
    <row r="552" customFormat="false" ht="15.75" hidden="false" customHeight="true" outlineLevel="0" collapsed="false">
      <c r="A552" s="64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</row>
    <row r="553" customFormat="false" ht="15.75" hidden="false" customHeight="true" outlineLevel="0" collapsed="false">
      <c r="A553" s="64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</row>
    <row r="554" customFormat="false" ht="15.75" hidden="false" customHeight="true" outlineLevel="0" collapsed="false">
      <c r="A554" s="64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</row>
    <row r="555" customFormat="false" ht="15.75" hidden="false" customHeight="true" outlineLevel="0" collapsed="false">
      <c r="A555" s="64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</row>
    <row r="556" customFormat="false" ht="15.75" hidden="false" customHeight="true" outlineLevel="0" collapsed="false">
      <c r="A556" s="64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</row>
    <row r="557" customFormat="false" ht="15.75" hidden="false" customHeight="true" outlineLevel="0" collapsed="false">
      <c r="A557" s="64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</row>
    <row r="558" customFormat="false" ht="15.75" hidden="false" customHeight="true" outlineLevel="0" collapsed="false">
      <c r="A558" s="64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</row>
    <row r="559" customFormat="false" ht="15.75" hidden="false" customHeight="true" outlineLevel="0" collapsed="false">
      <c r="A559" s="64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</row>
    <row r="560" customFormat="false" ht="15.75" hidden="false" customHeight="true" outlineLevel="0" collapsed="false">
      <c r="A560" s="64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</row>
    <row r="561" customFormat="false" ht="15.75" hidden="false" customHeight="true" outlineLevel="0" collapsed="false">
      <c r="A561" s="64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</row>
    <row r="562" customFormat="false" ht="15.75" hidden="false" customHeight="true" outlineLevel="0" collapsed="false">
      <c r="A562" s="64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</row>
    <row r="563" customFormat="false" ht="15.75" hidden="false" customHeight="true" outlineLevel="0" collapsed="false">
      <c r="A563" s="64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</row>
    <row r="564" customFormat="false" ht="15.75" hidden="false" customHeight="true" outlineLevel="0" collapsed="false">
      <c r="A564" s="64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</row>
    <row r="565" customFormat="false" ht="15.75" hidden="false" customHeight="true" outlineLevel="0" collapsed="false">
      <c r="A565" s="64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</row>
    <row r="566" customFormat="false" ht="15.75" hidden="false" customHeight="true" outlineLevel="0" collapsed="false">
      <c r="A566" s="64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</row>
    <row r="567" customFormat="false" ht="15.75" hidden="false" customHeight="true" outlineLevel="0" collapsed="false">
      <c r="A567" s="64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</row>
    <row r="568" customFormat="false" ht="15.75" hidden="false" customHeight="true" outlineLevel="0" collapsed="false">
      <c r="A568" s="64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</row>
    <row r="569" customFormat="false" ht="15.75" hidden="false" customHeight="true" outlineLevel="0" collapsed="false">
      <c r="A569" s="64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</row>
    <row r="570" customFormat="false" ht="15.75" hidden="false" customHeight="true" outlineLevel="0" collapsed="false">
      <c r="A570" s="64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</row>
    <row r="571" customFormat="false" ht="15.75" hidden="false" customHeight="true" outlineLevel="0" collapsed="false">
      <c r="A571" s="64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</row>
    <row r="572" customFormat="false" ht="15.75" hidden="false" customHeight="true" outlineLevel="0" collapsed="false">
      <c r="A572" s="64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</row>
    <row r="573" customFormat="false" ht="15.75" hidden="false" customHeight="true" outlineLevel="0" collapsed="false">
      <c r="A573" s="64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</row>
    <row r="574" customFormat="false" ht="15.75" hidden="false" customHeight="true" outlineLevel="0" collapsed="false">
      <c r="A574" s="64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</row>
    <row r="575" customFormat="false" ht="15.75" hidden="false" customHeight="true" outlineLevel="0" collapsed="false">
      <c r="A575" s="64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</row>
    <row r="576" customFormat="false" ht="15.75" hidden="false" customHeight="true" outlineLevel="0" collapsed="false">
      <c r="A576" s="64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</row>
    <row r="577" customFormat="false" ht="15.75" hidden="false" customHeight="true" outlineLevel="0" collapsed="false">
      <c r="A577" s="64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</row>
    <row r="578" customFormat="false" ht="15.75" hidden="false" customHeight="true" outlineLevel="0" collapsed="false">
      <c r="A578" s="64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</row>
    <row r="579" customFormat="false" ht="15.75" hidden="false" customHeight="true" outlineLevel="0" collapsed="false">
      <c r="A579" s="64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</row>
    <row r="580" customFormat="false" ht="15.75" hidden="false" customHeight="true" outlineLevel="0" collapsed="false">
      <c r="A580" s="64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</row>
    <row r="581" customFormat="false" ht="15.75" hidden="false" customHeight="true" outlineLevel="0" collapsed="false">
      <c r="A581" s="64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</row>
    <row r="582" customFormat="false" ht="15.75" hidden="false" customHeight="true" outlineLevel="0" collapsed="false">
      <c r="A582" s="64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</row>
    <row r="583" customFormat="false" ht="15.75" hidden="false" customHeight="true" outlineLevel="0" collapsed="false">
      <c r="A583" s="64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</row>
    <row r="584" customFormat="false" ht="15.75" hidden="false" customHeight="true" outlineLevel="0" collapsed="false">
      <c r="A584" s="64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</row>
    <row r="585" customFormat="false" ht="15.75" hidden="false" customHeight="true" outlineLevel="0" collapsed="false">
      <c r="A585" s="64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</row>
    <row r="586" customFormat="false" ht="15.75" hidden="false" customHeight="true" outlineLevel="0" collapsed="false">
      <c r="A586" s="64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</row>
    <row r="587" customFormat="false" ht="15.75" hidden="false" customHeight="true" outlineLevel="0" collapsed="false">
      <c r="A587" s="64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</row>
    <row r="588" customFormat="false" ht="15.75" hidden="false" customHeight="true" outlineLevel="0" collapsed="false">
      <c r="A588" s="64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</row>
    <row r="589" customFormat="false" ht="15.75" hidden="false" customHeight="true" outlineLevel="0" collapsed="false">
      <c r="A589" s="64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</row>
    <row r="590" customFormat="false" ht="15.75" hidden="false" customHeight="true" outlineLevel="0" collapsed="false">
      <c r="A590" s="64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</row>
    <row r="591" customFormat="false" ht="15.75" hidden="false" customHeight="true" outlineLevel="0" collapsed="false">
      <c r="A591" s="64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</row>
    <row r="592" customFormat="false" ht="15.75" hidden="false" customHeight="true" outlineLevel="0" collapsed="false">
      <c r="A592" s="64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</row>
    <row r="593" customFormat="false" ht="15.75" hidden="false" customHeight="true" outlineLevel="0" collapsed="false">
      <c r="A593" s="64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</row>
    <row r="594" customFormat="false" ht="15.75" hidden="false" customHeight="true" outlineLevel="0" collapsed="false">
      <c r="A594" s="64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</row>
    <row r="595" customFormat="false" ht="15.75" hidden="false" customHeight="true" outlineLevel="0" collapsed="false">
      <c r="A595" s="64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</row>
    <row r="596" customFormat="false" ht="15.75" hidden="false" customHeight="true" outlineLevel="0" collapsed="false">
      <c r="A596" s="64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</row>
    <row r="597" customFormat="false" ht="15.75" hidden="false" customHeight="true" outlineLevel="0" collapsed="false">
      <c r="A597" s="64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</row>
    <row r="598" customFormat="false" ht="15.75" hidden="false" customHeight="true" outlineLevel="0" collapsed="false">
      <c r="A598" s="64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</row>
    <row r="599" customFormat="false" ht="15.75" hidden="false" customHeight="true" outlineLevel="0" collapsed="false">
      <c r="A599" s="64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</row>
    <row r="600" customFormat="false" ht="15.75" hidden="false" customHeight="true" outlineLevel="0" collapsed="false">
      <c r="A600" s="64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</row>
    <row r="601" customFormat="false" ht="15.75" hidden="false" customHeight="true" outlineLevel="0" collapsed="false">
      <c r="A601" s="64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</row>
    <row r="602" customFormat="false" ht="15.75" hidden="false" customHeight="true" outlineLevel="0" collapsed="false">
      <c r="A602" s="64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</row>
    <row r="603" customFormat="false" ht="15.75" hidden="false" customHeight="true" outlineLevel="0" collapsed="false">
      <c r="A603" s="64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</row>
    <row r="604" customFormat="false" ht="15.75" hidden="false" customHeight="true" outlineLevel="0" collapsed="false">
      <c r="A604" s="64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</row>
    <row r="605" customFormat="false" ht="15.75" hidden="false" customHeight="true" outlineLevel="0" collapsed="false">
      <c r="A605" s="64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</row>
    <row r="606" customFormat="false" ht="15.75" hidden="false" customHeight="true" outlineLevel="0" collapsed="false">
      <c r="A606" s="64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</row>
    <row r="607" customFormat="false" ht="15.75" hidden="false" customHeight="true" outlineLevel="0" collapsed="false">
      <c r="A607" s="64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</row>
    <row r="608" customFormat="false" ht="15.75" hidden="false" customHeight="true" outlineLevel="0" collapsed="false">
      <c r="A608" s="64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</row>
    <row r="609" customFormat="false" ht="15.75" hidden="false" customHeight="true" outlineLevel="0" collapsed="false">
      <c r="A609" s="64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</row>
    <row r="610" customFormat="false" ht="15.75" hidden="false" customHeight="true" outlineLevel="0" collapsed="false">
      <c r="A610" s="64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</row>
    <row r="611" customFormat="false" ht="15.75" hidden="false" customHeight="true" outlineLevel="0" collapsed="false">
      <c r="A611" s="64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</row>
    <row r="612" customFormat="false" ht="15.75" hidden="false" customHeight="true" outlineLevel="0" collapsed="false">
      <c r="A612" s="64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</row>
    <row r="613" customFormat="false" ht="15.75" hidden="false" customHeight="true" outlineLevel="0" collapsed="false">
      <c r="A613" s="64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</row>
    <row r="614" customFormat="false" ht="15.75" hidden="false" customHeight="true" outlineLevel="0" collapsed="false">
      <c r="A614" s="64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</row>
    <row r="615" customFormat="false" ht="15.75" hidden="false" customHeight="true" outlineLevel="0" collapsed="false">
      <c r="A615" s="64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</row>
    <row r="616" customFormat="false" ht="15.75" hidden="false" customHeight="true" outlineLevel="0" collapsed="false">
      <c r="A616" s="64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</row>
    <row r="617" customFormat="false" ht="15.75" hidden="false" customHeight="true" outlineLevel="0" collapsed="false">
      <c r="A617" s="64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</row>
    <row r="618" customFormat="false" ht="15.75" hidden="false" customHeight="true" outlineLevel="0" collapsed="false">
      <c r="A618" s="64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</row>
    <row r="619" customFormat="false" ht="15.75" hidden="false" customHeight="true" outlineLevel="0" collapsed="false">
      <c r="A619" s="64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</row>
    <row r="620" customFormat="false" ht="15.75" hidden="false" customHeight="true" outlineLevel="0" collapsed="false">
      <c r="A620" s="64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</row>
    <row r="621" customFormat="false" ht="15.75" hidden="false" customHeight="true" outlineLevel="0" collapsed="false">
      <c r="A621" s="64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</row>
    <row r="622" customFormat="false" ht="15.75" hidden="false" customHeight="true" outlineLevel="0" collapsed="false">
      <c r="A622" s="64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</row>
    <row r="623" customFormat="false" ht="15.75" hidden="false" customHeight="true" outlineLevel="0" collapsed="false">
      <c r="A623" s="64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</row>
    <row r="624" customFormat="false" ht="15.75" hidden="false" customHeight="true" outlineLevel="0" collapsed="false">
      <c r="A624" s="64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</row>
    <row r="625" customFormat="false" ht="15.75" hidden="false" customHeight="true" outlineLevel="0" collapsed="false">
      <c r="A625" s="64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</row>
    <row r="626" customFormat="false" ht="15.75" hidden="false" customHeight="true" outlineLevel="0" collapsed="false">
      <c r="A626" s="64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</row>
    <row r="627" customFormat="false" ht="15.75" hidden="false" customHeight="true" outlineLevel="0" collapsed="false">
      <c r="A627" s="64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</row>
    <row r="628" customFormat="false" ht="15.75" hidden="false" customHeight="true" outlineLevel="0" collapsed="false">
      <c r="A628" s="64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</row>
    <row r="629" customFormat="false" ht="15.75" hidden="false" customHeight="true" outlineLevel="0" collapsed="false">
      <c r="A629" s="64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</row>
    <row r="630" customFormat="false" ht="15.75" hidden="false" customHeight="true" outlineLevel="0" collapsed="false">
      <c r="A630" s="64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</row>
    <row r="631" customFormat="false" ht="15.75" hidden="false" customHeight="true" outlineLevel="0" collapsed="false">
      <c r="A631" s="64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</row>
    <row r="632" customFormat="false" ht="15.75" hidden="false" customHeight="true" outlineLevel="0" collapsed="false">
      <c r="A632" s="64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</row>
    <row r="633" customFormat="false" ht="15.75" hidden="false" customHeight="true" outlineLevel="0" collapsed="false">
      <c r="A633" s="64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</row>
    <row r="634" customFormat="false" ht="15.75" hidden="false" customHeight="true" outlineLevel="0" collapsed="false">
      <c r="A634" s="64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</row>
    <row r="635" customFormat="false" ht="15.75" hidden="false" customHeight="true" outlineLevel="0" collapsed="false">
      <c r="A635" s="64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</row>
    <row r="636" customFormat="false" ht="15.75" hidden="false" customHeight="true" outlineLevel="0" collapsed="false">
      <c r="A636" s="64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</row>
    <row r="637" customFormat="false" ht="15.75" hidden="false" customHeight="true" outlineLevel="0" collapsed="false">
      <c r="A637" s="64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</row>
    <row r="638" customFormat="false" ht="15.75" hidden="false" customHeight="true" outlineLevel="0" collapsed="false">
      <c r="A638" s="64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</row>
    <row r="639" customFormat="false" ht="15.75" hidden="false" customHeight="true" outlineLevel="0" collapsed="false">
      <c r="A639" s="64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</row>
    <row r="640" customFormat="false" ht="15.75" hidden="false" customHeight="true" outlineLevel="0" collapsed="false">
      <c r="A640" s="64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</row>
    <row r="641" customFormat="false" ht="15.75" hidden="false" customHeight="true" outlineLevel="0" collapsed="false">
      <c r="A641" s="64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</row>
    <row r="642" customFormat="false" ht="15.75" hidden="false" customHeight="true" outlineLevel="0" collapsed="false">
      <c r="A642" s="64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</row>
    <row r="643" customFormat="false" ht="15.75" hidden="false" customHeight="true" outlineLevel="0" collapsed="false">
      <c r="A643" s="64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</row>
    <row r="644" customFormat="false" ht="15.75" hidden="false" customHeight="true" outlineLevel="0" collapsed="false">
      <c r="A644" s="64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</row>
    <row r="645" customFormat="false" ht="15.75" hidden="false" customHeight="true" outlineLevel="0" collapsed="false">
      <c r="A645" s="64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</row>
    <row r="646" customFormat="false" ht="15.75" hidden="false" customHeight="true" outlineLevel="0" collapsed="false">
      <c r="A646" s="64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</row>
    <row r="647" customFormat="false" ht="15.75" hidden="false" customHeight="true" outlineLevel="0" collapsed="false">
      <c r="A647" s="64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</row>
    <row r="648" customFormat="false" ht="15.75" hidden="false" customHeight="true" outlineLevel="0" collapsed="false">
      <c r="A648" s="64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</row>
    <row r="649" customFormat="false" ht="15.75" hidden="false" customHeight="true" outlineLevel="0" collapsed="false">
      <c r="A649" s="64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</row>
    <row r="650" customFormat="false" ht="15.75" hidden="false" customHeight="true" outlineLevel="0" collapsed="false">
      <c r="A650" s="64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</row>
    <row r="651" customFormat="false" ht="15.75" hidden="false" customHeight="true" outlineLevel="0" collapsed="false">
      <c r="A651" s="64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</row>
    <row r="652" customFormat="false" ht="15.75" hidden="false" customHeight="true" outlineLevel="0" collapsed="false">
      <c r="A652" s="64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</row>
    <row r="653" customFormat="false" ht="15.75" hidden="false" customHeight="true" outlineLevel="0" collapsed="false">
      <c r="A653" s="64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</row>
    <row r="654" customFormat="false" ht="15.75" hidden="false" customHeight="true" outlineLevel="0" collapsed="false">
      <c r="A654" s="64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</row>
    <row r="655" customFormat="false" ht="15.75" hidden="false" customHeight="true" outlineLevel="0" collapsed="false">
      <c r="A655" s="64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</row>
    <row r="656" customFormat="false" ht="15.75" hidden="false" customHeight="true" outlineLevel="0" collapsed="false">
      <c r="A656" s="64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</row>
    <row r="657" customFormat="false" ht="15.75" hidden="false" customHeight="true" outlineLevel="0" collapsed="false">
      <c r="A657" s="64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</row>
    <row r="658" customFormat="false" ht="15.75" hidden="false" customHeight="true" outlineLevel="0" collapsed="false">
      <c r="A658" s="64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</row>
    <row r="659" customFormat="false" ht="15.75" hidden="false" customHeight="true" outlineLevel="0" collapsed="false">
      <c r="A659" s="64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</row>
    <row r="660" customFormat="false" ht="15.75" hidden="false" customHeight="true" outlineLevel="0" collapsed="false">
      <c r="A660" s="64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</row>
    <row r="661" customFormat="false" ht="15.75" hidden="false" customHeight="true" outlineLevel="0" collapsed="false">
      <c r="A661" s="64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</row>
    <row r="662" customFormat="false" ht="15.75" hidden="false" customHeight="true" outlineLevel="0" collapsed="false">
      <c r="A662" s="64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</row>
    <row r="663" customFormat="false" ht="15.75" hidden="false" customHeight="true" outlineLevel="0" collapsed="false">
      <c r="A663" s="64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</row>
    <row r="664" customFormat="false" ht="15.75" hidden="false" customHeight="true" outlineLevel="0" collapsed="false">
      <c r="A664" s="64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</row>
    <row r="665" customFormat="false" ht="15.75" hidden="false" customHeight="true" outlineLevel="0" collapsed="false">
      <c r="A665" s="64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</row>
    <row r="666" customFormat="false" ht="15.75" hidden="false" customHeight="true" outlineLevel="0" collapsed="false">
      <c r="A666" s="64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</row>
    <row r="667" customFormat="false" ht="15.75" hidden="false" customHeight="true" outlineLevel="0" collapsed="false">
      <c r="A667" s="64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</row>
    <row r="668" customFormat="false" ht="15.75" hidden="false" customHeight="true" outlineLevel="0" collapsed="false">
      <c r="A668" s="64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</row>
    <row r="669" customFormat="false" ht="15.75" hidden="false" customHeight="true" outlineLevel="0" collapsed="false">
      <c r="A669" s="64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</row>
    <row r="670" customFormat="false" ht="15.75" hidden="false" customHeight="true" outlineLevel="0" collapsed="false">
      <c r="A670" s="64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</row>
    <row r="671" customFormat="false" ht="15.75" hidden="false" customHeight="true" outlineLevel="0" collapsed="false">
      <c r="A671" s="64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</row>
    <row r="672" customFormat="false" ht="15.75" hidden="false" customHeight="true" outlineLevel="0" collapsed="false">
      <c r="A672" s="64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</row>
    <row r="673" customFormat="false" ht="15.75" hidden="false" customHeight="true" outlineLevel="0" collapsed="false">
      <c r="A673" s="64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</row>
    <row r="674" customFormat="false" ht="15.75" hidden="false" customHeight="true" outlineLevel="0" collapsed="false">
      <c r="A674" s="64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</row>
    <row r="675" customFormat="false" ht="15.75" hidden="false" customHeight="true" outlineLevel="0" collapsed="false">
      <c r="A675" s="64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</row>
    <row r="676" customFormat="false" ht="15.75" hidden="false" customHeight="true" outlineLevel="0" collapsed="false">
      <c r="A676" s="64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</row>
    <row r="677" customFormat="false" ht="15.75" hidden="false" customHeight="true" outlineLevel="0" collapsed="false">
      <c r="A677" s="64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</row>
    <row r="678" customFormat="false" ht="15.75" hidden="false" customHeight="true" outlineLevel="0" collapsed="false">
      <c r="A678" s="64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</row>
    <row r="679" customFormat="false" ht="15.75" hidden="false" customHeight="true" outlineLevel="0" collapsed="false">
      <c r="A679" s="64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</row>
    <row r="680" customFormat="false" ht="15.75" hidden="false" customHeight="true" outlineLevel="0" collapsed="false">
      <c r="A680" s="64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</row>
    <row r="681" customFormat="false" ht="15.75" hidden="false" customHeight="true" outlineLevel="0" collapsed="false">
      <c r="A681" s="64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</row>
    <row r="682" customFormat="false" ht="15.75" hidden="false" customHeight="true" outlineLevel="0" collapsed="false">
      <c r="A682" s="64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</row>
    <row r="683" customFormat="false" ht="15.75" hidden="false" customHeight="true" outlineLevel="0" collapsed="false">
      <c r="A683" s="64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</row>
    <row r="684" customFormat="false" ht="15.75" hidden="false" customHeight="true" outlineLevel="0" collapsed="false">
      <c r="A684" s="64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</row>
    <row r="685" customFormat="false" ht="15.75" hidden="false" customHeight="true" outlineLevel="0" collapsed="false">
      <c r="A685" s="64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</row>
    <row r="686" customFormat="false" ht="15.75" hidden="false" customHeight="true" outlineLevel="0" collapsed="false">
      <c r="A686" s="64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</row>
    <row r="687" customFormat="false" ht="15.75" hidden="false" customHeight="true" outlineLevel="0" collapsed="false">
      <c r="A687" s="64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</row>
    <row r="688" customFormat="false" ht="15.75" hidden="false" customHeight="true" outlineLevel="0" collapsed="false">
      <c r="A688" s="64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</row>
    <row r="689" customFormat="false" ht="15.75" hidden="false" customHeight="true" outlineLevel="0" collapsed="false">
      <c r="A689" s="64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</row>
    <row r="690" customFormat="false" ht="15.75" hidden="false" customHeight="true" outlineLevel="0" collapsed="false">
      <c r="A690" s="64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</row>
    <row r="691" customFormat="false" ht="15.75" hidden="false" customHeight="true" outlineLevel="0" collapsed="false">
      <c r="A691" s="64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</row>
    <row r="692" customFormat="false" ht="15.75" hidden="false" customHeight="true" outlineLevel="0" collapsed="false">
      <c r="A692" s="64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</row>
    <row r="693" customFormat="false" ht="15.75" hidden="false" customHeight="true" outlineLevel="0" collapsed="false">
      <c r="A693" s="64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</row>
    <row r="694" customFormat="false" ht="15.75" hidden="false" customHeight="true" outlineLevel="0" collapsed="false">
      <c r="A694" s="64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</row>
    <row r="695" customFormat="false" ht="15.75" hidden="false" customHeight="true" outlineLevel="0" collapsed="false">
      <c r="A695" s="64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</row>
    <row r="696" customFormat="false" ht="15.75" hidden="false" customHeight="true" outlineLevel="0" collapsed="false">
      <c r="A696" s="64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</row>
    <row r="697" customFormat="false" ht="15.75" hidden="false" customHeight="true" outlineLevel="0" collapsed="false">
      <c r="A697" s="64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</row>
    <row r="698" customFormat="false" ht="15.75" hidden="false" customHeight="true" outlineLevel="0" collapsed="false">
      <c r="A698" s="64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</row>
    <row r="699" customFormat="false" ht="15.75" hidden="false" customHeight="true" outlineLevel="0" collapsed="false">
      <c r="A699" s="64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</row>
    <row r="700" customFormat="false" ht="15.75" hidden="false" customHeight="true" outlineLevel="0" collapsed="false">
      <c r="A700" s="64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</row>
    <row r="701" customFormat="false" ht="15.75" hidden="false" customHeight="true" outlineLevel="0" collapsed="false">
      <c r="A701" s="64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</row>
    <row r="702" customFormat="false" ht="15.75" hidden="false" customHeight="true" outlineLevel="0" collapsed="false">
      <c r="A702" s="64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</row>
    <row r="703" customFormat="false" ht="15.75" hidden="false" customHeight="true" outlineLevel="0" collapsed="false">
      <c r="A703" s="64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</row>
    <row r="704" customFormat="false" ht="15.75" hidden="false" customHeight="true" outlineLevel="0" collapsed="false">
      <c r="A704" s="64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</row>
    <row r="705" customFormat="false" ht="15.75" hidden="false" customHeight="true" outlineLevel="0" collapsed="false">
      <c r="A705" s="64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</row>
    <row r="706" customFormat="false" ht="15.75" hidden="false" customHeight="true" outlineLevel="0" collapsed="false">
      <c r="A706" s="64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</row>
    <row r="707" customFormat="false" ht="15.75" hidden="false" customHeight="true" outlineLevel="0" collapsed="false">
      <c r="A707" s="64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</row>
    <row r="708" customFormat="false" ht="15.75" hidden="false" customHeight="true" outlineLevel="0" collapsed="false">
      <c r="A708" s="64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</row>
    <row r="709" customFormat="false" ht="15.75" hidden="false" customHeight="true" outlineLevel="0" collapsed="false">
      <c r="A709" s="64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</row>
    <row r="710" customFormat="false" ht="15.75" hidden="false" customHeight="true" outlineLevel="0" collapsed="false">
      <c r="A710" s="64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</row>
    <row r="711" customFormat="false" ht="15.75" hidden="false" customHeight="true" outlineLevel="0" collapsed="false">
      <c r="A711" s="64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</row>
    <row r="712" customFormat="false" ht="15.75" hidden="false" customHeight="true" outlineLevel="0" collapsed="false">
      <c r="A712" s="64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</row>
    <row r="713" customFormat="false" ht="15.75" hidden="false" customHeight="true" outlineLevel="0" collapsed="false">
      <c r="A713" s="64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</row>
    <row r="714" customFormat="false" ht="15.75" hidden="false" customHeight="true" outlineLevel="0" collapsed="false">
      <c r="A714" s="64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</row>
    <row r="715" customFormat="false" ht="15.75" hidden="false" customHeight="true" outlineLevel="0" collapsed="false">
      <c r="A715" s="64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</row>
    <row r="716" customFormat="false" ht="15.75" hidden="false" customHeight="true" outlineLevel="0" collapsed="false">
      <c r="A716" s="64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</row>
    <row r="717" customFormat="false" ht="15.75" hidden="false" customHeight="true" outlineLevel="0" collapsed="false">
      <c r="A717" s="64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</row>
    <row r="718" customFormat="false" ht="15.75" hidden="false" customHeight="true" outlineLevel="0" collapsed="false">
      <c r="A718" s="64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</row>
    <row r="719" customFormat="false" ht="15.75" hidden="false" customHeight="true" outlineLevel="0" collapsed="false">
      <c r="A719" s="64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</row>
    <row r="720" customFormat="false" ht="15.75" hidden="false" customHeight="true" outlineLevel="0" collapsed="false">
      <c r="A720" s="64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</row>
    <row r="721" customFormat="false" ht="15.75" hidden="false" customHeight="true" outlineLevel="0" collapsed="false">
      <c r="A721" s="64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</row>
    <row r="722" customFormat="false" ht="15.75" hidden="false" customHeight="true" outlineLevel="0" collapsed="false">
      <c r="A722" s="64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</row>
    <row r="723" customFormat="false" ht="15.75" hidden="false" customHeight="true" outlineLevel="0" collapsed="false">
      <c r="A723" s="64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</row>
    <row r="724" customFormat="false" ht="15.75" hidden="false" customHeight="true" outlineLevel="0" collapsed="false">
      <c r="A724" s="64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</row>
    <row r="725" customFormat="false" ht="15.75" hidden="false" customHeight="true" outlineLevel="0" collapsed="false">
      <c r="A725" s="64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</row>
    <row r="726" customFormat="false" ht="15.75" hidden="false" customHeight="true" outlineLevel="0" collapsed="false">
      <c r="A726" s="64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</row>
    <row r="727" customFormat="false" ht="15.75" hidden="false" customHeight="true" outlineLevel="0" collapsed="false">
      <c r="A727" s="64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</row>
    <row r="728" customFormat="false" ht="15.75" hidden="false" customHeight="true" outlineLevel="0" collapsed="false">
      <c r="A728" s="64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</row>
    <row r="729" customFormat="false" ht="15.75" hidden="false" customHeight="true" outlineLevel="0" collapsed="false">
      <c r="A729" s="64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</row>
    <row r="730" customFormat="false" ht="15.75" hidden="false" customHeight="true" outlineLevel="0" collapsed="false">
      <c r="A730" s="64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</row>
    <row r="731" customFormat="false" ht="15.75" hidden="false" customHeight="true" outlineLevel="0" collapsed="false">
      <c r="A731" s="64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</row>
    <row r="732" customFormat="false" ht="15.75" hidden="false" customHeight="true" outlineLevel="0" collapsed="false">
      <c r="A732" s="64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</row>
    <row r="733" customFormat="false" ht="15.75" hidden="false" customHeight="true" outlineLevel="0" collapsed="false">
      <c r="A733" s="64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</row>
    <row r="734" customFormat="false" ht="15.75" hidden="false" customHeight="true" outlineLevel="0" collapsed="false">
      <c r="A734" s="64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</row>
    <row r="735" customFormat="false" ht="15.75" hidden="false" customHeight="true" outlineLevel="0" collapsed="false">
      <c r="A735" s="64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</row>
    <row r="736" customFormat="false" ht="15.75" hidden="false" customHeight="true" outlineLevel="0" collapsed="false">
      <c r="A736" s="64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</row>
    <row r="737" customFormat="false" ht="15.75" hidden="false" customHeight="true" outlineLevel="0" collapsed="false">
      <c r="A737" s="64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</row>
    <row r="738" customFormat="false" ht="15.75" hidden="false" customHeight="true" outlineLevel="0" collapsed="false">
      <c r="A738" s="64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</row>
    <row r="739" customFormat="false" ht="15.75" hidden="false" customHeight="true" outlineLevel="0" collapsed="false">
      <c r="A739" s="64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</row>
    <row r="740" customFormat="false" ht="15.75" hidden="false" customHeight="true" outlineLevel="0" collapsed="false">
      <c r="A740" s="64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</row>
    <row r="741" customFormat="false" ht="15.75" hidden="false" customHeight="true" outlineLevel="0" collapsed="false">
      <c r="A741" s="64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</row>
    <row r="742" customFormat="false" ht="15.75" hidden="false" customHeight="true" outlineLevel="0" collapsed="false">
      <c r="A742" s="64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</row>
    <row r="743" customFormat="false" ht="15.75" hidden="false" customHeight="true" outlineLevel="0" collapsed="false">
      <c r="A743" s="64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</row>
    <row r="744" customFormat="false" ht="15.75" hidden="false" customHeight="true" outlineLevel="0" collapsed="false">
      <c r="A744" s="64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</row>
    <row r="745" customFormat="false" ht="15.75" hidden="false" customHeight="true" outlineLevel="0" collapsed="false">
      <c r="A745" s="64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</row>
    <row r="746" customFormat="false" ht="15.75" hidden="false" customHeight="true" outlineLevel="0" collapsed="false">
      <c r="A746" s="64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</row>
    <row r="747" customFormat="false" ht="15.75" hidden="false" customHeight="true" outlineLevel="0" collapsed="false">
      <c r="A747" s="64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</row>
    <row r="748" customFormat="false" ht="15.75" hidden="false" customHeight="true" outlineLevel="0" collapsed="false">
      <c r="A748" s="64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</row>
    <row r="749" customFormat="false" ht="15.75" hidden="false" customHeight="true" outlineLevel="0" collapsed="false">
      <c r="A749" s="64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</row>
    <row r="750" customFormat="false" ht="15.75" hidden="false" customHeight="true" outlineLevel="0" collapsed="false">
      <c r="A750" s="64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</row>
    <row r="751" customFormat="false" ht="15.75" hidden="false" customHeight="true" outlineLevel="0" collapsed="false">
      <c r="A751" s="64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</row>
    <row r="752" customFormat="false" ht="15.75" hidden="false" customHeight="true" outlineLevel="0" collapsed="false">
      <c r="A752" s="64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</row>
    <row r="753" customFormat="false" ht="15.75" hidden="false" customHeight="true" outlineLevel="0" collapsed="false">
      <c r="A753" s="64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</row>
    <row r="754" customFormat="false" ht="15.75" hidden="false" customHeight="true" outlineLevel="0" collapsed="false">
      <c r="A754" s="64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</row>
    <row r="755" customFormat="false" ht="15.75" hidden="false" customHeight="true" outlineLevel="0" collapsed="false">
      <c r="A755" s="64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</row>
    <row r="756" customFormat="false" ht="15.75" hidden="false" customHeight="true" outlineLevel="0" collapsed="false">
      <c r="A756" s="64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</row>
    <row r="757" customFormat="false" ht="15.75" hidden="false" customHeight="true" outlineLevel="0" collapsed="false">
      <c r="A757" s="64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</row>
    <row r="758" customFormat="false" ht="15.75" hidden="false" customHeight="true" outlineLevel="0" collapsed="false">
      <c r="A758" s="64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</row>
    <row r="759" customFormat="false" ht="15.75" hidden="false" customHeight="true" outlineLevel="0" collapsed="false">
      <c r="A759" s="64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</row>
    <row r="760" customFormat="false" ht="15.75" hidden="false" customHeight="true" outlineLevel="0" collapsed="false">
      <c r="A760" s="64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</row>
    <row r="761" customFormat="false" ht="15.75" hidden="false" customHeight="true" outlineLevel="0" collapsed="false">
      <c r="A761" s="64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</row>
    <row r="762" customFormat="false" ht="15.75" hidden="false" customHeight="true" outlineLevel="0" collapsed="false">
      <c r="A762" s="64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</row>
    <row r="763" customFormat="false" ht="15.75" hidden="false" customHeight="true" outlineLevel="0" collapsed="false">
      <c r="A763" s="64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</row>
    <row r="764" customFormat="false" ht="15.75" hidden="false" customHeight="true" outlineLevel="0" collapsed="false">
      <c r="A764" s="64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</row>
    <row r="765" customFormat="false" ht="15.75" hidden="false" customHeight="true" outlineLevel="0" collapsed="false">
      <c r="A765" s="64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</row>
    <row r="766" customFormat="false" ht="15.75" hidden="false" customHeight="true" outlineLevel="0" collapsed="false">
      <c r="A766" s="64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</row>
    <row r="767" customFormat="false" ht="15.75" hidden="false" customHeight="true" outlineLevel="0" collapsed="false">
      <c r="A767" s="64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</row>
    <row r="768" customFormat="false" ht="15.75" hidden="false" customHeight="true" outlineLevel="0" collapsed="false">
      <c r="A768" s="64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</row>
    <row r="769" customFormat="false" ht="15.75" hidden="false" customHeight="true" outlineLevel="0" collapsed="false">
      <c r="A769" s="64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</row>
    <row r="770" customFormat="false" ht="15.75" hidden="false" customHeight="true" outlineLevel="0" collapsed="false">
      <c r="A770" s="64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</row>
    <row r="771" customFormat="false" ht="15.75" hidden="false" customHeight="true" outlineLevel="0" collapsed="false">
      <c r="A771" s="64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</row>
    <row r="772" customFormat="false" ht="15.75" hidden="false" customHeight="true" outlineLevel="0" collapsed="false">
      <c r="A772" s="64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</row>
    <row r="773" customFormat="false" ht="15.75" hidden="false" customHeight="true" outlineLevel="0" collapsed="false">
      <c r="A773" s="64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</row>
    <row r="774" customFormat="false" ht="15.75" hidden="false" customHeight="true" outlineLevel="0" collapsed="false">
      <c r="A774" s="64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</row>
    <row r="775" customFormat="false" ht="15.75" hidden="false" customHeight="true" outlineLevel="0" collapsed="false">
      <c r="A775" s="64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</row>
    <row r="776" customFormat="false" ht="15.75" hidden="false" customHeight="true" outlineLevel="0" collapsed="false">
      <c r="A776" s="64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</row>
    <row r="777" customFormat="false" ht="15.75" hidden="false" customHeight="true" outlineLevel="0" collapsed="false">
      <c r="A777" s="64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</row>
    <row r="778" customFormat="false" ht="15.75" hidden="false" customHeight="true" outlineLevel="0" collapsed="false">
      <c r="A778" s="64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</row>
    <row r="779" customFormat="false" ht="15.75" hidden="false" customHeight="true" outlineLevel="0" collapsed="false">
      <c r="A779" s="64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</row>
    <row r="780" customFormat="false" ht="15.75" hidden="false" customHeight="true" outlineLevel="0" collapsed="false">
      <c r="A780" s="64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</row>
    <row r="781" customFormat="false" ht="15.75" hidden="false" customHeight="true" outlineLevel="0" collapsed="false">
      <c r="A781" s="64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</row>
    <row r="782" customFormat="false" ht="15.75" hidden="false" customHeight="true" outlineLevel="0" collapsed="false">
      <c r="A782" s="64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</row>
    <row r="783" customFormat="false" ht="15.75" hidden="false" customHeight="true" outlineLevel="0" collapsed="false">
      <c r="A783" s="64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</row>
    <row r="784" customFormat="false" ht="15.75" hidden="false" customHeight="true" outlineLevel="0" collapsed="false">
      <c r="A784" s="64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</row>
    <row r="785" customFormat="false" ht="15.75" hidden="false" customHeight="true" outlineLevel="0" collapsed="false">
      <c r="A785" s="64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</row>
    <row r="786" customFormat="false" ht="15.75" hidden="false" customHeight="true" outlineLevel="0" collapsed="false">
      <c r="A786" s="64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</row>
    <row r="787" customFormat="false" ht="15.75" hidden="false" customHeight="true" outlineLevel="0" collapsed="false">
      <c r="A787" s="64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</row>
    <row r="788" customFormat="false" ht="15.75" hidden="false" customHeight="true" outlineLevel="0" collapsed="false">
      <c r="A788" s="64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</row>
    <row r="789" customFormat="false" ht="15.75" hidden="false" customHeight="true" outlineLevel="0" collapsed="false">
      <c r="A789" s="64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</row>
    <row r="790" customFormat="false" ht="15.75" hidden="false" customHeight="true" outlineLevel="0" collapsed="false">
      <c r="A790" s="64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</row>
    <row r="791" customFormat="false" ht="15.75" hidden="false" customHeight="true" outlineLevel="0" collapsed="false">
      <c r="A791" s="64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</row>
    <row r="792" customFormat="false" ht="15.75" hidden="false" customHeight="true" outlineLevel="0" collapsed="false">
      <c r="A792" s="64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</row>
    <row r="793" customFormat="false" ht="15.75" hidden="false" customHeight="true" outlineLevel="0" collapsed="false">
      <c r="A793" s="64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</row>
    <row r="794" customFormat="false" ht="15.75" hidden="false" customHeight="true" outlineLevel="0" collapsed="false">
      <c r="A794" s="64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</row>
    <row r="795" customFormat="false" ht="15.75" hidden="false" customHeight="true" outlineLevel="0" collapsed="false">
      <c r="A795" s="64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</row>
    <row r="796" customFormat="false" ht="15.75" hidden="false" customHeight="true" outlineLevel="0" collapsed="false">
      <c r="A796" s="64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</row>
    <row r="797" customFormat="false" ht="15.75" hidden="false" customHeight="true" outlineLevel="0" collapsed="false">
      <c r="A797" s="64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</row>
    <row r="798" customFormat="false" ht="15.75" hidden="false" customHeight="true" outlineLevel="0" collapsed="false">
      <c r="A798" s="64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</row>
    <row r="799" customFormat="false" ht="15.75" hidden="false" customHeight="true" outlineLevel="0" collapsed="false">
      <c r="A799" s="64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</row>
    <row r="800" customFormat="false" ht="15.75" hidden="false" customHeight="true" outlineLevel="0" collapsed="false">
      <c r="A800" s="64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</row>
    <row r="801" customFormat="false" ht="15.75" hidden="false" customHeight="true" outlineLevel="0" collapsed="false">
      <c r="A801" s="64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</row>
    <row r="802" customFormat="false" ht="15.75" hidden="false" customHeight="true" outlineLevel="0" collapsed="false">
      <c r="A802" s="64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</row>
    <row r="803" customFormat="false" ht="15.75" hidden="false" customHeight="true" outlineLevel="0" collapsed="false">
      <c r="A803" s="64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</row>
    <row r="804" customFormat="false" ht="15.75" hidden="false" customHeight="true" outlineLevel="0" collapsed="false">
      <c r="A804" s="64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</row>
    <row r="805" customFormat="false" ht="15.75" hidden="false" customHeight="true" outlineLevel="0" collapsed="false">
      <c r="A805" s="64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</row>
    <row r="806" customFormat="false" ht="15.75" hidden="false" customHeight="true" outlineLevel="0" collapsed="false">
      <c r="A806" s="64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</row>
    <row r="807" customFormat="false" ht="15.75" hidden="false" customHeight="true" outlineLevel="0" collapsed="false">
      <c r="A807" s="64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</row>
    <row r="808" customFormat="false" ht="15.75" hidden="false" customHeight="true" outlineLevel="0" collapsed="false">
      <c r="A808" s="64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</row>
    <row r="809" customFormat="false" ht="15.75" hidden="false" customHeight="true" outlineLevel="0" collapsed="false">
      <c r="A809" s="64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</row>
    <row r="810" customFormat="false" ht="15.75" hidden="false" customHeight="true" outlineLevel="0" collapsed="false">
      <c r="A810" s="64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</row>
    <row r="811" customFormat="false" ht="15.75" hidden="false" customHeight="true" outlineLevel="0" collapsed="false">
      <c r="A811" s="64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</row>
    <row r="812" customFormat="false" ht="15.75" hidden="false" customHeight="true" outlineLevel="0" collapsed="false">
      <c r="A812" s="64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</row>
    <row r="813" customFormat="false" ht="15.75" hidden="false" customHeight="true" outlineLevel="0" collapsed="false">
      <c r="A813" s="64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</row>
    <row r="814" customFormat="false" ht="15.75" hidden="false" customHeight="true" outlineLevel="0" collapsed="false">
      <c r="A814" s="64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</row>
    <row r="815" customFormat="false" ht="15.75" hidden="false" customHeight="true" outlineLevel="0" collapsed="false">
      <c r="A815" s="64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</row>
    <row r="816" customFormat="false" ht="15.75" hidden="false" customHeight="true" outlineLevel="0" collapsed="false">
      <c r="A816" s="64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</row>
    <row r="817" customFormat="false" ht="15.75" hidden="false" customHeight="true" outlineLevel="0" collapsed="false">
      <c r="A817" s="64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</row>
    <row r="818" customFormat="false" ht="15.75" hidden="false" customHeight="true" outlineLevel="0" collapsed="false">
      <c r="A818" s="64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</row>
    <row r="819" customFormat="false" ht="15.75" hidden="false" customHeight="true" outlineLevel="0" collapsed="false">
      <c r="A819" s="64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</row>
    <row r="820" customFormat="false" ht="15.75" hidden="false" customHeight="true" outlineLevel="0" collapsed="false">
      <c r="A820" s="64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</row>
    <row r="821" customFormat="false" ht="15.75" hidden="false" customHeight="true" outlineLevel="0" collapsed="false">
      <c r="A821" s="64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</row>
    <row r="822" customFormat="false" ht="15.75" hidden="false" customHeight="true" outlineLevel="0" collapsed="false">
      <c r="A822" s="64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</row>
    <row r="823" customFormat="false" ht="15.75" hidden="false" customHeight="true" outlineLevel="0" collapsed="false">
      <c r="A823" s="64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</row>
    <row r="824" customFormat="false" ht="15.75" hidden="false" customHeight="true" outlineLevel="0" collapsed="false">
      <c r="A824" s="64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</row>
    <row r="825" customFormat="false" ht="15.75" hidden="false" customHeight="true" outlineLevel="0" collapsed="false">
      <c r="A825" s="64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</row>
    <row r="826" customFormat="false" ht="15.75" hidden="false" customHeight="true" outlineLevel="0" collapsed="false">
      <c r="A826" s="64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</row>
    <row r="827" customFormat="false" ht="15.75" hidden="false" customHeight="true" outlineLevel="0" collapsed="false">
      <c r="A827" s="64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</row>
    <row r="828" customFormat="false" ht="15.75" hidden="false" customHeight="true" outlineLevel="0" collapsed="false">
      <c r="A828" s="64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</row>
    <row r="829" customFormat="false" ht="15.75" hidden="false" customHeight="true" outlineLevel="0" collapsed="false">
      <c r="A829" s="64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</row>
    <row r="830" customFormat="false" ht="15.75" hidden="false" customHeight="true" outlineLevel="0" collapsed="false">
      <c r="A830" s="64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</row>
    <row r="831" customFormat="false" ht="15.75" hidden="false" customHeight="true" outlineLevel="0" collapsed="false">
      <c r="A831" s="64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</row>
    <row r="832" customFormat="false" ht="15.75" hidden="false" customHeight="true" outlineLevel="0" collapsed="false">
      <c r="A832" s="64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</row>
    <row r="833" customFormat="false" ht="15.75" hidden="false" customHeight="true" outlineLevel="0" collapsed="false">
      <c r="A833" s="64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</row>
    <row r="834" customFormat="false" ht="15.75" hidden="false" customHeight="true" outlineLevel="0" collapsed="false">
      <c r="A834" s="64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</row>
    <row r="835" customFormat="false" ht="15.75" hidden="false" customHeight="true" outlineLevel="0" collapsed="false">
      <c r="A835" s="64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</row>
    <row r="836" customFormat="false" ht="15.75" hidden="false" customHeight="true" outlineLevel="0" collapsed="false">
      <c r="A836" s="64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</row>
    <row r="837" customFormat="false" ht="15.75" hidden="false" customHeight="true" outlineLevel="0" collapsed="false">
      <c r="A837" s="64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</row>
    <row r="838" customFormat="false" ht="15.75" hidden="false" customHeight="true" outlineLevel="0" collapsed="false">
      <c r="A838" s="64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</row>
    <row r="839" customFormat="false" ht="15.75" hidden="false" customHeight="true" outlineLevel="0" collapsed="false">
      <c r="A839" s="64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</row>
    <row r="840" customFormat="false" ht="15.75" hidden="false" customHeight="true" outlineLevel="0" collapsed="false">
      <c r="A840" s="64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</row>
    <row r="841" customFormat="false" ht="15.75" hidden="false" customHeight="true" outlineLevel="0" collapsed="false">
      <c r="A841" s="64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</row>
    <row r="842" customFormat="false" ht="15.75" hidden="false" customHeight="true" outlineLevel="0" collapsed="false">
      <c r="A842" s="64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</row>
    <row r="843" customFormat="false" ht="15.75" hidden="false" customHeight="true" outlineLevel="0" collapsed="false">
      <c r="A843" s="64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</row>
    <row r="844" customFormat="false" ht="15.75" hidden="false" customHeight="true" outlineLevel="0" collapsed="false">
      <c r="A844" s="64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</row>
    <row r="845" customFormat="false" ht="15.75" hidden="false" customHeight="true" outlineLevel="0" collapsed="false">
      <c r="A845" s="64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</row>
    <row r="846" customFormat="false" ht="15.75" hidden="false" customHeight="true" outlineLevel="0" collapsed="false">
      <c r="A846" s="64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</row>
    <row r="847" customFormat="false" ht="15.75" hidden="false" customHeight="true" outlineLevel="0" collapsed="false">
      <c r="A847" s="64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</row>
    <row r="848" customFormat="false" ht="15.75" hidden="false" customHeight="true" outlineLevel="0" collapsed="false">
      <c r="A848" s="64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</row>
    <row r="849" customFormat="false" ht="15.75" hidden="false" customHeight="true" outlineLevel="0" collapsed="false">
      <c r="A849" s="64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</row>
    <row r="850" customFormat="false" ht="15.75" hidden="false" customHeight="true" outlineLevel="0" collapsed="false">
      <c r="A850" s="64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</row>
    <row r="851" customFormat="false" ht="15.75" hidden="false" customHeight="true" outlineLevel="0" collapsed="false">
      <c r="A851" s="64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</row>
    <row r="852" customFormat="false" ht="15.75" hidden="false" customHeight="true" outlineLevel="0" collapsed="false">
      <c r="A852" s="64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</row>
    <row r="853" customFormat="false" ht="15.75" hidden="false" customHeight="true" outlineLevel="0" collapsed="false">
      <c r="A853" s="64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</row>
    <row r="854" customFormat="false" ht="15.75" hidden="false" customHeight="true" outlineLevel="0" collapsed="false">
      <c r="A854" s="64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</row>
    <row r="855" customFormat="false" ht="15.75" hidden="false" customHeight="true" outlineLevel="0" collapsed="false">
      <c r="A855" s="64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</row>
    <row r="856" customFormat="false" ht="15.75" hidden="false" customHeight="true" outlineLevel="0" collapsed="false">
      <c r="A856" s="64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</row>
    <row r="857" customFormat="false" ht="15.75" hidden="false" customHeight="true" outlineLevel="0" collapsed="false">
      <c r="A857" s="64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</row>
    <row r="858" customFormat="false" ht="15.75" hidden="false" customHeight="true" outlineLevel="0" collapsed="false">
      <c r="A858" s="64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</row>
    <row r="859" customFormat="false" ht="15.75" hidden="false" customHeight="true" outlineLevel="0" collapsed="false">
      <c r="A859" s="64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</row>
    <row r="860" customFormat="false" ht="15.75" hidden="false" customHeight="true" outlineLevel="0" collapsed="false">
      <c r="A860" s="64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</row>
    <row r="861" customFormat="false" ht="15.75" hidden="false" customHeight="true" outlineLevel="0" collapsed="false">
      <c r="A861" s="64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</row>
    <row r="862" customFormat="false" ht="15.75" hidden="false" customHeight="true" outlineLevel="0" collapsed="false">
      <c r="A862" s="64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</row>
    <row r="863" customFormat="false" ht="15.75" hidden="false" customHeight="true" outlineLevel="0" collapsed="false">
      <c r="A863" s="64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</row>
    <row r="864" customFormat="false" ht="15.75" hidden="false" customHeight="true" outlineLevel="0" collapsed="false">
      <c r="A864" s="64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</row>
    <row r="865" customFormat="false" ht="15.75" hidden="false" customHeight="true" outlineLevel="0" collapsed="false">
      <c r="A865" s="64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</row>
    <row r="866" customFormat="false" ht="15.75" hidden="false" customHeight="true" outlineLevel="0" collapsed="false">
      <c r="A866" s="64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</row>
    <row r="867" customFormat="false" ht="15.75" hidden="false" customHeight="true" outlineLevel="0" collapsed="false">
      <c r="A867" s="64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</row>
    <row r="868" customFormat="false" ht="15.75" hidden="false" customHeight="true" outlineLevel="0" collapsed="false">
      <c r="A868" s="64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</row>
    <row r="869" customFormat="false" ht="15.75" hidden="false" customHeight="true" outlineLevel="0" collapsed="false">
      <c r="A869" s="64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</row>
    <row r="870" customFormat="false" ht="15.75" hidden="false" customHeight="true" outlineLevel="0" collapsed="false">
      <c r="A870" s="64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</row>
    <row r="871" customFormat="false" ht="15.75" hidden="false" customHeight="true" outlineLevel="0" collapsed="false">
      <c r="A871" s="64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</row>
    <row r="872" customFormat="false" ht="15.75" hidden="false" customHeight="true" outlineLevel="0" collapsed="false">
      <c r="A872" s="64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</row>
    <row r="873" customFormat="false" ht="15.75" hidden="false" customHeight="true" outlineLevel="0" collapsed="false">
      <c r="A873" s="64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</row>
    <row r="874" customFormat="false" ht="15.75" hidden="false" customHeight="true" outlineLevel="0" collapsed="false">
      <c r="A874" s="64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</row>
    <row r="875" customFormat="false" ht="15.75" hidden="false" customHeight="true" outlineLevel="0" collapsed="false">
      <c r="A875" s="64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</row>
    <row r="876" customFormat="false" ht="15.75" hidden="false" customHeight="true" outlineLevel="0" collapsed="false">
      <c r="A876" s="64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</row>
    <row r="877" customFormat="false" ht="15.75" hidden="false" customHeight="true" outlineLevel="0" collapsed="false">
      <c r="A877" s="64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</row>
    <row r="878" customFormat="false" ht="15.75" hidden="false" customHeight="true" outlineLevel="0" collapsed="false">
      <c r="A878" s="64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</row>
    <row r="879" customFormat="false" ht="15.75" hidden="false" customHeight="true" outlineLevel="0" collapsed="false">
      <c r="A879" s="64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</row>
    <row r="880" customFormat="false" ht="15.75" hidden="false" customHeight="true" outlineLevel="0" collapsed="false">
      <c r="A880" s="64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</row>
    <row r="881" customFormat="false" ht="15.75" hidden="false" customHeight="true" outlineLevel="0" collapsed="false">
      <c r="A881" s="64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</row>
    <row r="882" customFormat="false" ht="15.75" hidden="false" customHeight="true" outlineLevel="0" collapsed="false">
      <c r="A882" s="64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</row>
    <row r="883" customFormat="false" ht="15.75" hidden="false" customHeight="true" outlineLevel="0" collapsed="false">
      <c r="A883" s="64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</row>
    <row r="884" customFormat="false" ht="15.75" hidden="false" customHeight="true" outlineLevel="0" collapsed="false">
      <c r="A884" s="64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</row>
    <row r="885" customFormat="false" ht="15.75" hidden="false" customHeight="true" outlineLevel="0" collapsed="false">
      <c r="A885" s="64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</row>
    <row r="886" customFormat="false" ht="15.75" hidden="false" customHeight="true" outlineLevel="0" collapsed="false">
      <c r="A886" s="64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</row>
    <row r="887" customFormat="false" ht="15.75" hidden="false" customHeight="true" outlineLevel="0" collapsed="false">
      <c r="A887" s="64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</row>
    <row r="888" customFormat="false" ht="15.75" hidden="false" customHeight="true" outlineLevel="0" collapsed="false">
      <c r="A888" s="64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</row>
    <row r="889" customFormat="false" ht="15.75" hidden="false" customHeight="true" outlineLevel="0" collapsed="false">
      <c r="A889" s="64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</row>
    <row r="890" customFormat="false" ht="15.75" hidden="false" customHeight="true" outlineLevel="0" collapsed="false">
      <c r="A890" s="64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</row>
    <row r="891" customFormat="false" ht="15.75" hidden="false" customHeight="true" outlineLevel="0" collapsed="false">
      <c r="A891" s="64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</row>
    <row r="892" customFormat="false" ht="15.75" hidden="false" customHeight="true" outlineLevel="0" collapsed="false">
      <c r="A892" s="64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</row>
    <row r="893" customFormat="false" ht="15.75" hidden="false" customHeight="true" outlineLevel="0" collapsed="false">
      <c r="A893" s="64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</row>
    <row r="894" customFormat="false" ht="15.75" hidden="false" customHeight="true" outlineLevel="0" collapsed="false">
      <c r="A894" s="64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</row>
    <row r="895" customFormat="false" ht="15.75" hidden="false" customHeight="true" outlineLevel="0" collapsed="false">
      <c r="A895" s="64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</row>
    <row r="896" customFormat="false" ht="15.75" hidden="false" customHeight="true" outlineLevel="0" collapsed="false">
      <c r="A896" s="64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</row>
    <row r="897" customFormat="false" ht="15.75" hidden="false" customHeight="true" outlineLevel="0" collapsed="false">
      <c r="A897" s="64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</row>
    <row r="898" customFormat="false" ht="15.75" hidden="false" customHeight="true" outlineLevel="0" collapsed="false">
      <c r="A898" s="64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</row>
    <row r="899" customFormat="false" ht="15.75" hidden="false" customHeight="true" outlineLevel="0" collapsed="false">
      <c r="A899" s="64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</row>
    <row r="900" customFormat="false" ht="15.75" hidden="false" customHeight="true" outlineLevel="0" collapsed="false">
      <c r="A900" s="64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</row>
    <row r="901" customFormat="false" ht="15.75" hidden="false" customHeight="true" outlineLevel="0" collapsed="false">
      <c r="A901" s="64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</row>
    <row r="902" customFormat="false" ht="15.75" hidden="false" customHeight="true" outlineLevel="0" collapsed="false">
      <c r="A902" s="64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</row>
    <row r="903" customFormat="false" ht="15.75" hidden="false" customHeight="true" outlineLevel="0" collapsed="false">
      <c r="A903" s="64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</row>
    <row r="904" customFormat="false" ht="15.75" hidden="false" customHeight="true" outlineLevel="0" collapsed="false">
      <c r="A904" s="64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</row>
    <row r="905" customFormat="false" ht="15.75" hidden="false" customHeight="true" outlineLevel="0" collapsed="false">
      <c r="A905" s="64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</row>
    <row r="906" customFormat="false" ht="15.75" hidden="false" customHeight="true" outlineLevel="0" collapsed="false">
      <c r="A906" s="64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</row>
    <row r="907" customFormat="false" ht="15.75" hidden="false" customHeight="true" outlineLevel="0" collapsed="false">
      <c r="A907" s="64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</row>
    <row r="908" customFormat="false" ht="15.75" hidden="false" customHeight="true" outlineLevel="0" collapsed="false">
      <c r="A908" s="64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</row>
    <row r="909" customFormat="false" ht="15.75" hidden="false" customHeight="true" outlineLevel="0" collapsed="false">
      <c r="A909" s="64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</row>
    <row r="910" customFormat="false" ht="15.75" hidden="false" customHeight="true" outlineLevel="0" collapsed="false">
      <c r="A910" s="64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</row>
    <row r="911" customFormat="false" ht="15.75" hidden="false" customHeight="true" outlineLevel="0" collapsed="false">
      <c r="A911" s="64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</row>
    <row r="912" customFormat="false" ht="15.75" hidden="false" customHeight="true" outlineLevel="0" collapsed="false">
      <c r="A912" s="64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</row>
    <row r="913" customFormat="false" ht="15.75" hidden="false" customHeight="true" outlineLevel="0" collapsed="false">
      <c r="A913" s="64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</row>
    <row r="914" customFormat="false" ht="15.75" hidden="false" customHeight="true" outlineLevel="0" collapsed="false">
      <c r="A914" s="64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</row>
    <row r="915" customFormat="false" ht="15.75" hidden="false" customHeight="true" outlineLevel="0" collapsed="false">
      <c r="A915" s="64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</row>
    <row r="916" customFormat="false" ht="15.75" hidden="false" customHeight="true" outlineLevel="0" collapsed="false">
      <c r="A916" s="64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</row>
    <row r="917" customFormat="false" ht="15.75" hidden="false" customHeight="true" outlineLevel="0" collapsed="false">
      <c r="A917" s="64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</row>
    <row r="918" customFormat="false" ht="15.75" hidden="false" customHeight="true" outlineLevel="0" collapsed="false">
      <c r="A918" s="64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</row>
    <row r="919" customFormat="false" ht="15.75" hidden="false" customHeight="true" outlineLevel="0" collapsed="false">
      <c r="A919" s="64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</row>
    <row r="920" customFormat="false" ht="15.75" hidden="false" customHeight="true" outlineLevel="0" collapsed="false">
      <c r="A920" s="64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</row>
    <row r="921" customFormat="false" ht="15.75" hidden="false" customHeight="true" outlineLevel="0" collapsed="false">
      <c r="A921" s="64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</row>
    <row r="922" customFormat="false" ht="15.75" hidden="false" customHeight="true" outlineLevel="0" collapsed="false">
      <c r="A922" s="64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</row>
    <row r="923" customFormat="false" ht="15.75" hidden="false" customHeight="true" outlineLevel="0" collapsed="false">
      <c r="A923" s="64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</row>
    <row r="924" customFormat="false" ht="15.75" hidden="false" customHeight="true" outlineLevel="0" collapsed="false">
      <c r="A924" s="64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</row>
    <row r="925" customFormat="false" ht="15.75" hidden="false" customHeight="true" outlineLevel="0" collapsed="false">
      <c r="A925" s="64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</row>
    <row r="926" customFormat="false" ht="15.75" hidden="false" customHeight="true" outlineLevel="0" collapsed="false">
      <c r="A926" s="64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</row>
    <row r="927" customFormat="false" ht="15.75" hidden="false" customHeight="true" outlineLevel="0" collapsed="false">
      <c r="A927" s="64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</row>
    <row r="928" customFormat="false" ht="15.75" hidden="false" customHeight="true" outlineLevel="0" collapsed="false">
      <c r="A928" s="64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</row>
    <row r="929" customFormat="false" ht="15.75" hidden="false" customHeight="true" outlineLevel="0" collapsed="false">
      <c r="A929" s="644"/>
      <c r="B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</row>
  </sheetData>
  <mergeCells count="4">
    <mergeCell ref="B1:N1"/>
    <mergeCell ref="B6:L6"/>
    <mergeCell ref="B11:E11"/>
    <mergeCell ref="B16:F1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9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12.57"/>
    <col collapsed="false" customWidth="true" hidden="false" outlineLevel="0" max="3" min="2" style="0" width="20.71"/>
    <col collapsed="false" customWidth="true" hidden="false" outlineLevel="0" max="4" min="4" style="0" width="20.86"/>
    <col collapsed="false" customWidth="true" hidden="false" outlineLevel="0" max="25" min="5" style="0" width="20.71"/>
    <col collapsed="false" customWidth="true" hidden="false" outlineLevel="0" max="31" min="26" style="0" width="8.71"/>
  </cols>
  <sheetData>
    <row r="1" customFormat="false" ht="15.75" hidden="false" customHeight="true" outlineLevel="0" collapsed="false">
      <c r="A1" s="64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</row>
    <row r="2" customFormat="false" ht="15.75" hidden="false" customHeight="true" outlineLevel="0" collapsed="false">
      <c r="A2" s="655"/>
      <c r="B2" s="640" t="s">
        <v>618</v>
      </c>
      <c r="C2" s="640"/>
      <c r="D2" s="640"/>
      <c r="E2" s="640"/>
      <c r="F2" s="640"/>
      <c r="G2" s="640"/>
      <c r="H2" s="640"/>
      <c r="I2" s="640"/>
      <c r="J2" s="640"/>
      <c r="K2" s="640"/>
      <c r="L2" s="640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</row>
    <row r="3" customFormat="false" ht="99" hidden="false" customHeight="true" outlineLevel="0" collapsed="false">
      <c r="A3" s="647"/>
      <c r="B3" s="604"/>
      <c r="C3" s="604"/>
      <c r="D3" s="604"/>
      <c r="E3" s="604"/>
      <c r="F3" s="604"/>
      <c r="G3" s="604"/>
      <c r="H3" s="604"/>
      <c r="I3" s="604"/>
      <c r="J3" s="604"/>
      <c r="K3" s="604"/>
      <c r="L3" s="60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</row>
    <row r="4" customFormat="false" ht="15.75" hidden="false" customHeight="true" outlineLevel="0" collapsed="false">
      <c r="A4" s="646" t="s">
        <v>618</v>
      </c>
      <c r="B4" s="595" t="s">
        <v>53</v>
      </c>
      <c r="C4" s="595" t="s">
        <v>55</v>
      </c>
      <c r="D4" s="595" t="s">
        <v>57</v>
      </c>
      <c r="E4" s="595" t="s">
        <v>59</v>
      </c>
      <c r="F4" s="595" t="s">
        <v>61</v>
      </c>
      <c r="G4" s="595" t="s">
        <v>63</v>
      </c>
      <c r="H4" s="595" t="s">
        <v>65</v>
      </c>
      <c r="I4" s="595" t="s">
        <v>67</v>
      </c>
      <c r="J4" s="595" t="s">
        <v>68</v>
      </c>
      <c r="K4" s="595" t="s">
        <v>69</v>
      </c>
      <c r="L4" s="595" t="s">
        <v>70</v>
      </c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</row>
    <row r="5" customFormat="false" ht="15.75" hidden="true" customHeight="true" outlineLevel="0" collapsed="false">
      <c r="A5" s="641" t="s">
        <v>26</v>
      </c>
      <c r="B5" s="598"/>
      <c r="C5" s="598"/>
      <c r="D5" s="598"/>
      <c r="E5" s="598"/>
      <c r="F5" s="598"/>
      <c r="G5" s="598"/>
      <c r="H5" s="598"/>
      <c r="I5" s="598"/>
      <c r="J5" s="598"/>
      <c r="K5" s="598"/>
      <c r="L5" s="598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</row>
    <row r="6" customFormat="false" ht="15.75" hidden="false" customHeight="true" outlineLevel="0" collapsed="false">
      <c r="A6" s="641"/>
      <c r="B6" s="598"/>
      <c r="C6" s="598"/>
      <c r="D6" s="598"/>
      <c r="E6" s="598"/>
      <c r="F6" s="598"/>
      <c r="G6" s="598"/>
      <c r="H6" s="598"/>
      <c r="I6" s="598"/>
      <c r="J6" s="598"/>
      <c r="K6" s="598"/>
      <c r="L6" s="598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</row>
    <row r="7" customFormat="false" ht="15.75" hidden="false" customHeight="true" outlineLevel="0" collapsed="false">
      <c r="A7" s="641"/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</row>
    <row r="8" customFormat="false" ht="99" hidden="false" customHeight="true" outlineLevel="0" collapsed="false">
      <c r="A8" s="647"/>
      <c r="B8" s="604"/>
      <c r="C8" s="604"/>
      <c r="D8" s="604"/>
      <c r="E8" s="604"/>
      <c r="F8" s="604"/>
      <c r="G8" s="604"/>
      <c r="H8" s="604"/>
      <c r="I8" s="604"/>
      <c r="J8" s="604"/>
      <c r="K8" s="604"/>
      <c r="L8" s="60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</row>
    <row r="9" customFormat="false" ht="15.75" hidden="false" customHeight="true" outlineLevel="0" collapsed="false">
      <c r="A9" s="646" t="s">
        <v>618</v>
      </c>
      <c r="B9" s="595" t="s">
        <v>71</v>
      </c>
      <c r="C9" s="595" t="s">
        <v>72</v>
      </c>
      <c r="D9" s="595" t="s">
        <v>73</v>
      </c>
      <c r="E9" s="595" t="s">
        <v>74</v>
      </c>
      <c r="F9" s="595" t="s">
        <v>75</v>
      </c>
      <c r="G9" s="595" t="s">
        <v>76</v>
      </c>
      <c r="H9" s="595" t="s">
        <v>77</v>
      </c>
      <c r="I9" s="595" t="s">
        <v>78</v>
      </c>
      <c r="J9" s="595" t="s">
        <v>79</v>
      </c>
      <c r="K9" s="595" t="s">
        <v>80</v>
      </c>
      <c r="L9" s="602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</row>
    <row r="10" customFormat="false" ht="15.75" hidden="true" customHeight="true" outlineLevel="0" collapsed="false">
      <c r="A10" s="641" t="s">
        <v>26</v>
      </c>
      <c r="B10" s="598"/>
      <c r="C10" s="598"/>
      <c r="D10" s="598"/>
      <c r="E10" s="598"/>
      <c r="F10" s="598"/>
      <c r="G10" s="598"/>
      <c r="H10" s="598"/>
      <c r="I10" s="598"/>
      <c r="J10" s="598"/>
      <c r="K10" s="598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</row>
    <row r="11" customFormat="false" ht="15.75" hidden="false" customHeight="true" outlineLevel="0" collapsed="false">
      <c r="A11" s="641"/>
      <c r="B11" s="598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</row>
    <row r="12" customFormat="false" ht="15.75" hidden="false" customHeight="true" outlineLevel="0" collapsed="false">
      <c r="A12" s="641"/>
      <c r="B12" s="656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customFormat="false" ht="121.5" hidden="false" customHeight="true" outlineLevel="0" collapsed="false">
      <c r="A13" s="647"/>
      <c r="B13" s="60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</row>
    <row r="14" customFormat="false" ht="29.25" hidden="false" customHeight="true" outlineLevel="0" collapsed="false">
      <c r="A14" s="646" t="s">
        <v>618</v>
      </c>
      <c r="B14" s="602" t="s">
        <v>51</v>
      </c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</row>
    <row r="15" customFormat="false" ht="15.75" hidden="true" customHeight="true" outlineLevel="0" collapsed="false">
      <c r="A15" s="641" t="s">
        <v>26</v>
      </c>
      <c r="B15" s="598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</row>
    <row r="16" customFormat="false" ht="15.75" hidden="false" customHeight="true" outlineLevel="0" collapsed="false">
      <c r="A16" s="64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</row>
    <row r="17" customFormat="false" ht="15.75" hidden="false" customHeight="true" outlineLevel="0" collapsed="false">
      <c r="A17" s="64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customFormat="false" ht="15.75" hidden="false" customHeight="true" outlineLevel="0" collapsed="false">
      <c r="A18" s="64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</row>
    <row r="19" customFormat="false" ht="15.75" hidden="false" customHeight="true" outlineLevel="0" collapsed="false">
      <c r="A19" s="64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</row>
    <row r="20" customFormat="false" ht="15.75" hidden="false" customHeight="true" outlineLevel="0" collapsed="false">
      <c r="A20" s="64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</row>
    <row r="21" customFormat="false" ht="15.75" hidden="false" customHeight="true" outlineLevel="0" collapsed="false">
      <c r="A21" s="64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customFormat="false" ht="15.75" hidden="false" customHeight="true" outlineLevel="0" collapsed="false">
      <c r="A22" s="64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</row>
    <row r="23" customFormat="false" ht="15.75" hidden="false" customHeight="true" outlineLevel="0" collapsed="false">
      <c r="A23" s="64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</row>
    <row r="24" customFormat="false" ht="15.75" hidden="false" customHeight="true" outlineLevel="0" collapsed="false">
      <c r="A24" s="64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</row>
    <row r="25" customFormat="false" ht="15.75" hidden="false" customHeight="true" outlineLevel="0" collapsed="false">
      <c r="A25" s="64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</row>
    <row r="26" customFormat="false" ht="15.75" hidden="false" customHeight="true" outlineLevel="0" collapsed="false">
      <c r="A26" s="64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</row>
    <row r="27" customFormat="false" ht="15.75" hidden="false" customHeight="true" outlineLevel="0" collapsed="false">
      <c r="A27" s="64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</row>
    <row r="28" customFormat="false" ht="15.75" hidden="false" customHeight="true" outlineLevel="0" collapsed="false">
      <c r="A28" s="64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</row>
    <row r="29" customFormat="false" ht="15.75" hidden="false" customHeight="true" outlineLevel="0" collapsed="false">
      <c r="A29" s="64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</row>
    <row r="30" customFormat="false" ht="15.75" hidden="false" customHeight="true" outlineLevel="0" collapsed="false">
      <c r="A30" s="64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</row>
    <row r="31" customFormat="false" ht="15.75" hidden="false" customHeight="true" outlineLevel="0" collapsed="false">
      <c r="A31" s="64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customFormat="false" ht="15.75" hidden="false" customHeight="true" outlineLevel="0" collapsed="false">
      <c r="A32" s="64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</row>
    <row r="33" customFormat="false" ht="15.75" hidden="false" customHeight="true" outlineLevel="0" collapsed="false">
      <c r="A33" s="64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</row>
    <row r="34" customFormat="false" ht="15.75" hidden="false" customHeight="true" outlineLevel="0" collapsed="false">
      <c r="A34" s="64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</row>
    <row r="35" customFormat="false" ht="15.75" hidden="false" customHeight="true" outlineLevel="0" collapsed="false">
      <c r="A35" s="64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customFormat="false" ht="15.75" hidden="false" customHeight="true" outlineLevel="0" collapsed="false">
      <c r="A36" s="64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</row>
    <row r="37" customFormat="false" ht="15.75" hidden="false" customHeight="true" outlineLevel="0" collapsed="false">
      <c r="A37" s="64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</row>
    <row r="38" customFormat="false" ht="15.75" hidden="false" customHeight="true" outlineLevel="0" collapsed="false">
      <c r="A38" s="64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</row>
    <row r="39" customFormat="false" ht="15.75" hidden="false" customHeight="true" outlineLevel="0" collapsed="false">
      <c r="A39" s="64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</row>
    <row r="40" customFormat="false" ht="15.75" hidden="false" customHeight="true" outlineLevel="0" collapsed="false">
      <c r="A40" s="64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customFormat="false" ht="15.75" hidden="false" customHeight="true" outlineLevel="0" collapsed="false">
      <c r="A41" s="64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</row>
    <row r="42" customFormat="false" ht="15.75" hidden="false" customHeight="true" outlineLevel="0" collapsed="false">
      <c r="A42" s="64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</row>
    <row r="43" customFormat="false" ht="15.75" hidden="false" customHeight="true" outlineLevel="0" collapsed="false">
      <c r="A43" s="64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</row>
    <row r="44" customFormat="false" ht="15.75" hidden="false" customHeight="true" outlineLevel="0" collapsed="false">
      <c r="A44" s="64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</row>
    <row r="45" customFormat="false" ht="15.75" hidden="false" customHeight="true" outlineLevel="0" collapsed="false">
      <c r="A45" s="64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customFormat="false" ht="15.75" hidden="false" customHeight="true" outlineLevel="0" collapsed="false">
      <c r="A46" s="64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</row>
    <row r="47" customFormat="false" ht="15.75" hidden="false" customHeight="true" outlineLevel="0" collapsed="false">
      <c r="A47" s="64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</row>
    <row r="48" customFormat="false" ht="15.75" hidden="false" customHeight="true" outlineLevel="0" collapsed="false">
      <c r="A48" s="64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</row>
    <row r="49" customFormat="false" ht="15.75" hidden="false" customHeight="true" outlineLevel="0" collapsed="false">
      <c r="A49" s="64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</row>
    <row r="50" customFormat="false" ht="15.75" hidden="false" customHeight="true" outlineLevel="0" collapsed="false">
      <c r="A50" s="64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</row>
    <row r="51" customFormat="false" ht="15.75" hidden="false" customHeight="true" outlineLevel="0" collapsed="false">
      <c r="A51" s="64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</row>
    <row r="52" customFormat="false" ht="15.75" hidden="false" customHeight="true" outlineLevel="0" collapsed="false">
      <c r="A52" s="64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</row>
    <row r="53" customFormat="false" ht="15.75" hidden="false" customHeight="true" outlineLevel="0" collapsed="false">
      <c r="A53" s="64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</row>
    <row r="54" customFormat="false" ht="15.75" hidden="false" customHeight="true" outlineLevel="0" collapsed="false">
      <c r="A54" s="64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</row>
    <row r="55" customFormat="false" ht="15.75" hidden="false" customHeight="true" outlineLevel="0" collapsed="false">
      <c r="A55" s="64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</row>
    <row r="56" customFormat="false" ht="15.75" hidden="false" customHeight="true" outlineLevel="0" collapsed="false">
      <c r="A56" s="64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</row>
    <row r="57" customFormat="false" ht="15.75" hidden="false" customHeight="true" outlineLevel="0" collapsed="false">
      <c r="A57" s="64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</row>
    <row r="58" customFormat="false" ht="15.75" hidden="false" customHeight="true" outlineLevel="0" collapsed="false">
      <c r="A58" s="64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</row>
    <row r="59" customFormat="false" ht="15.75" hidden="false" customHeight="true" outlineLevel="0" collapsed="false">
      <c r="A59" s="64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</row>
    <row r="60" customFormat="false" ht="15.75" hidden="false" customHeight="true" outlineLevel="0" collapsed="false">
      <c r="A60" s="64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</row>
    <row r="61" customFormat="false" ht="15.75" hidden="false" customHeight="true" outlineLevel="0" collapsed="false">
      <c r="A61" s="64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</row>
    <row r="62" customFormat="false" ht="15.75" hidden="false" customHeight="true" outlineLevel="0" collapsed="false">
      <c r="A62" s="64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</row>
    <row r="63" customFormat="false" ht="15.75" hidden="false" customHeight="true" outlineLevel="0" collapsed="false">
      <c r="A63" s="64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</row>
    <row r="64" customFormat="false" ht="15.75" hidden="false" customHeight="true" outlineLevel="0" collapsed="false">
      <c r="A64" s="64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</row>
    <row r="65" customFormat="false" ht="15.75" hidden="false" customHeight="true" outlineLevel="0" collapsed="false">
      <c r="A65" s="64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</row>
    <row r="66" customFormat="false" ht="15.75" hidden="false" customHeight="true" outlineLevel="0" collapsed="false">
      <c r="A66" s="64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</row>
    <row r="67" customFormat="false" ht="15.75" hidden="false" customHeight="true" outlineLevel="0" collapsed="false">
      <c r="A67" s="64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</row>
    <row r="68" customFormat="false" ht="15.75" hidden="false" customHeight="true" outlineLevel="0" collapsed="false">
      <c r="A68" s="64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</row>
    <row r="69" customFormat="false" ht="15.75" hidden="false" customHeight="true" outlineLevel="0" collapsed="false">
      <c r="A69" s="64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</row>
    <row r="70" customFormat="false" ht="15.75" hidden="false" customHeight="true" outlineLevel="0" collapsed="false">
      <c r="A70" s="64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</row>
    <row r="71" customFormat="false" ht="15.75" hidden="false" customHeight="true" outlineLevel="0" collapsed="false">
      <c r="A71" s="64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</row>
    <row r="72" customFormat="false" ht="15.75" hidden="false" customHeight="true" outlineLevel="0" collapsed="false">
      <c r="A72" s="64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</row>
    <row r="73" customFormat="false" ht="15.75" hidden="false" customHeight="true" outlineLevel="0" collapsed="false">
      <c r="A73" s="64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</row>
    <row r="74" customFormat="false" ht="15.75" hidden="false" customHeight="true" outlineLevel="0" collapsed="false">
      <c r="A74" s="64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</row>
    <row r="75" customFormat="false" ht="15.75" hidden="false" customHeight="true" outlineLevel="0" collapsed="false">
      <c r="A75" s="64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</row>
    <row r="76" customFormat="false" ht="15.75" hidden="false" customHeight="true" outlineLevel="0" collapsed="false">
      <c r="A76" s="64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</row>
    <row r="77" customFormat="false" ht="15.75" hidden="false" customHeight="true" outlineLevel="0" collapsed="false">
      <c r="A77" s="64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</row>
    <row r="78" customFormat="false" ht="15.75" hidden="false" customHeight="true" outlineLevel="0" collapsed="false">
      <c r="A78" s="64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</row>
    <row r="79" customFormat="false" ht="15.75" hidden="false" customHeight="true" outlineLevel="0" collapsed="false">
      <c r="A79" s="64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</row>
    <row r="80" customFormat="false" ht="15.75" hidden="false" customHeight="true" outlineLevel="0" collapsed="false">
      <c r="A80" s="64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</row>
    <row r="81" customFormat="false" ht="15.75" hidden="false" customHeight="true" outlineLevel="0" collapsed="false">
      <c r="A81" s="64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</row>
    <row r="82" customFormat="false" ht="15.75" hidden="false" customHeight="true" outlineLevel="0" collapsed="false">
      <c r="A82" s="64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</row>
    <row r="83" customFormat="false" ht="15.75" hidden="false" customHeight="true" outlineLevel="0" collapsed="false">
      <c r="A83" s="64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</row>
    <row r="84" customFormat="false" ht="15.75" hidden="false" customHeight="true" outlineLevel="0" collapsed="false">
      <c r="A84" s="64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</row>
    <row r="85" customFormat="false" ht="15.75" hidden="false" customHeight="true" outlineLevel="0" collapsed="false">
      <c r="A85" s="64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</row>
    <row r="86" customFormat="false" ht="15.75" hidden="false" customHeight="true" outlineLevel="0" collapsed="false">
      <c r="A86" s="64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</row>
    <row r="87" customFormat="false" ht="15.75" hidden="false" customHeight="true" outlineLevel="0" collapsed="false">
      <c r="A87" s="64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</row>
    <row r="88" customFormat="false" ht="15.75" hidden="false" customHeight="true" outlineLevel="0" collapsed="false">
      <c r="A88" s="64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</row>
    <row r="89" customFormat="false" ht="15.75" hidden="false" customHeight="true" outlineLevel="0" collapsed="false">
      <c r="A89" s="64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</row>
    <row r="90" customFormat="false" ht="15.75" hidden="false" customHeight="true" outlineLevel="0" collapsed="false">
      <c r="A90" s="64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</row>
    <row r="91" customFormat="false" ht="15.75" hidden="false" customHeight="true" outlineLevel="0" collapsed="false">
      <c r="A91" s="64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</row>
    <row r="92" customFormat="false" ht="15.75" hidden="false" customHeight="true" outlineLevel="0" collapsed="false">
      <c r="A92" s="64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</row>
    <row r="93" customFormat="false" ht="15.75" hidden="false" customHeight="true" outlineLevel="0" collapsed="false">
      <c r="A93" s="64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</row>
    <row r="94" customFormat="false" ht="15.75" hidden="false" customHeight="true" outlineLevel="0" collapsed="false">
      <c r="A94" s="64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</row>
    <row r="95" customFormat="false" ht="15.75" hidden="false" customHeight="true" outlineLevel="0" collapsed="false">
      <c r="A95" s="64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</row>
    <row r="96" customFormat="false" ht="15.75" hidden="false" customHeight="true" outlineLevel="0" collapsed="false">
      <c r="A96" s="64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</row>
    <row r="97" customFormat="false" ht="15.75" hidden="false" customHeight="true" outlineLevel="0" collapsed="false">
      <c r="A97" s="64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</row>
    <row r="98" customFormat="false" ht="15.75" hidden="false" customHeight="true" outlineLevel="0" collapsed="false">
      <c r="A98" s="64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</row>
    <row r="99" customFormat="false" ht="15.75" hidden="false" customHeight="true" outlineLevel="0" collapsed="false">
      <c r="A99" s="64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</row>
    <row r="100" customFormat="false" ht="15.75" hidden="false" customHeight="true" outlineLevel="0" collapsed="false">
      <c r="A100" s="64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</row>
    <row r="101" customFormat="false" ht="15.75" hidden="false" customHeight="true" outlineLevel="0" collapsed="false">
      <c r="A101" s="64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</row>
    <row r="102" customFormat="false" ht="15.75" hidden="false" customHeight="true" outlineLevel="0" collapsed="false">
      <c r="A102" s="64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</row>
    <row r="103" customFormat="false" ht="15.75" hidden="false" customHeight="true" outlineLevel="0" collapsed="false">
      <c r="A103" s="64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</row>
    <row r="104" customFormat="false" ht="15.75" hidden="false" customHeight="true" outlineLevel="0" collapsed="false">
      <c r="A104" s="64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</row>
    <row r="105" customFormat="false" ht="15.75" hidden="false" customHeight="true" outlineLevel="0" collapsed="false">
      <c r="A105" s="64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</row>
    <row r="106" customFormat="false" ht="15.75" hidden="false" customHeight="true" outlineLevel="0" collapsed="false">
      <c r="A106" s="64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</row>
    <row r="107" customFormat="false" ht="15.75" hidden="false" customHeight="true" outlineLevel="0" collapsed="false">
      <c r="A107" s="64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</row>
    <row r="108" customFormat="false" ht="15.75" hidden="false" customHeight="true" outlineLevel="0" collapsed="false">
      <c r="A108" s="64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</row>
    <row r="109" customFormat="false" ht="15.75" hidden="false" customHeight="true" outlineLevel="0" collapsed="false">
      <c r="A109" s="64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</row>
    <row r="110" customFormat="false" ht="15.75" hidden="false" customHeight="true" outlineLevel="0" collapsed="false">
      <c r="A110" s="64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</row>
    <row r="111" customFormat="false" ht="15.75" hidden="false" customHeight="true" outlineLevel="0" collapsed="false">
      <c r="A111" s="64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</row>
    <row r="112" customFormat="false" ht="15.75" hidden="false" customHeight="true" outlineLevel="0" collapsed="false">
      <c r="A112" s="64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</row>
    <row r="113" customFormat="false" ht="15.75" hidden="false" customHeight="true" outlineLevel="0" collapsed="false">
      <c r="A113" s="64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</row>
    <row r="114" customFormat="false" ht="15.75" hidden="false" customHeight="true" outlineLevel="0" collapsed="false">
      <c r="A114" s="64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</row>
    <row r="115" customFormat="false" ht="15.75" hidden="false" customHeight="true" outlineLevel="0" collapsed="false">
      <c r="A115" s="64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</row>
    <row r="116" customFormat="false" ht="15.75" hidden="false" customHeight="true" outlineLevel="0" collapsed="false">
      <c r="A116" s="64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</row>
    <row r="117" customFormat="false" ht="15.75" hidden="false" customHeight="true" outlineLevel="0" collapsed="false">
      <c r="A117" s="64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</row>
    <row r="118" customFormat="false" ht="15.75" hidden="false" customHeight="true" outlineLevel="0" collapsed="false">
      <c r="A118" s="64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</row>
    <row r="119" customFormat="false" ht="15.75" hidden="false" customHeight="true" outlineLevel="0" collapsed="false">
      <c r="A119" s="64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</row>
    <row r="120" customFormat="false" ht="15.75" hidden="false" customHeight="true" outlineLevel="0" collapsed="false">
      <c r="A120" s="64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</row>
    <row r="121" customFormat="false" ht="15.75" hidden="false" customHeight="true" outlineLevel="0" collapsed="false">
      <c r="A121" s="64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</row>
    <row r="122" customFormat="false" ht="15.75" hidden="false" customHeight="true" outlineLevel="0" collapsed="false">
      <c r="A122" s="64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</row>
    <row r="123" customFormat="false" ht="15.75" hidden="false" customHeight="true" outlineLevel="0" collapsed="false">
      <c r="A123" s="64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</row>
    <row r="124" customFormat="false" ht="15.75" hidden="false" customHeight="true" outlineLevel="0" collapsed="false">
      <c r="A124" s="64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</row>
    <row r="125" customFormat="false" ht="15.75" hidden="false" customHeight="true" outlineLevel="0" collapsed="false">
      <c r="A125" s="64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</row>
    <row r="126" customFormat="false" ht="15.75" hidden="false" customHeight="true" outlineLevel="0" collapsed="false">
      <c r="A126" s="64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</row>
    <row r="127" customFormat="false" ht="15.75" hidden="false" customHeight="true" outlineLevel="0" collapsed="false">
      <c r="A127" s="64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</row>
    <row r="128" customFormat="false" ht="15.75" hidden="false" customHeight="true" outlineLevel="0" collapsed="false">
      <c r="A128" s="64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</row>
    <row r="129" customFormat="false" ht="15.75" hidden="false" customHeight="true" outlineLevel="0" collapsed="false">
      <c r="A129" s="64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</row>
    <row r="130" customFormat="false" ht="15.75" hidden="false" customHeight="true" outlineLevel="0" collapsed="false">
      <c r="A130" s="64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</row>
    <row r="131" customFormat="false" ht="15.75" hidden="false" customHeight="true" outlineLevel="0" collapsed="false">
      <c r="A131" s="64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</row>
    <row r="132" customFormat="false" ht="15.75" hidden="false" customHeight="true" outlineLevel="0" collapsed="false">
      <c r="A132" s="64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</row>
    <row r="133" customFormat="false" ht="15.75" hidden="false" customHeight="true" outlineLevel="0" collapsed="false">
      <c r="A133" s="64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</row>
    <row r="134" customFormat="false" ht="15.75" hidden="false" customHeight="true" outlineLevel="0" collapsed="false">
      <c r="A134" s="64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</row>
    <row r="135" customFormat="false" ht="15.75" hidden="false" customHeight="true" outlineLevel="0" collapsed="false">
      <c r="A135" s="64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</row>
    <row r="136" customFormat="false" ht="15.75" hidden="false" customHeight="true" outlineLevel="0" collapsed="false">
      <c r="A136" s="64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</row>
    <row r="137" customFormat="false" ht="15.75" hidden="false" customHeight="true" outlineLevel="0" collapsed="false">
      <c r="A137" s="64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</row>
    <row r="138" customFormat="false" ht="15.75" hidden="false" customHeight="true" outlineLevel="0" collapsed="false">
      <c r="A138" s="64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</row>
    <row r="139" customFormat="false" ht="15.75" hidden="false" customHeight="true" outlineLevel="0" collapsed="false">
      <c r="A139" s="64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</row>
    <row r="140" customFormat="false" ht="15.75" hidden="false" customHeight="true" outlineLevel="0" collapsed="false">
      <c r="A140" s="64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</row>
    <row r="141" customFormat="false" ht="15.75" hidden="false" customHeight="true" outlineLevel="0" collapsed="false">
      <c r="A141" s="64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</row>
    <row r="142" customFormat="false" ht="15.75" hidden="false" customHeight="true" outlineLevel="0" collapsed="false">
      <c r="A142" s="64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</row>
    <row r="143" customFormat="false" ht="15.75" hidden="false" customHeight="true" outlineLevel="0" collapsed="false">
      <c r="A143" s="64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</row>
    <row r="144" customFormat="false" ht="15.75" hidden="false" customHeight="true" outlineLevel="0" collapsed="false">
      <c r="A144" s="64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</row>
    <row r="145" customFormat="false" ht="15.75" hidden="false" customHeight="true" outlineLevel="0" collapsed="false">
      <c r="A145" s="64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</row>
    <row r="146" customFormat="false" ht="15.75" hidden="false" customHeight="true" outlineLevel="0" collapsed="false">
      <c r="A146" s="64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</row>
    <row r="147" customFormat="false" ht="15.75" hidden="false" customHeight="true" outlineLevel="0" collapsed="false">
      <c r="A147" s="64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</row>
    <row r="148" customFormat="false" ht="15.75" hidden="false" customHeight="true" outlineLevel="0" collapsed="false">
      <c r="A148" s="64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</row>
    <row r="149" customFormat="false" ht="15.75" hidden="false" customHeight="true" outlineLevel="0" collapsed="false">
      <c r="A149" s="64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</row>
    <row r="150" customFormat="false" ht="15.75" hidden="false" customHeight="true" outlineLevel="0" collapsed="false">
      <c r="A150" s="64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</row>
    <row r="151" customFormat="false" ht="15.75" hidden="false" customHeight="true" outlineLevel="0" collapsed="false">
      <c r="A151" s="64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</row>
    <row r="152" customFormat="false" ht="15.75" hidden="false" customHeight="true" outlineLevel="0" collapsed="false">
      <c r="A152" s="64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</row>
    <row r="153" customFormat="false" ht="15.75" hidden="false" customHeight="true" outlineLevel="0" collapsed="false">
      <c r="A153" s="64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</row>
    <row r="154" customFormat="false" ht="15.75" hidden="false" customHeight="true" outlineLevel="0" collapsed="false">
      <c r="A154" s="64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</row>
    <row r="155" customFormat="false" ht="15.75" hidden="false" customHeight="true" outlineLevel="0" collapsed="false">
      <c r="A155" s="64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</row>
    <row r="156" customFormat="false" ht="15.75" hidden="false" customHeight="true" outlineLevel="0" collapsed="false">
      <c r="A156" s="64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</row>
    <row r="157" customFormat="false" ht="15.75" hidden="false" customHeight="true" outlineLevel="0" collapsed="false">
      <c r="A157" s="64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</row>
    <row r="158" customFormat="false" ht="15.75" hidden="false" customHeight="true" outlineLevel="0" collapsed="false">
      <c r="A158" s="64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</row>
    <row r="159" customFormat="false" ht="15.75" hidden="false" customHeight="true" outlineLevel="0" collapsed="false">
      <c r="A159" s="64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</row>
    <row r="160" customFormat="false" ht="15.75" hidden="false" customHeight="true" outlineLevel="0" collapsed="false">
      <c r="A160" s="64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</row>
    <row r="161" customFormat="false" ht="15.75" hidden="false" customHeight="true" outlineLevel="0" collapsed="false">
      <c r="A161" s="64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</row>
    <row r="162" customFormat="false" ht="15.75" hidden="false" customHeight="true" outlineLevel="0" collapsed="false">
      <c r="A162" s="64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</row>
    <row r="163" customFormat="false" ht="15.75" hidden="false" customHeight="true" outlineLevel="0" collapsed="false">
      <c r="A163" s="64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</row>
    <row r="164" customFormat="false" ht="15.75" hidden="false" customHeight="true" outlineLevel="0" collapsed="false">
      <c r="A164" s="64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</row>
    <row r="165" customFormat="false" ht="15.75" hidden="false" customHeight="true" outlineLevel="0" collapsed="false">
      <c r="A165" s="64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</row>
    <row r="166" customFormat="false" ht="15.75" hidden="false" customHeight="true" outlineLevel="0" collapsed="false">
      <c r="A166" s="64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</row>
    <row r="167" customFormat="false" ht="15.75" hidden="false" customHeight="true" outlineLevel="0" collapsed="false">
      <c r="A167" s="64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</row>
    <row r="168" customFormat="false" ht="15.75" hidden="false" customHeight="true" outlineLevel="0" collapsed="false">
      <c r="A168" s="64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</row>
    <row r="169" customFormat="false" ht="15.75" hidden="false" customHeight="true" outlineLevel="0" collapsed="false">
      <c r="A169" s="64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</row>
    <row r="170" customFormat="false" ht="15.75" hidden="false" customHeight="true" outlineLevel="0" collapsed="false">
      <c r="A170" s="64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</row>
    <row r="171" customFormat="false" ht="15.75" hidden="false" customHeight="true" outlineLevel="0" collapsed="false">
      <c r="A171" s="64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</row>
    <row r="172" customFormat="false" ht="15.75" hidden="false" customHeight="true" outlineLevel="0" collapsed="false">
      <c r="A172" s="64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</row>
    <row r="173" customFormat="false" ht="15.75" hidden="false" customHeight="true" outlineLevel="0" collapsed="false">
      <c r="A173" s="64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</row>
    <row r="174" customFormat="false" ht="15.75" hidden="false" customHeight="true" outlineLevel="0" collapsed="false">
      <c r="A174" s="64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</row>
    <row r="175" customFormat="false" ht="15.75" hidden="false" customHeight="true" outlineLevel="0" collapsed="false">
      <c r="A175" s="64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</row>
    <row r="176" customFormat="false" ht="15.75" hidden="false" customHeight="true" outlineLevel="0" collapsed="false">
      <c r="A176" s="64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</row>
    <row r="177" customFormat="false" ht="15.75" hidden="false" customHeight="true" outlineLevel="0" collapsed="false">
      <c r="A177" s="64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</row>
    <row r="178" customFormat="false" ht="15.75" hidden="false" customHeight="true" outlineLevel="0" collapsed="false">
      <c r="A178" s="64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</row>
    <row r="179" customFormat="false" ht="15.75" hidden="false" customHeight="true" outlineLevel="0" collapsed="false">
      <c r="A179" s="64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</row>
    <row r="180" customFormat="false" ht="15.75" hidden="false" customHeight="true" outlineLevel="0" collapsed="false">
      <c r="A180" s="64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</row>
    <row r="181" customFormat="false" ht="15.75" hidden="false" customHeight="true" outlineLevel="0" collapsed="false">
      <c r="A181" s="64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</row>
    <row r="182" customFormat="false" ht="15.75" hidden="false" customHeight="true" outlineLevel="0" collapsed="false">
      <c r="A182" s="64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</row>
    <row r="183" customFormat="false" ht="15.75" hidden="false" customHeight="true" outlineLevel="0" collapsed="false">
      <c r="A183" s="64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</row>
    <row r="184" customFormat="false" ht="15.75" hidden="false" customHeight="true" outlineLevel="0" collapsed="false">
      <c r="A184" s="64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</row>
    <row r="185" customFormat="false" ht="15.75" hidden="false" customHeight="true" outlineLevel="0" collapsed="false">
      <c r="A185" s="64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</row>
    <row r="186" customFormat="false" ht="15.75" hidden="false" customHeight="true" outlineLevel="0" collapsed="false">
      <c r="A186" s="64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</row>
    <row r="187" customFormat="false" ht="15.75" hidden="false" customHeight="true" outlineLevel="0" collapsed="false">
      <c r="A187" s="64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</row>
    <row r="188" customFormat="false" ht="15.75" hidden="false" customHeight="true" outlineLevel="0" collapsed="false">
      <c r="A188" s="64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</row>
    <row r="189" customFormat="false" ht="15.75" hidden="false" customHeight="true" outlineLevel="0" collapsed="false">
      <c r="A189" s="64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</row>
    <row r="190" customFormat="false" ht="15.75" hidden="false" customHeight="true" outlineLevel="0" collapsed="false">
      <c r="A190" s="64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</row>
    <row r="191" customFormat="false" ht="15.75" hidden="false" customHeight="true" outlineLevel="0" collapsed="false">
      <c r="A191" s="64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</row>
    <row r="192" customFormat="false" ht="15.75" hidden="false" customHeight="true" outlineLevel="0" collapsed="false">
      <c r="A192" s="64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</row>
    <row r="193" customFormat="false" ht="15.75" hidden="false" customHeight="true" outlineLevel="0" collapsed="false">
      <c r="A193" s="64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</row>
    <row r="194" customFormat="false" ht="15.75" hidden="false" customHeight="true" outlineLevel="0" collapsed="false">
      <c r="A194" s="64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</row>
    <row r="195" customFormat="false" ht="15.75" hidden="false" customHeight="true" outlineLevel="0" collapsed="false">
      <c r="A195" s="64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</row>
    <row r="196" customFormat="false" ht="15.75" hidden="false" customHeight="true" outlineLevel="0" collapsed="false">
      <c r="A196" s="64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</row>
    <row r="197" customFormat="false" ht="15.75" hidden="false" customHeight="true" outlineLevel="0" collapsed="false">
      <c r="A197" s="64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</row>
    <row r="198" customFormat="false" ht="15.75" hidden="false" customHeight="true" outlineLevel="0" collapsed="false">
      <c r="A198" s="64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</row>
    <row r="199" customFormat="false" ht="15.75" hidden="false" customHeight="true" outlineLevel="0" collapsed="false">
      <c r="A199" s="64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</row>
    <row r="200" customFormat="false" ht="15.75" hidden="false" customHeight="true" outlineLevel="0" collapsed="false">
      <c r="A200" s="64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</row>
    <row r="201" customFormat="false" ht="15.75" hidden="false" customHeight="true" outlineLevel="0" collapsed="false">
      <c r="A201" s="64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</row>
    <row r="202" customFormat="false" ht="15.75" hidden="false" customHeight="true" outlineLevel="0" collapsed="false">
      <c r="A202" s="64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</row>
    <row r="203" customFormat="false" ht="15.75" hidden="false" customHeight="true" outlineLevel="0" collapsed="false">
      <c r="A203" s="64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</row>
    <row r="204" customFormat="false" ht="15.75" hidden="false" customHeight="true" outlineLevel="0" collapsed="false">
      <c r="A204" s="64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</row>
    <row r="205" customFormat="false" ht="15.75" hidden="false" customHeight="true" outlineLevel="0" collapsed="false">
      <c r="A205" s="64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</row>
    <row r="206" customFormat="false" ht="15.75" hidden="false" customHeight="true" outlineLevel="0" collapsed="false">
      <c r="A206" s="64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</row>
    <row r="207" customFormat="false" ht="15.75" hidden="false" customHeight="true" outlineLevel="0" collapsed="false">
      <c r="A207" s="64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</row>
    <row r="208" customFormat="false" ht="15.75" hidden="false" customHeight="true" outlineLevel="0" collapsed="false">
      <c r="A208" s="64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</row>
    <row r="209" customFormat="false" ht="15.75" hidden="false" customHeight="true" outlineLevel="0" collapsed="false">
      <c r="A209" s="64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</row>
    <row r="210" customFormat="false" ht="15.75" hidden="false" customHeight="true" outlineLevel="0" collapsed="false">
      <c r="A210" s="64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</row>
    <row r="211" customFormat="false" ht="15.75" hidden="false" customHeight="true" outlineLevel="0" collapsed="false">
      <c r="A211" s="64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</row>
    <row r="212" customFormat="false" ht="15.75" hidden="false" customHeight="true" outlineLevel="0" collapsed="false">
      <c r="A212" s="64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</row>
    <row r="213" customFormat="false" ht="15.75" hidden="false" customHeight="true" outlineLevel="0" collapsed="false">
      <c r="A213" s="64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</row>
    <row r="214" customFormat="false" ht="15.75" hidden="false" customHeight="true" outlineLevel="0" collapsed="false">
      <c r="A214" s="64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</row>
    <row r="215" customFormat="false" ht="15.75" hidden="false" customHeight="true" outlineLevel="0" collapsed="false">
      <c r="A215" s="64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</row>
    <row r="216" customFormat="false" ht="15.75" hidden="false" customHeight="true" outlineLevel="0" collapsed="false">
      <c r="A216" s="64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</row>
    <row r="217" customFormat="false" ht="15.75" hidden="false" customHeight="true" outlineLevel="0" collapsed="false">
      <c r="A217" s="64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</row>
    <row r="218" customFormat="false" ht="15.75" hidden="false" customHeight="true" outlineLevel="0" collapsed="false">
      <c r="A218" s="64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</row>
    <row r="219" customFormat="false" ht="15.75" hidden="false" customHeight="true" outlineLevel="0" collapsed="false">
      <c r="A219" s="64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</row>
    <row r="220" customFormat="false" ht="15.75" hidden="false" customHeight="true" outlineLevel="0" collapsed="false">
      <c r="A220" s="64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</row>
    <row r="221" customFormat="false" ht="15.75" hidden="false" customHeight="true" outlineLevel="0" collapsed="false">
      <c r="A221" s="64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</row>
    <row r="222" customFormat="false" ht="15.75" hidden="false" customHeight="true" outlineLevel="0" collapsed="false">
      <c r="A222" s="64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</row>
    <row r="223" customFormat="false" ht="15.75" hidden="false" customHeight="true" outlineLevel="0" collapsed="false">
      <c r="A223" s="64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</row>
    <row r="224" customFormat="false" ht="15.75" hidden="false" customHeight="true" outlineLevel="0" collapsed="false">
      <c r="A224" s="64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</row>
    <row r="225" customFormat="false" ht="15.75" hidden="false" customHeight="true" outlineLevel="0" collapsed="false">
      <c r="A225" s="64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</row>
    <row r="226" customFormat="false" ht="15.75" hidden="false" customHeight="true" outlineLevel="0" collapsed="false">
      <c r="A226" s="64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</row>
    <row r="227" customFormat="false" ht="15.75" hidden="false" customHeight="true" outlineLevel="0" collapsed="false">
      <c r="A227" s="64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</row>
    <row r="228" customFormat="false" ht="15.75" hidden="false" customHeight="true" outlineLevel="0" collapsed="false">
      <c r="A228" s="64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</row>
    <row r="229" customFormat="false" ht="15.75" hidden="false" customHeight="true" outlineLevel="0" collapsed="false">
      <c r="A229" s="64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</row>
    <row r="230" customFormat="false" ht="15.75" hidden="false" customHeight="true" outlineLevel="0" collapsed="false">
      <c r="A230" s="64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</row>
    <row r="231" customFormat="false" ht="15.75" hidden="false" customHeight="true" outlineLevel="0" collapsed="false">
      <c r="A231" s="64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</row>
    <row r="232" customFormat="false" ht="15.75" hidden="false" customHeight="true" outlineLevel="0" collapsed="false">
      <c r="A232" s="64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</row>
    <row r="233" customFormat="false" ht="15.75" hidden="false" customHeight="true" outlineLevel="0" collapsed="false">
      <c r="A233" s="64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</row>
    <row r="234" customFormat="false" ht="15.75" hidden="false" customHeight="true" outlineLevel="0" collapsed="false">
      <c r="A234" s="64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</row>
    <row r="235" customFormat="false" ht="15.75" hidden="false" customHeight="true" outlineLevel="0" collapsed="false">
      <c r="A235" s="64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</row>
    <row r="236" customFormat="false" ht="15.75" hidden="false" customHeight="true" outlineLevel="0" collapsed="false">
      <c r="A236" s="64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</row>
    <row r="237" customFormat="false" ht="15.75" hidden="false" customHeight="true" outlineLevel="0" collapsed="false">
      <c r="A237" s="64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</row>
    <row r="238" customFormat="false" ht="15.75" hidden="false" customHeight="true" outlineLevel="0" collapsed="false">
      <c r="A238" s="64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</row>
    <row r="239" customFormat="false" ht="15.75" hidden="false" customHeight="true" outlineLevel="0" collapsed="false">
      <c r="A239" s="64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</row>
    <row r="240" customFormat="false" ht="15.75" hidden="false" customHeight="true" outlineLevel="0" collapsed="false">
      <c r="A240" s="64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</row>
    <row r="241" customFormat="false" ht="15.75" hidden="false" customHeight="true" outlineLevel="0" collapsed="false">
      <c r="A241" s="64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</row>
    <row r="242" customFormat="false" ht="15.75" hidden="false" customHeight="true" outlineLevel="0" collapsed="false">
      <c r="A242" s="64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</row>
    <row r="243" customFormat="false" ht="15.75" hidden="false" customHeight="true" outlineLevel="0" collapsed="false">
      <c r="A243" s="64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</row>
    <row r="244" customFormat="false" ht="15.75" hidden="false" customHeight="true" outlineLevel="0" collapsed="false">
      <c r="A244" s="64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</row>
    <row r="245" customFormat="false" ht="15.75" hidden="false" customHeight="true" outlineLevel="0" collapsed="false">
      <c r="A245" s="64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</row>
    <row r="246" customFormat="false" ht="15.75" hidden="false" customHeight="true" outlineLevel="0" collapsed="false">
      <c r="A246" s="64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</row>
    <row r="247" customFormat="false" ht="15.75" hidden="false" customHeight="true" outlineLevel="0" collapsed="false">
      <c r="A247" s="64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</row>
    <row r="248" customFormat="false" ht="15.75" hidden="false" customHeight="true" outlineLevel="0" collapsed="false">
      <c r="A248" s="64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</row>
    <row r="249" customFormat="false" ht="15.75" hidden="false" customHeight="true" outlineLevel="0" collapsed="false">
      <c r="A249" s="64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</row>
    <row r="250" customFormat="false" ht="15.75" hidden="false" customHeight="true" outlineLevel="0" collapsed="false">
      <c r="A250" s="64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</row>
    <row r="251" customFormat="false" ht="15.75" hidden="false" customHeight="true" outlineLevel="0" collapsed="false">
      <c r="A251" s="64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</row>
    <row r="252" customFormat="false" ht="15.75" hidden="false" customHeight="true" outlineLevel="0" collapsed="false">
      <c r="A252" s="64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</row>
    <row r="253" customFormat="false" ht="15.75" hidden="false" customHeight="true" outlineLevel="0" collapsed="false">
      <c r="A253" s="64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</row>
    <row r="254" customFormat="false" ht="15.75" hidden="false" customHeight="true" outlineLevel="0" collapsed="false">
      <c r="A254" s="64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</row>
    <row r="255" customFormat="false" ht="15.75" hidden="false" customHeight="true" outlineLevel="0" collapsed="false">
      <c r="A255" s="64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</row>
    <row r="256" customFormat="false" ht="15.75" hidden="false" customHeight="true" outlineLevel="0" collapsed="false">
      <c r="A256" s="64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</row>
    <row r="257" customFormat="false" ht="15.75" hidden="false" customHeight="true" outlineLevel="0" collapsed="false">
      <c r="A257" s="64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</row>
    <row r="258" customFormat="false" ht="15.75" hidden="false" customHeight="true" outlineLevel="0" collapsed="false">
      <c r="A258" s="64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</row>
    <row r="259" customFormat="false" ht="15.75" hidden="false" customHeight="true" outlineLevel="0" collapsed="false">
      <c r="A259" s="64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</row>
    <row r="260" customFormat="false" ht="15.75" hidden="false" customHeight="true" outlineLevel="0" collapsed="false">
      <c r="A260" s="64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</row>
    <row r="261" customFormat="false" ht="15.75" hidden="false" customHeight="true" outlineLevel="0" collapsed="false">
      <c r="A261" s="64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</row>
    <row r="262" customFormat="false" ht="15.75" hidden="false" customHeight="true" outlineLevel="0" collapsed="false">
      <c r="A262" s="64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</row>
    <row r="263" customFormat="false" ht="15.75" hidden="false" customHeight="true" outlineLevel="0" collapsed="false">
      <c r="A263" s="64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</row>
    <row r="264" customFormat="false" ht="15.75" hidden="false" customHeight="true" outlineLevel="0" collapsed="false">
      <c r="A264" s="64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</row>
    <row r="265" customFormat="false" ht="15.75" hidden="false" customHeight="true" outlineLevel="0" collapsed="false">
      <c r="A265" s="64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</row>
    <row r="266" customFormat="false" ht="15.75" hidden="false" customHeight="true" outlineLevel="0" collapsed="false">
      <c r="A266" s="64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</row>
    <row r="267" customFormat="false" ht="15.75" hidden="false" customHeight="true" outlineLevel="0" collapsed="false">
      <c r="A267" s="64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</row>
    <row r="268" customFormat="false" ht="15.75" hidden="false" customHeight="true" outlineLevel="0" collapsed="false">
      <c r="A268" s="64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</row>
    <row r="269" customFormat="false" ht="15.75" hidden="false" customHeight="true" outlineLevel="0" collapsed="false">
      <c r="A269" s="64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</row>
    <row r="270" customFormat="false" ht="15.75" hidden="false" customHeight="true" outlineLevel="0" collapsed="false">
      <c r="A270" s="64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</row>
    <row r="271" customFormat="false" ht="15.75" hidden="false" customHeight="true" outlineLevel="0" collapsed="false">
      <c r="A271" s="64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</row>
    <row r="272" customFormat="false" ht="15.75" hidden="false" customHeight="true" outlineLevel="0" collapsed="false">
      <c r="A272" s="64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</row>
    <row r="273" customFormat="false" ht="15.75" hidden="false" customHeight="true" outlineLevel="0" collapsed="false">
      <c r="A273" s="64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</row>
    <row r="274" customFormat="false" ht="15.75" hidden="false" customHeight="true" outlineLevel="0" collapsed="false">
      <c r="A274" s="64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</row>
    <row r="275" customFormat="false" ht="15.75" hidden="false" customHeight="true" outlineLevel="0" collapsed="false">
      <c r="A275" s="64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</row>
    <row r="276" customFormat="false" ht="15.75" hidden="false" customHeight="true" outlineLevel="0" collapsed="false">
      <c r="A276" s="64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</row>
    <row r="277" customFormat="false" ht="15.75" hidden="false" customHeight="true" outlineLevel="0" collapsed="false">
      <c r="A277" s="64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</row>
    <row r="278" customFormat="false" ht="15.75" hidden="false" customHeight="true" outlineLevel="0" collapsed="false">
      <c r="A278" s="64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</row>
    <row r="279" customFormat="false" ht="15.75" hidden="false" customHeight="true" outlineLevel="0" collapsed="false">
      <c r="A279" s="64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</row>
    <row r="280" customFormat="false" ht="15.75" hidden="false" customHeight="true" outlineLevel="0" collapsed="false">
      <c r="A280" s="64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</row>
    <row r="281" customFormat="false" ht="15.75" hidden="false" customHeight="true" outlineLevel="0" collapsed="false">
      <c r="A281" s="64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</row>
    <row r="282" customFormat="false" ht="15.75" hidden="false" customHeight="true" outlineLevel="0" collapsed="false">
      <c r="A282" s="64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</row>
    <row r="283" customFormat="false" ht="15.75" hidden="false" customHeight="true" outlineLevel="0" collapsed="false">
      <c r="A283" s="64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</row>
    <row r="284" customFormat="false" ht="15.75" hidden="false" customHeight="true" outlineLevel="0" collapsed="false">
      <c r="A284" s="64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</row>
    <row r="285" customFormat="false" ht="15.75" hidden="false" customHeight="true" outlineLevel="0" collapsed="false">
      <c r="A285" s="64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</row>
    <row r="286" customFormat="false" ht="15.75" hidden="false" customHeight="true" outlineLevel="0" collapsed="false">
      <c r="A286" s="64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</row>
    <row r="287" customFormat="false" ht="15.75" hidden="false" customHeight="true" outlineLevel="0" collapsed="false">
      <c r="A287" s="64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</row>
    <row r="288" customFormat="false" ht="15.75" hidden="false" customHeight="true" outlineLevel="0" collapsed="false">
      <c r="A288" s="64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</row>
    <row r="289" customFormat="false" ht="15.75" hidden="false" customHeight="true" outlineLevel="0" collapsed="false">
      <c r="A289" s="64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</row>
    <row r="290" customFormat="false" ht="15.75" hidden="false" customHeight="true" outlineLevel="0" collapsed="false">
      <c r="A290" s="64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</row>
    <row r="291" customFormat="false" ht="15.75" hidden="false" customHeight="true" outlineLevel="0" collapsed="false">
      <c r="A291" s="64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</row>
    <row r="292" customFormat="false" ht="15.75" hidden="false" customHeight="true" outlineLevel="0" collapsed="false">
      <c r="A292" s="64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</row>
    <row r="293" customFormat="false" ht="15.75" hidden="false" customHeight="true" outlineLevel="0" collapsed="false">
      <c r="A293" s="64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</row>
    <row r="294" customFormat="false" ht="15.75" hidden="false" customHeight="true" outlineLevel="0" collapsed="false">
      <c r="A294" s="64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</row>
    <row r="295" customFormat="false" ht="15.75" hidden="false" customHeight="true" outlineLevel="0" collapsed="false">
      <c r="A295" s="64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</row>
    <row r="296" customFormat="false" ht="15.75" hidden="false" customHeight="true" outlineLevel="0" collapsed="false">
      <c r="A296" s="64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</row>
    <row r="297" customFormat="false" ht="15.75" hidden="false" customHeight="true" outlineLevel="0" collapsed="false">
      <c r="A297" s="64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</row>
    <row r="298" customFormat="false" ht="15.75" hidden="false" customHeight="true" outlineLevel="0" collapsed="false">
      <c r="A298" s="64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</row>
    <row r="299" customFormat="false" ht="15.75" hidden="false" customHeight="true" outlineLevel="0" collapsed="false">
      <c r="A299" s="64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</row>
    <row r="300" customFormat="false" ht="15.75" hidden="false" customHeight="true" outlineLevel="0" collapsed="false">
      <c r="A300" s="64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</row>
    <row r="301" customFormat="false" ht="15.75" hidden="false" customHeight="true" outlineLevel="0" collapsed="false">
      <c r="A301" s="64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</row>
    <row r="302" customFormat="false" ht="15.75" hidden="false" customHeight="true" outlineLevel="0" collapsed="false">
      <c r="A302" s="64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</row>
    <row r="303" customFormat="false" ht="15.75" hidden="false" customHeight="true" outlineLevel="0" collapsed="false">
      <c r="A303" s="64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</row>
    <row r="304" customFormat="false" ht="15.75" hidden="false" customHeight="true" outlineLevel="0" collapsed="false">
      <c r="A304" s="64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</row>
    <row r="305" customFormat="false" ht="15.75" hidden="false" customHeight="true" outlineLevel="0" collapsed="false">
      <c r="A305" s="64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</row>
    <row r="306" customFormat="false" ht="15.75" hidden="false" customHeight="true" outlineLevel="0" collapsed="false">
      <c r="A306" s="64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</row>
    <row r="307" customFormat="false" ht="15.75" hidden="false" customHeight="true" outlineLevel="0" collapsed="false">
      <c r="A307" s="64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</row>
    <row r="308" customFormat="false" ht="15.75" hidden="false" customHeight="true" outlineLevel="0" collapsed="false">
      <c r="A308" s="64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</row>
    <row r="309" customFormat="false" ht="15.75" hidden="false" customHeight="true" outlineLevel="0" collapsed="false">
      <c r="A309" s="64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</row>
    <row r="310" customFormat="false" ht="15.75" hidden="false" customHeight="true" outlineLevel="0" collapsed="false">
      <c r="A310" s="64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</row>
    <row r="311" customFormat="false" ht="15.75" hidden="false" customHeight="true" outlineLevel="0" collapsed="false">
      <c r="A311" s="64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</row>
    <row r="312" customFormat="false" ht="15.75" hidden="false" customHeight="true" outlineLevel="0" collapsed="false">
      <c r="A312" s="64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</row>
    <row r="313" customFormat="false" ht="15.75" hidden="false" customHeight="true" outlineLevel="0" collapsed="false">
      <c r="A313" s="64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</row>
    <row r="314" customFormat="false" ht="15.75" hidden="false" customHeight="true" outlineLevel="0" collapsed="false">
      <c r="A314" s="64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</row>
    <row r="315" customFormat="false" ht="15.75" hidden="false" customHeight="true" outlineLevel="0" collapsed="false">
      <c r="A315" s="64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</row>
    <row r="316" customFormat="false" ht="15.75" hidden="false" customHeight="true" outlineLevel="0" collapsed="false">
      <c r="A316" s="64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</row>
    <row r="317" customFormat="false" ht="15.75" hidden="false" customHeight="true" outlineLevel="0" collapsed="false">
      <c r="A317" s="64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</row>
    <row r="318" customFormat="false" ht="15.75" hidden="false" customHeight="true" outlineLevel="0" collapsed="false">
      <c r="A318" s="64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</row>
    <row r="319" customFormat="false" ht="15.75" hidden="false" customHeight="true" outlineLevel="0" collapsed="false">
      <c r="A319" s="64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</row>
    <row r="320" customFormat="false" ht="15.75" hidden="false" customHeight="true" outlineLevel="0" collapsed="false">
      <c r="A320" s="64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</row>
    <row r="321" customFormat="false" ht="15.75" hidden="false" customHeight="true" outlineLevel="0" collapsed="false">
      <c r="A321" s="64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</row>
    <row r="322" customFormat="false" ht="15.75" hidden="false" customHeight="true" outlineLevel="0" collapsed="false">
      <c r="A322" s="64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</row>
    <row r="323" customFormat="false" ht="15.75" hidden="false" customHeight="true" outlineLevel="0" collapsed="false">
      <c r="A323" s="64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</row>
    <row r="324" customFormat="false" ht="15.75" hidden="false" customHeight="true" outlineLevel="0" collapsed="false">
      <c r="A324" s="64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</row>
    <row r="325" customFormat="false" ht="15.75" hidden="false" customHeight="true" outlineLevel="0" collapsed="false">
      <c r="A325" s="64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</row>
    <row r="326" customFormat="false" ht="15.75" hidden="false" customHeight="true" outlineLevel="0" collapsed="false">
      <c r="A326" s="64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</row>
    <row r="327" customFormat="false" ht="15.75" hidden="false" customHeight="true" outlineLevel="0" collapsed="false">
      <c r="A327" s="64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</row>
    <row r="328" customFormat="false" ht="15.75" hidden="false" customHeight="true" outlineLevel="0" collapsed="false">
      <c r="A328" s="64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</row>
    <row r="329" customFormat="false" ht="15.75" hidden="false" customHeight="true" outlineLevel="0" collapsed="false">
      <c r="A329" s="64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</row>
    <row r="330" customFormat="false" ht="15.75" hidden="false" customHeight="true" outlineLevel="0" collapsed="false">
      <c r="A330" s="64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</row>
    <row r="331" customFormat="false" ht="15.75" hidden="false" customHeight="true" outlineLevel="0" collapsed="false">
      <c r="A331" s="64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</row>
    <row r="332" customFormat="false" ht="15.75" hidden="false" customHeight="true" outlineLevel="0" collapsed="false">
      <c r="A332" s="64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</row>
    <row r="333" customFormat="false" ht="15.75" hidden="false" customHeight="true" outlineLevel="0" collapsed="false">
      <c r="A333" s="64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</row>
    <row r="334" customFormat="false" ht="15.75" hidden="false" customHeight="true" outlineLevel="0" collapsed="false">
      <c r="A334" s="64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</row>
    <row r="335" customFormat="false" ht="15.75" hidden="false" customHeight="true" outlineLevel="0" collapsed="false">
      <c r="A335" s="64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</row>
    <row r="336" customFormat="false" ht="15.75" hidden="false" customHeight="true" outlineLevel="0" collapsed="false">
      <c r="A336" s="64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</row>
    <row r="337" customFormat="false" ht="15.75" hidden="false" customHeight="true" outlineLevel="0" collapsed="false">
      <c r="A337" s="64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</row>
    <row r="338" customFormat="false" ht="15.75" hidden="false" customHeight="true" outlineLevel="0" collapsed="false">
      <c r="A338" s="64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</row>
    <row r="339" customFormat="false" ht="15.75" hidden="false" customHeight="true" outlineLevel="0" collapsed="false">
      <c r="A339" s="64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</row>
    <row r="340" customFormat="false" ht="15.75" hidden="false" customHeight="true" outlineLevel="0" collapsed="false">
      <c r="A340" s="64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</row>
    <row r="341" customFormat="false" ht="15.75" hidden="false" customHeight="true" outlineLevel="0" collapsed="false">
      <c r="A341" s="64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</row>
    <row r="342" customFormat="false" ht="15.75" hidden="false" customHeight="true" outlineLevel="0" collapsed="false">
      <c r="A342" s="64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</row>
    <row r="343" customFormat="false" ht="15.75" hidden="false" customHeight="true" outlineLevel="0" collapsed="false">
      <c r="A343" s="64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</row>
    <row r="344" customFormat="false" ht="15.75" hidden="false" customHeight="true" outlineLevel="0" collapsed="false">
      <c r="A344" s="64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</row>
    <row r="345" customFormat="false" ht="15.75" hidden="false" customHeight="true" outlineLevel="0" collapsed="false">
      <c r="A345" s="64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</row>
    <row r="346" customFormat="false" ht="15.75" hidden="false" customHeight="true" outlineLevel="0" collapsed="false">
      <c r="A346" s="64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</row>
    <row r="347" customFormat="false" ht="15.75" hidden="false" customHeight="true" outlineLevel="0" collapsed="false">
      <c r="A347" s="64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</row>
    <row r="348" customFormat="false" ht="15.75" hidden="false" customHeight="true" outlineLevel="0" collapsed="false">
      <c r="A348" s="64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</row>
    <row r="349" customFormat="false" ht="15.75" hidden="false" customHeight="true" outlineLevel="0" collapsed="false">
      <c r="A349" s="64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</row>
    <row r="350" customFormat="false" ht="15.75" hidden="false" customHeight="true" outlineLevel="0" collapsed="false">
      <c r="A350" s="64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</row>
    <row r="351" customFormat="false" ht="15.75" hidden="false" customHeight="true" outlineLevel="0" collapsed="false">
      <c r="A351" s="64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</row>
    <row r="352" customFormat="false" ht="15.75" hidden="false" customHeight="true" outlineLevel="0" collapsed="false">
      <c r="A352" s="64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</row>
    <row r="353" customFormat="false" ht="15.75" hidden="false" customHeight="true" outlineLevel="0" collapsed="false">
      <c r="A353" s="64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</row>
    <row r="354" customFormat="false" ht="15.75" hidden="false" customHeight="true" outlineLevel="0" collapsed="false">
      <c r="A354" s="64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</row>
    <row r="355" customFormat="false" ht="15.75" hidden="false" customHeight="true" outlineLevel="0" collapsed="false">
      <c r="A355" s="64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</row>
    <row r="356" customFormat="false" ht="15.75" hidden="false" customHeight="true" outlineLevel="0" collapsed="false">
      <c r="A356" s="64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</row>
    <row r="357" customFormat="false" ht="15.75" hidden="false" customHeight="true" outlineLevel="0" collapsed="false">
      <c r="A357" s="64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</row>
    <row r="358" customFormat="false" ht="15.75" hidden="false" customHeight="true" outlineLevel="0" collapsed="false">
      <c r="A358" s="64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</row>
    <row r="359" customFormat="false" ht="15.75" hidden="false" customHeight="true" outlineLevel="0" collapsed="false">
      <c r="A359" s="64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</row>
    <row r="360" customFormat="false" ht="15.75" hidden="false" customHeight="true" outlineLevel="0" collapsed="false">
      <c r="A360" s="64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</row>
    <row r="361" customFormat="false" ht="15.75" hidden="false" customHeight="true" outlineLevel="0" collapsed="false">
      <c r="A361" s="64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</row>
    <row r="362" customFormat="false" ht="15.75" hidden="false" customHeight="true" outlineLevel="0" collapsed="false">
      <c r="A362" s="64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</row>
    <row r="363" customFormat="false" ht="15.75" hidden="false" customHeight="true" outlineLevel="0" collapsed="false">
      <c r="A363" s="64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</row>
    <row r="364" customFormat="false" ht="15.75" hidden="false" customHeight="true" outlineLevel="0" collapsed="false">
      <c r="A364" s="64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</row>
    <row r="365" customFormat="false" ht="15.75" hidden="false" customHeight="true" outlineLevel="0" collapsed="false">
      <c r="A365" s="64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</row>
    <row r="366" customFormat="false" ht="15.75" hidden="false" customHeight="true" outlineLevel="0" collapsed="false">
      <c r="A366" s="64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</row>
    <row r="367" customFormat="false" ht="15.75" hidden="false" customHeight="true" outlineLevel="0" collapsed="false">
      <c r="A367" s="64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</row>
    <row r="368" customFormat="false" ht="15.75" hidden="false" customHeight="true" outlineLevel="0" collapsed="false">
      <c r="A368" s="64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</row>
    <row r="369" customFormat="false" ht="15.75" hidden="false" customHeight="true" outlineLevel="0" collapsed="false">
      <c r="A369" s="64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</row>
    <row r="370" customFormat="false" ht="15.75" hidden="false" customHeight="true" outlineLevel="0" collapsed="false">
      <c r="A370" s="64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</row>
    <row r="371" customFormat="false" ht="15.75" hidden="false" customHeight="true" outlineLevel="0" collapsed="false">
      <c r="A371" s="64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</row>
    <row r="372" customFormat="false" ht="15.75" hidden="false" customHeight="true" outlineLevel="0" collapsed="false">
      <c r="A372" s="64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</row>
    <row r="373" customFormat="false" ht="15.75" hidden="false" customHeight="true" outlineLevel="0" collapsed="false">
      <c r="A373" s="64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</row>
    <row r="374" customFormat="false" ht="15.75" hidden="false" customHeight="true" outlineLevel="0" collapsed="false">
      <c r="A374" s="64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</row>
    <row r="375" customFormat="false" ht="15.75" hidden="false" customHeight="true" outlineLevel="0" collapsed="false">
      <c r="A375" s="64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</row>
    <row r="376" customFormat="false" ht="15.75" hidden="false" customHeight="true" outlineLevel="0" collapsed="false">
      <c r="A376" s="64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</row>
    <row r="377" customFormat="false" ht="15.75" hidden="false" customHeight="true" outlineLevel="0" collapsed="false">
      <c r="A377" s="64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</row>
    <row r="378" customFormat="false" ht="15.75" hidden="false" customHeight="true" outlineLevel="0" collapsed="false">
      <c r="A378" s="64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</row>
    <row r="379" customFormat="false" ht="15.75" hidden="false" customHeight="true" outlineLevel="0" collapsed="false">
      <c r="A379" s="64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</row>
    <row r="380" customFormat="false" ht="15.75" hidden="false" customHeight="true" outlineLevel="0" collapsed="false">
      <c r="A380" s="64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</row>
    <row r="381" customFormat="false" ht="15.75" hidden="false" customHeight="true" outlineLevel="0" collapsed="false">
      <c r="A381" s="64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</row>
    <row r="382" customFormat="false" ht="15.75" hidden="false" customHeight="true" outlineLevel="0" collapsed="false">
      <c r="A382" s="64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</row>
    <row r="383" customFormat="false" ht="15.75" hidden="false" customHeight="true" outlineLevel="0" collapsed="false">
      <c r="A383" s="64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</row>
    <row r="384" customFormat="false" ht="15.75" hidden="false" customHeight="true" outlineLevel="0" collapsed="false">
      <c r="A384" s="64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</row>
    <row r="385" customFormat="false" ht="15.75" hidden="false" customHeight="true" outlineLevel="0" collapsed="false">
      <c r="A385" s="64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</row>
    <row r="386" customFormat="false" ht="15.75" hidden="false" customHeight="true" outlineLevel="0" collapsed="false">
      <c r="A386" s="64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</row>
    <row r="387" customFormat="false" ht="15.75" hidden="false" customHeight="true" outlineLevel="0" collapsed="false">
      <c r="A387" s="64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</row>
    <row r="388" customFormat="false" ht="15.75" hidden="false" customHeight="true" outlineLevel="0" collapsed="false">
      <c r="A388" s="64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</row>
    <row r="389" customFormat="false" ht="15.75" hidden="false" customHeight="true" outlineLevel="0" collapsed="false">
      <c r="A389" s="64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</row>
    <row r="390" customFormat="false" ht="15.75" hidden="false" customHeight="true" outlineLevel="0" collapsed="false">
      <c r="A390" s="64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</row>
    <row r="391" customFormat="false" ht="15.75" hidden="false" customHeight="true" outlineLevel="0" collapsed="false">
      <c r="A391" s="64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</row>
    <row r="392" customFormat="false" ht="15.75" hidden="false" customHeight="true" outlineLevel="0" collapsed="false">
      <c r="A392" s="64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</row>
    <row r="393" customFormat="false" ht="15.75" hidden="false" customHeight="true" outlineLevel="0" collapsed="false">
      <c r="A393" s="64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</row>
    <row r="394" customFormat="false" ht="15.75" hidden="false" customHeight="true" outlineLevel="0" collapsed="false">
      <c r="A394" s="64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</row>
    <row r="395" customFormat="false" ht="15.75" hidden="false" customHeight="true" outlineLevel="0" collapsed="false">
      <c r="A395" s="64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</row>
    <row r="396" customFormat="false" ht="15.75" hidden="false" customHeight="true" outlineLevel="0" collapsed="false">
      <c r="A396" s="64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</row>
    <row r="397" customFormat="false" ht="15.75" hidden="false" customHeight="true" outlineLevel="0" collapsed="false">
      <c r="A397" s="64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</row>
    <row r="398" customFormat="false" ht="15.75" hidden="false" customHeight="true" outlineLevel="0" collapsed="false">
      <c r="A398" s="64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</row>
    <row r="399" customFormat="false" ht="15.75" hidden="false" customHeight="true" outlineLevel="0" collapsed="false">
      <c r="A399" s="64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</row>
    <row r="400" customFormat="false" ht="15.75" hidden="false" customHeight="true" outlineLevel="0" collapsed="false">
      <c r="A400" s="64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</row>
    <row r="401" customFormat="false" ht="15.75" hidden="false" customHeight="true" outlineLevel="0" collapsed="false">
      <c r="A401" s="64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</row>
    <row r="402" customFormat="false" ht="15.75" hidden="false" customHeight="true" outlineLevel="0" collapsed="false">
      <c r="A402" s="64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</row>
    <row r="403" customFormat="false" ht="15.75" hidden="false" customHeight="true" outlineLevel="0" collapsed="false">
      <c r="A403" s="64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</row>
    <row r="404" customFormat="false" ht="15.75" hidden="false" customHeight="true" outlineLevel="0" collapsed="false">
      <c r="A404" s="64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</row>
    <row r="405" customFormat="false" ht="15.75" hidden="false" customHeight="true" outlineLevel="0" collapsed="false">
      <c r="A405" s="64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</row>
    <row r="406" customFormat="false" ht="15.75" hidden="false" customHeight="true" outlineLevel="0" collapsed="false">
      <c r="A406" s="64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</row>
    <row r="407" customFormat="false" ht="15.75" hidden="false" customHeight="true" outlineLevel="0" collapsed="false">
      <c r="A407" s="64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</row>
    <row r="408" customFormat="false" ht="15.75" hidden="false" customHeight="true" outlineLevel="0" collapsed="false">
      <c r="A408" s="64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</row>
    <row r="409" customFormat="false" ht="15.75" hidden="false" customHeight="true" outlineLevel="0" collapsed="false">
      <c r="A409" s="64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</row>
    <row r="410" customFormat="false" ht="15.75" hidden="false" customHeight="true" outlineLevel="0" collapsed="false">
      <c r="A410" s="64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</row>
    <row r="411" customFormat="false" ht="15.75" hidden="false" customHeight="true" outlineLevel="0" collapsed="false">
      <c r="A411" s="64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</row>
    <row r="412" customFormat="false" ht="15.75" hidden="false" customHeight="true" outlineLevel="0" collapsed="false">
      <c r="A412" s="64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</row>
    <row r="413" customFormat="false" ht="15.75" hidden="false" customHeight="true" outlineLevel="0" collapsed="false">
      <c r="A413" s="64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</row>
    <row r="414" customFormat="false" ht="15.75" hidden="false" customHeight="true" outlineLevel="0" collapsed="false">
      <c r="A414" s="64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</row>
    <row r="415" customFormat="false" ht="15.75" hidden="false" customHeight="true" outlineLevel="0" collapsed="false">
      <c r="A415" s="64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</row>
    <row r="416" customFormat="false" ht="15.75" hidden="false" customHeight="true" outlineLevel="0" collapsed="false">
      <c r="A416" s="64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</row>
    <row r="417" customFormat="false" ht="15.75" hidden="false" customHeight="true" outlineLevel="0" collapsed="false">
      <c r="A417" s="64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</row>
    <row r="418" customFormat="false" ht="15.75" hidden="false" customHeight="true" outlineLevel="0" collapsed="false">
      <c r="A418" s="64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</row>
    <row r="419" customFormat="false" ht="15.75" hidden="false" customHeight="true" outlineLevel="0" collapsed="false">
      <c r="A419" s="64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</row>
    <row r="420" customFormat="false" ht="15.75" hidden="false" customHeight="true" outlineLevel="0" collapsed="false">
      <c r="A420" s="64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</row>
    <row r="421" customFormat="false" ht="15.75" hidden="false" customHeight="true" outlineLevel="0" collapsed="false">
      <c r="A421" s="64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</row>
    <row r="422" customFormat="false" ht="15.75" hidden="false" customHeight="true" outlineLevel="0" collapsed="false">
      <c r="A422" s="64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</row>
    <row r="423" customFormat="false" ht="15.75" hidden="false" customHeight="true" outlineLevel="0" collapsed="false">
      <c r="A423" s="64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</row>
    <row r="424" customFormat="false" ht="15.75" hidden="false" customHeight="true" outlineLevel="0" collapsed="false">
      <c r="A424" s="64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</row>
    <row r="425" customFormat="false" ht="15.75" hidden="false" customHeight="true" outlineLevel="0" collapsed="false">
      <c r="A425" s="64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</row>
    <row r="426" customFormat="false" ht="15.75" hidden="false" customHeight="true" outlineLevel="0" collapsed="false">
      <c r="A426" s="64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</row>
    <row r="427" customFormat="false" ht="15.75" hidden="false" customHeight="true" outlineLevel="0" collapsed="false">
      <c r="A427" s="64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</row>
    <row r="428" customFormat="false" ht="15.75" hidden="false" customHeight="true" outlineLevel="0" collapsed="false">
      <c r="A428" s="64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</row>
    <row r="429" customFormat="false" ht="15.75" hidden="false" customHeight="true" outlineLevel="0" collapsed="false">
      <c r="A429" s="64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</row>
    <row r="430" customFormat="false" ht="15.75" hidden="false" customHeight="true" outlineLevel="0" collapsed="false">
      <c r="A430" s="64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</row>
    <row r="431" customFormat="false" ht="15.75" hidden="false" customHeight="true" outlineLevel="0" collapsed="false">
      <c r="A431" s="64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</row>
    <row r="432" customFormat="false" ht="15.75" hidden="false" customHeight="true" outlineLevel="0" collapsed="false">
      <c r="A432" s="64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</row>
    <row r="433" customFormat="false" ht="15.75" hidden="false" customHeight="true" outlineLevel="0" collapsed="false">
      <c r="A433" s="64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</row>
    <row r="434" customFormat="false" ht="15.75" hidden="false" customHeight="true" outlineLevel="0" collapsed="false">
      <c r="A434" s="64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</row>
    <row r="435" customFormat="false" ht="15.75" hidden="false" customHeight="true" outlineLevel="0" collapsed="false">
      <c r="A435" s="64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</row>
    <row r="436" customFormat="false" ht="15.75" hidden="false" customHeight="true" outlineLevel="0" collapsed="false">
      <c r="A436" s="64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</row>
    <row r="437" customFormat="false" ht="15.75" hidden="false" customHeight="true" outlineLevel="0" collapsed="false">
      <c r="A437" s="64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</row>
    <row r="438" customFormat="false" ht="15.75" hidden="false" customHeight="true" outlineLevel="0" collapsed="false">
      <c r="A438" s="64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</row>
    <row r="439" customFormat="false" ht="15.75" hidden="false" customHeight="true" outlineLevel="0" collapsed="false">
      <c r="A439" s="64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</row>
    <row r="440" customFormat="false" ht="15.75" hidden="false" customHeight="true" outlineLevel="0" collapsed="false">
      <c r="A440" s="64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</row>
    <row r="441" customFormat="false" ht="15.75" hidden="false" customHeight="true" outlineLevel="0" collapsed="false">
      <c r="A441" s="64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</row>
    <row r="442" customFormat="false" ht="15.75" hidden="false" customHeight="true" outlineLevel="0" collapsed="false">
      <c r="A442" s="64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</row>
    <row r="443" customFormat="false" ht="15.75" hidden="false" customHeight="true" outlineLevel="0" collapsed="false">
      <c r="A443" s="64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</row>
    <row r="444" customFormat="false" ht="15.75" hidden="false" customHeight="true" outlineLevel="0" collapsed="false">
      <c r="A444" s="64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</row>
    <row r="445" customFormat="false" ht="15.75" hidden="false" customHeight="true" outlineLevel="0" collapsed="false">
      <c r="A445" s="64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</row>
    <row r="446" customFormat="false" ht="15.75" hidden="false" customHeight="true" outlineLevel="0" collapsed="false">
      <c r="A446" s="64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</row>
    <row r="447" customFormat="false" ht="15.75" hidden="false" customHeight="true" outlineLevel="0" collapsed="false">
      <c r="A447" s="64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</row>
    <row r="448" customFormat="false" ht="15.75" hidden="false" customHeight="true" outlineLevel="0" collapsed="false">
      <c r="A448" s="64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</row>
    <row r="449" customFormat="false" ht="15.75" hidden="false" customHeight="true" outlineLevel="0" collapsed="false">
      <c r="A449" s="64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</row>
    <row r="450" customFormat="false" ht="15.75" hidden="false" customHeight="true" outlineLevel="0" collapsed="false">
      <c r="A450" s="64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</row>
    <row r="451" customFormat="false" ht="15.75" hidden="false" customHeight="true" outlineLevel="0" collapsed="false">
      <c r="A451" s="64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</row>
    <row r="452" customFormat="false" ht="15.75" hidden="false" customHeight="true" outlineLevel="0" collapsed="false">
      <c r="A452" s="64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</row>
    <row r="453" customFormat="false" ht="15.75" hidden="false" customHeight="true" outlineLevel="0" collapsed="false">
      <c r="A453" s="64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</row>
    <row r="454" customFormat="false" ht="15.75" hidden="false" customHeight="true" outlineLevel="0" collapsed="false">
      <c r="A454" s="64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</row>
    <row r="455" customFormat="false" ht="15.75" hidden="false" customHeight="true" outlineLevel="0" collapsed="false">
      <c r="A455" s="64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</row>
    <row r="456" customFormat="false" ht="15.75" hidden="false" customHeight="true" outlineLevel="0" collapsed="false">
      <c r="A456" s="64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</row>
    <row r="457" customFormat="false" ht="15.75" hidden="false" customHeight="true" outlineLevel="0" collapsed="false">
      <c r="A457" s="64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</row>
    <row r="458" customFormat="false" ht="15.75" hidden="false" customHeight="true" outlineLevel="0" collapsed="false">
      <c r="A458" s="64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</row>
    <row r="459" customFormat="false" ht="15.75" hidden="false" customHeight="true" outlineLevel="0" collapsed="false">
      <c r="A459" s="64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</row>
    <row r="460" customFormat="false" ht="15.75" hidden="false" customHeight="true" outlineLevel="0" collapsed="false">
      <c r="A460" s="64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</row>
    <row r="461" customFormat="false" ht="15.75" hidden="false" customHeight="true" outlineLevel="0" collapsed="false">
      <c r="A461" s="64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</row>
    <row r="462" customFormat="false" ht="15.75" hidden="false" customHeight="true" outlineLevel="0" collapsed="false">
      <c r="A462" s="64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</row>
    <row r="463" customFormat="false" ht="15.75" hidden="false" customHeight="true" outlineLevel="0" collapsed="false">
      <c r="A463" s="64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</row>
    <row r="464" customFormat="false" ht="15.75" hidden="false" customHeight="true" outlineLevel="0" collapsed="false">
      <c r="A464" s="64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</row>
    <row r="465" customFormat="false" ht="15.75" hidden="false" customHeight="true" outlineLevel="0" collapsed="false">
      <c r="A465" s="64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</row>
    <row r="466" customFormat="false" ht="15.75" hidden="false" customHeight="true" outlineLevel="0" collapsed="false">
      <c r="A466" s="64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</row>
    <row r="467" customFormat="false" ht="15.75" hidden="false" customHeight="true" outlineLevel="0" collapsed="false">
      <c r="A467" s="64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</row>
    <row r="468" customFormat="false" ht="15.75" hidden="false" customHeight="true" outlineLevel="0" collapsed="false">
      <c r="A468" s="64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</row>
    <row r="469" customFormat="false" ht="15.75" hidden="false" customHeight="true" outlineLevel="0" collapsed="false">
      <c r="A469" s="64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</row>
    <row r="470" customFormat="false" ht="15.75" hidden="false" customHeight="true" outlineLevel="0" collapsed="false">
      <c r="A470" s="64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</row>
    <row r="471" customFormat="false" ht="15.75" hidden="false" customHeight="true" outlineLevel="0" collapsed="false">
      <c r="A471" s="64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</row>
    <row r="472" customFormat="false" ht="15.75" hidden="false" customHeight="true" outlineLevel="0" collapsed="false">
      <c r="A472" s="64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</row>
    <row r="473" customFormat="false" ht="15.75" hidden="false" customHeight="true" outlineLevel="0" collapsed="false">
      <c r="A473" s="64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</row>
    <row r="474" customFormat="false" ht="15.75" hidden="false" customHeight="true" outlineLevel="0" collapsed="false">
      <c r="A474" s="64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</row>
    <row r="475" customFormat="false" ht="15.75" hidden="false" customHeight="true" outlineLevel="0" collapsed="false">
      <c r="A475" s="64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</row>
    <row r="476" customFormat="false" ht="15.75" hidden="false" customHeight="true" outlineLevel="0" collapsed="false">
      <c r="A476" s="64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</row>
    <row r="477" customFormat="false" ht="15.75" hidden="false" customHeight="true" outlineLevel="0" collapsed="false">
      <c r="A477" s="64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</row>
    <row r="478" customFormat="false" ht="15.75" hidden="false" customHeight="true" outlineLevel="0" collapsed="false">
      <c r="A478" s="64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</row>
    <row r="479" customFormat="false" ht="15.75" hidden="false" customHeight="true" outlineLevel="0" collapsed="false">
      <c r="A479" s="64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</row>
    <row r="480" customFormat="false" ht="15.75" hidden="false" customHeight="true" outlineLevel="0" collapsed="false">
      <c r="A480" s="64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</row>
    <row r="481" customFormat="false" ht="15.75" hidden="false" customHeight="true" outlineLevel="0" collapsed="false">
      <c r="A481" s="64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</row>
    <row r="482" customFormat="false" ht="15.75" hidden="false" customHeight="true" outlineLevel="0" collapsed="false">
      <c r="A482" s="64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</row>
    <row r="483" customFormat="false" ht="15.75" hidden="false" customHeight="true" outlineLevel="0" collapsed="false">
      <c r="A483" s="64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</row>
    <row r="484" customFormat="false" ht="15.75" hidden="false" customHeight="true" outlineLevel="0" collapsed="false">
      <c r="A484" s="64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</row>
    <row r="485" customFormat="false" ht="15.75" hidden="false" customHeight="true" outlineLevel="0" collapsed="false">
      <c r="A485" s="64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</row>
    <row r="486" customFormat="false" ht="15.75" hidden="false" customHeight="true" outlineLevel="0" collapsed="false">
      <c r="A486" s="64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</row>
    <row r="487" customFormat="false" ht="15.75" hidden="false" customHeight="true" outlineLevel="0" collapsed="false">
      <c r="A487" s="64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</row>
    <row r="488" customFormat="false" ht="15.75" hidden="false" customHeight="true" outlineLevel="0" collapsed="false">
      <c r="A488" s="64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</row>
    <row r="489" customFormat="false" ht="15.75" hidden="false" customHeight="true" outlineLevel="0" collapsed="false">
      <c r="A489" s="64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</row>
    <row r="490" customFormat="false" ht="15.75" hidden="false" customHeight="true" outlineLevel="0" collapsed="false">
      <c r="A490" s="64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</row>
    <row r="491" customFormat="false" ht="15.75" hidden="false" customHeight="true" outlineLevel="0" collapsed="false">
      <c r="A491" s="64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</row>
    <row r="492" customFormat="false" ht="15.75" hidden="false" customHeight="true" outlineLevel="0" collapsed="false">
      <c r="A492" s="64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</row>
    <row r="493" customFormat="false" ht="15.75" hidden="false" customHeight="true" outlineLevel="0" collapsed="false">
      <c r="A493" s="64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</row>
    <row r="494" customFormat="false" ht="15.75" hidden="false" customHeight="true" outlineLevel="0" collapsed="false">
      <c r="A494" s="64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</row>
    <row r="495" customFormat="false" ht="15.75" hidden="false" customHeight="true" outlineLevel="0" collapsed="false">
      <c r="A495" s="64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</row>
    <row r="496" customFormat="false" ht="15.75" hidden="false" customHeight="true" outlineLevel="0" collapsed="false">
      <c r="A496" s="64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</row>
    <row r="497" customFormat="false" ht="15.75" hidden="false" customHeight="true" outlineLevel="0" collapsed="false">
      <c r="A497" s="64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</row>
    <row r="498" customFormat="false" ht="15.75" hidden="false" customHeight="true" outlineLevel="0" collapsed="false">
      <c r="A498" s="64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</row>
    <row r="499" customFormat="false" ht="15.75" hidden="false" customHeight="true" outlineLevel="0" collapsed="false">
      <c r="A499" s="64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</row>
    <row r="500" customFormat="false" ht="15.75" hidden="false" customHeight="true" outlineLevel="0" collapsed="false">
      <c r="A500" s="64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</row>
    <row r="501" customFormat="false" ht="15.75" hidden="false" customHeight="true" outlineLevel="0" collapsed="false">
      <c r="A501" s="64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</row>
    <row r="502" customFormat="false" ht="15.75" hidden="false" customHeight="true" outlineLevel="0" collapsed="false">
      <c r="A502" s="64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</row>
    <row r="503" customFormat="false" ht="15.75" hidden="false" customHeight="true" outlineLevel="0" collapsed="false">
      <c r="A503" s="64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</row>
    <row r="504" customFormat="false" ht="15.75" hidden="false" customHeight="true" outlineLevel="0" collapsed="false">
      <c r="A504" s="64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</row>
    <row r="505" customFormat="false" ht="15.75" hidden="false" customHeight="true" outlineLevel="0" collapsed="false">
      <c r="A505" s="64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</row>
    <row r="506" customFormat="false" ht="15.75" hidden="false" customHeight="true" outlineLevel="0" collapsed="false">
      <c r="A506" s="64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</row>
    <row r="507" customFormat="false" ht="15.75" hidden="false" customHeight="true" outlineLevel="0" collapsed="false">
      <c r="A507" s="64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</row>
    <row r="508" customFormat="false" ht="15.75" hidden="false" customHeight="true" outlineLevel="0" collapsed="false">
      <c r="A508" s="64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</row>
    <row r="509" customFormat="false" ht="15.75" hidden="false" customHeight="true" outlineLevel="0" collapsed="false">
      <c r="A509" s="64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</row>
    <row r="510" customFormat="false" ht="15.75" hidden="false" customHeight="true" outlineLevel="0" collapsed="false">
      <c r="A510" s="64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</row>
    <row r="511" customFormat="false" ht="15.75" hidden="false" customHeight="true" outlineLevel="0" collapsed="false">
      <c r="A511" s="64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</row>
    <row r="512" customFormat="false" ht="15.75" hidden="false" customHeight="true" outlineLevel="0" collapsed="false">
      <c r="A512" s="64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</row>
    <row r="513" customFormat="false" ht="15.75" hidden="false" customHeight="true" outlineLevel="0" collapsed="false">
      <c r="A513" s="64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</row>
    <row r="514" customFormat="false" ht="15.75" hidden="false" customHeight="true" outlineLevel="0" collapsed="false">
      <c r="A514" s="64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</row>
    <row r="515" customFormat="false" ht="15.75" hidden="false" customHeight="true" outlineLevel="0" collapsed="false">
      <c r="A515" s="64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</row>
    <row r="516" customFormat="false" ht="15.75" hidden="false" customHeight="true" outlineLevel="0" collapsed="false">
      <c r="A516" s="64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</row>
    <row r="517" customFormat="false" ht="15.75" hidden="false" customHeight="true" outlineLevel="0" collapsed="false">
      <c r="A517" s="64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</row>
    <row r="518" customFormat="false" ht="15.75" hidden="false" customHeight="true" outlineLevel="0" collapsed="false">
      <c r="A518" s="64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</row>
    <row r="519" customFormat="false" ht="15.75" hidden="false" customHeight="true" outlineLevel="0" collapsed="false">
      <c r="A519" s="64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</row>
    <row r="520" customFormat="false" ht="15.75" hidden="false" customHeight="true" outlineLevel="0" collapsed="false">
      <c r="A520" s="64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</row>
    <row r="521" customFormat="false" ht="15.75" hidden="false" customHeight="true" outlineLevel="0" collapsed="false">
      <c r="A521" s="64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</row>
    <row r="522" customFormat="false" ht="15.75" hidden="false" customHeight="true" outlineLevel="0" collapsed="false">
      <c r="A522" s="64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</row>
    <row r="523" customFormat="false" ht="15.75" hidden="false" customHeight="true" outlineLevel="0" collapsed="false">
      <c r="A523" s="64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</row>
    <row r="524" customFormat="false" ht="15.75" hidden="false" customHeight="true" outlineLevel="0" collapsed="false">
      <c r="A524" s="64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</row>
    <row r="525" customFormat="false" ht="15.75" hidden="false" customHeight="true" outlineLevel="0" collapsed="false">
      <c r="A525" s="64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</row>
    <row r="526" customFormat="false" ht="15.75" hidden="false" customHeight="true" outlineLevel="0" collapsed="false">
      <c r="A526" s="64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</row>
    <row r="527" customFormat="false" ht="15.75" hidden="false" customHeight="true" outlineLevel="0" collapsed="false">
      <c r="A527" s="64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</row>
    <row r="528" customFormat="false" ht="15.75" hidden="false" customHeight="true" outlineLevel="0" collapsed="false">
      <c r="A528" s="64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</row>
    <row r="529" customFormat="false" ht="15.75" hidden="false" customHeight="true" outlineLevel="0" collapsed="false">
      <c r="A529" s="64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</row>
    <row r="530" customFormat="false" ht="15.75" hidden="false" customHeight="true" outlineLevel="0" collapsed="false">
      <c r="A530" s="64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</row>
    <row r="531" customFormat="false" ht="15.75" hidden="false" customHeight="true" outlineLevel="0" collapsed="false">
      <c r="A531" s="64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</row>
    <row r="532" customFormat="false" ht="15.75" hidden="false" customHeight="true" outlineLevel="0" collapsed="false">
      <c r="A532" s="64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</row>
    <row r="533" customFormat="false" ht="15.75" hidden="false" customHeight="true" outlineLevel="0" collapsed="false">
      <c r="A533" s="64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</row>
    <row r="534" customFormat="false" ht="15.75" hidden="false" customHeight="true" outlineLevel="0" collapsed="false">
      <c r="A534" s="64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</row>
    <row r="535" customFormat="false" ht="15.75" hidden="false" customHeight="true" outlineLevel="0" collapsed="false">
      <c r="A535" s="64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</row>
    <row r="536" customFormat="false" ht="15.75" hidden="false" customHeight="true" outlineLevel="0" collapsed="false">
      <c r="A536" s="64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</row>
    <row r="537" customFormat="false" ht="15.75" hidden="false" customHeight="true" outlineLevel="0" collapsed="false">
      <c r="A537" s="64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</row>
    <row r="538" customFormat="false" ht="15.75" hidden="false" customHeight="true" outlineLevel="0" collapsed="false">
      <c r="A538" s="64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</row>
    <row r="539" customFormat="false" ht="15.75" hidden="false" customHeight="true" outlineLevel="0" collapsed="false">
      <c r="A539" s="64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</row>
    <row r="540" customFormat="false" ht="15.75" hidden="false" customHeight="true" outlineLevel="0" collapsed="false">
      <c r="A540" s="64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</row>
    <row r="541" customFormat="false" ht="15.75" hidden="false" customHeight="true" outlineLevel="0" collapsed="false">
      <c r="A541" s="64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</row>
    <row r="542" customFormat="false" ht="15.75" hidden="false" customHeight="true" outlineLevel="0" collapsed="false">
      <c r="A542" s="64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</row>
    <row r="543" customFormat="false" ht="15.75" hidden="false" customHeight="true" outlineLevel="0" collapsed="false">
      <c r="A543" s="64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</row>
    <row r="544" customFormat="false" ht="15.75" hidden="false" customHeight="true" outlineLevel="0" collapsed="false">
      <c r="A544" s="64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</row>
    <row r="545" customFormat="false" ht="15.75" hidden="false" customHeight="true" outlineLevel="0" collapsed="false">
      <c r="A545" s="64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</row>
    <row r="546" customFormat="false" ht="15.75" hidden="false" customHeight="true" outlineLevel="0" collapsed="false">
      <c r="A546" s="64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</row>
    <row r="547" customFormat="false" ht="15.75" hidden="false" customHeight="true" outlineLevel="0" collapsed="false">
      <c r="A547" s="64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</row>
    <row r="548" customFormat="false" ht="15.75" hidden="false" customHeight="true" outlineLevel="0" collapsed="false">
      <c r="A548" s="64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</row>
    <row r="549" customFormat="false" ht="15.75" hidden="false" customHeight="true" outlineLevel="0" collapsed="false">
      <c r="A549" s="64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</row>
    <row r="550" customFormat="false" ht="15.75" hidden="false" customHeight="true" outlineLevel="0" collapsed="false">
      <c r="A550" s="64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</row>
    <row r="551" customFormat="false" ht="15.75" hidden="false" customHeight="true" outlineLevel="0" collapsed="false">
      <c r="A551" s="64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</row>
    <row r="552" customFormat="false" ht="15.75" hidden="false" customHeight="true" outlineLevel="0" collapsed="false">
      <c r="A552" s="64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</row>
    <row r="553" customFormat="false" ht="15.75" hidden="false" customHeight="true" outlineLevel="0" collapsed="false">
      <c r="A553" s="64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</row>
    <row r="554" customFormat="false" ht="15.75" hidden="false" customHeight="true" outlineLevel="0" collapsed="false">
      <c r="A554" s="64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</row>
    <row r="555" customFormat="false" ht="15.75" hidden="false" customHeight="true" outlineLevel="0" collapsed="false">
      <c r="A555" s="64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</row>
    <row r="556" customFormat="false" ht="15.75" hidden="false" customHeight="true" outlineLevel="0" collapsed="false">
      <c r="A556" s="64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</row>
    <row r="557" customFormat="false" ht="15.75" hidden="false" customHeight="true" outlineLevel="0" collapsed="false">
      <c r="A557" s="64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</row>
    <row r="558" customFormat="false" ht="15.75" hidden="false" customHeight="true" outlineLevel="0" collapsed="false">
      <c r="A558" s="64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</row>
    <row r="559" customFormat="false" ht="15.75" hidden="false" customHeight="true" outlineLevel="0" collapsed="false">
      <c r="A559" s="64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</row>
    <row r="560" customFormat="false" ht="15.75" hidden="false" customHeight="true" outlineLevel="0" collapsed="false">
      <c r="A560" s="64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</row>
    <row r="561" customFormat="false" ht="15.75" hidden="false" customHeight="true" outlineLevel="0" collapsed="false">
      <c r="A561" s="64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</row>
    <row r="562" customFormat="false" ht="15.75" hidden="false" customHeight="true" outlineLevel="0" collapsed="false">
      <c r="A562" s="64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</row>
    <row r="563" customFormat="false" ht="15.75" hidden="false" customHeight="true" outlineLevel="0" collapsed="false">
      <c r="A563" s="64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</row>
    <row r="564" customFormat="false" ht="15.75" hidden="false" customHeight="true" outlineLevel="0" collapsed="false">
      <c r="A564" s="64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</row>
    <row r="565" customFormat="false" ht="15.75" hidden="false" customHeight="true" outlineLevel="0" collapsed="false">
      <c r="A565" s="64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</row>
    <row r="566" customFormat="false" ht="15.75" hidden="false" customHeight="true" outlineLevel="0" collapsed="false">
      <c r="A566" s="64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</row>
    <row r="567" customFormat="false" ht="15.75" hidden="false" customHeight="true" outlineLevel="0" collapsed="false">
      <c r="A567" s="64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</row>
    <row r="568" customFormat="false" ht="15.75" hidden="false" customHeight="true" outlineLevel="0" collapsed="false">
      <c r="A568" s="64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</row>
    <row r="569" customFormat="false" ht="15.75" hidden="false" customHeight="true" outlineLevel="0" collapsed="false">
      <c r="A569" s="64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</row>
    <row r="570" customFormat="false" ht="15.75" hidden="false" customHeight="true" outlineLevel="0" collapsed="false">
      <c r="A570" s="64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</row>
    <row r="571" customFormat="false" ht="15.75" hidden="false" customHeight="true" outlineLevel="0" collapsed="false">
      <c r="A571" s="64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</row>
    <row r="572" customFormat="false" ht="15.75" hidden="false" customHeight="true" outlineLevel="0" collapsed="false">
      <c r="A572" s="64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</row>
    <row r="573" customFormat="false" ht="15.75" hidden="false" customHeight="true" outlineLevel="0" collapsed="false">
      <c r="A573" s="64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</row>
    <row r="574" customFormat="false" ht="15.75" hidden="false" customHeight="true" outlineLevel="0" collapsed="false">
      <c r="A574" s="64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</row>
    <row r="575" customFormat="false" ht="15.75" hidden="false" customHeight="true" outlineLevel="0" collapsed="false">
      <c r="A575" s="64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</row>
    <row r="576" customFormat="false" ht="15.75" hidden="false" customHeight="true" outlineLevel="0" collapsed="false">
      <c r="A576" s="64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</row>
    <row r="577" customFormat="false" ht="15.75" hidden="false" customHeight="true" outlineLevel="0" collapsed="false">
      <c r="A577" s="64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</row>
    <row r="578" customFormat="false" ht="15.75" hidden="false" customHeight="true" outlineLevel="0" collapsed="false">
      <c r="A578" s="64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</row>
    <row r="579" customFormat="false" ht="15.75" hidden="false" customHeight="true" outlineLevel="0" collapsed="false">
      <c r="A579" s="64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</row>
    <row r="580" customFormat="false" ht="15.75" hidden="false" customHeight="true" outlineLevel="0" collapsed="false">
      <c r="A580" s="64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</row>
    <row r="581" customFormat="false" ht="15.75" hidden="false" customHeight="true" outlineLevel="0" collapsed="false">
      <c r="A581" s="64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</row>
    <row r="582" customFormat="false" ht="15.75" hidden="false" customHeight="true" outlineLevel="0" collapsed="false">
      <c r="A582" s="64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</row>
    <row r="583" customFormat="false" ht="15.75" hidden="false" customHeight="true" outlineLevel="0" collapsed="false">
      <c r="A583" s="64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</row>
    <row r="584" customFormat="false" ht="15.75" hidden="false" customHeight="true" outlineLevel="0" collapsed="false">
      <c r="A584" s="64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</row>
    <row r="585" customFormat="false" ht="15.75" hidden="false" customHeight="true" outlineLevel="0" collapsed="false">
      <c r="A585" s="64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</row>
    <row r="586" customFormat="false" ht="15.75" hidden="false" customHeight="true" outlineLevel="0" collapsed="false">
      <c r="A586" s="64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</row>
    <row r="587" customFormat="false" ht="15.75" hidden="false" customHeight="true" outlineLevel="0" collapsed="false">
      <c r="A587" s="64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</row>
    <row r="588" customFormat="false" ht="15.75" hidden="false" customHeight="true" outlineLevel="0" collapsed="false">
      <c r="A588" s="64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</row>
    <row r="589" customFormat="false" ht="15.75" hidden="false" customHeight="true" outlineLevel="0" collapsed="false">
      <c r="A589" s="64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</row>
    <row r="590" customFormat="false" ht="15.75" hidden="false" customHeight="true" outlineLevel="0" collapsed="false">
      <c r="A590" s="64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</row>
    <row r="591" customFormat="false" ht="15.75" hidden="false" customHeight="true" outlineLevel="0" collapsed="false">
      <c r="A591" s="64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</row>
    <row r="592" customFormat="false" ht="15.75" hidden="false" customHeight="true" outlineLevel="0" collapsed="false">
      <c r="A592" s="64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</row>
    <row r="593" customFormat="false" ht="15.75" hidden="false" customHeight="true" outlineLevel="0" collapsed="false">
      <c r="A593" s="64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</row>
    <row r="594" customFormat="false" ht="15.75" hidden="false" customHeight="true" outlineLevel="0" collapsed="false">
      <c r="A594" s="64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</row>
    <row r="595" customFormat="false" ht="15.75" hidden="false" customHeight="true" outlineLevel="0" collapsed="false">
      <c r="A595" s="64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</row>
    <row r="596" customFormat="false" ht="15.75" hidden="false" customHeight="true" outlineLevel="0" collapsed="false">
      <c r="A596" s="64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</row>
    <row r="597" customFormat="false" ht="15.75" hidden="false" customHeight="true" outlineLevel="0" collapsed="false">
      <c r="A597" s="64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</row>
    <row r="598" customFormat="false" ht="15.75" hidden="false" customHeight="true" outlineLevel="0" collapsed="false">
      <c r="A598" s="64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</row>
    <row r="599" customFormat="false" ht="15.75" hidden="false" customHeight="true" outlineLevel="0" collapsed="false">
      <c r="A599" s="64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</row>
    <row r="600" customFormat="false" ht="15.75" hidden="false" customHeight="true" outlineLevel="0" collapsed="false">
      <c r="A600" s="64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</row>
    <row r="601" customFormat="false" ht="15.75" hidden="false" customHeight="true" outlineLevel="0" collapsed="false">
      <c r="A601" s="64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</row>
    <row r="602" customFormat="false" ht="15.75" hidden="false" customHeight="true" outlineLevel="0" collapsed="false">
      <c r="A602" s="64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</row>
    <row r="603" customFormat="false" ht="15.75" hidden="false" customHeight="true" outlineLevel="0" collapsed="false">
      <c r="A603" s="64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</row>
    <row r="604" customFormat="false" ht="15.75" hidden="false" customHeight="true" outlineLevel="0" collapsed="false">
      <c r="A604" s="64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</row>
    <row r="605" customFormat="false" ht="15.75" hidden="false" customHeight="true" outlineLevel="0" collapsed="false">
      <c r="A605" s="64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</row>
    <row r="606" customFormat="false" ht="15.75" hidden="false" customHeight="true" outlineLevel="0" collapsed="false">
      <c r="A606" s="64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</row>
    <row r="607" customFormat="false" ht="15.75" hidden="false" customHeight="true" outlineLevel="0" collapsed="false">
      <c r="A607" s="64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</row>
    <row r="608" customFormat="false" ht="15.75" hidden="false" customHeight="true" outlineLevel="0" collapsed="false">
      <c r="A608" s="64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</row>
    <row r="609" customFormat="false" ht="15.75" hidden="false" customHeight="true" outlineLevel="0" collapsed="false">
      <c r="A609" s="64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</row>
    <row r="610" customFormat="false" ht="15.75" hidden="false" customHeight="true" outlineLevel="0" collapsed="false">
      <c r="A610" s="64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</row>
    <row r="611" customFormat="false" ht="15.75" hidden="false" customHeight="true" outlineLevel="0" collapsed="false">
      <c r="A611" s="64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</row>
    <row r="612" customFormat="false" ht="15.75" hidden="false" customHeight="true" outlineLevel="0" collapsed="false">
      <c r="A612" s="64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</row>
    <row r="613" customFormat="false" ht="15.75" hidden="false" customHeight="true" outlineLevel="0" collapsed="false">
      <c r="A613" s="64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</row>
    <row r="614" customFormat="false" ht="15.75" hidden="false" customHeight="true" outlineLevel="0" collapsed="false">
      <c r="A614" s="64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</row>
    <row r="615" customFormat="false" ht="15.75" hidden="false" customHeight="true" outlineLevel="0" collapsed="false">
      <c r="A615" s="64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</row>
    <row r="616" customFormat="false" ht="15.75" hidden="false" customHeight="true" outlineLevel="0" collapsed="false">
      <c r="A616" s="64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</row>
    <row r="617" customFormat="false" ht="15.75" hidden="false" customHeight="true" outlineLevel="0" collapsed="false">
      <c r="A617" s="64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</row>
    <row r="618" customFormat="false" ht="15.75" hidden="false" customHeight="true" outlineLevel="0" collapsed="false">
      <c r="A618" s="64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</row>
    <row r="619" customFormat="false" ht="15.75" hidden="false" customHeight="true" outlineLevel="0" collapsed="false">
      <c r="A619" s="64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</row>
    <row r="620" customFormat="false" ht="15.75" hidden="false" customHeight="true" outlineLevel="0" collapsed="false">
      <c r="A620" s="64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</row>
    <row r="621" customFormat="false" ht="15.75" hidden="false" customHeight="true" outlineLevel="0" collapsed="false">
      <c r="A621" s="64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</row>
    <row r="622" customFormat="false" ht="15.75" hidden="false" customHeight="true" outlineLevel="0" collapsed="false">
      <c r="A622" s="64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</row>
    <row r="623" customFormat="false" ht="15.75" hidden="false" customHeight="true" outlineLevel="0" collapsed="false">
      <c r="A623" s="64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</row>
    <row r="624" customFormat="false" ht="15.75" hidden="false" customHeight="true" outlineLevel="0" collapsed="false">
      <c r="A624" s="64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</row>
    <row r="625" customFormat="false" ht="15.75" hidden="false" customHeight="true" outlineLevel="0" collapsed="false">
      <c r="A625" s="64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</row>
    <row r="626" customFormat="false" ht="15.75" hidden="false" customHeight="true" outlineLevel="0" collapsed="false">
      <c r="A626" s="64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</row>
    <row r="627" customFormat="false" ht="15.75" hidden="false" customHeight="true" outlineLevel="0" collapsed="false">
      <c r="A627" s="64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</row>
    <row r="628" customFormat="false" ht="15.75" hidden="false" customHeight="true" outlineLevel="0" collapsed="false">
      <c r="A628" s="64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</row>
    <row r="629" customFormat="false" ht="15.75" hidden="false" customHeight="true" outlineLevel="0" collapsed="false">
      <c r="A629" s="64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</row>
    <row r="630" customFormat="false" ht="15.75" hidden="false" customHeight="true" outlineLevel="0" collapsed="false">
      <c r="A630" s="64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</row>
    <row r="631" customFormat="false" ht="15.75" hidden="false" customHeight="true" outlineLevel="0" collapsed="false">
      <c r="A631" s="64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</row>
    <row r="632" customFormat="false" ht="15.75" hidden="false" customHeight="true" outlineLevel="0" collapsed="false">
      <c r="A632" s="64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</row>
    <row r="633" customFormat="false" ht="15.75" hidden="false" customHeight="true" outlineLevel="0" collapsed="false">
      <c r="A633" s="64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</row>
    <row r="634" customFormat="false" ht="15.75" hidden="false" customHeight="true" outlineLevel="0" collapsed="false">
      <c r="A634" s="64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</row>
    <row r="635" customFormat="false" ht="15.75" hidden="false" customHeight="true" outlineLevel="0" collapsed="false">
      <c r="A635" s="64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</row>
    <row r="636" customFormat="false" ht="15.75" hidden="false" customHeight="true" outlineLevel="0" collapsed="false">
      <c r="A636" s="64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</row>
    <row r="637" customFormat="false" ht="15.75" hidden="false" customHeight="true" outlineLevel="0" collapsed="false">
      <c r="A637" s="64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</row>
    <row r="638" customFormat="false" ht="15.75" hidden="false" customHeight="true" outlineLevel="0" collapsed="false">
      <c r="A638" s="64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</row>
    <row r="639" customFormat="false" ht="15.75" hidden="false" customHeight="true" outlineLevel="0" collapsed="false">
      <c r="A639" s="64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</row>
    <row r="640" customFormat="false" ht="15.75" hidden="false" customHeight="true" outlineLevel="0" collapsed="false">
      <c r="A640" s="64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</row>
    <row r="641" customFormat="false" ht="15.75" hidden="false" customHeight="true" outlineLevel="0" collapsed="false">
      <c r="A641" s="64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</row>
    <row r="642" customFormat="false" ht="15.75" hidden="false" customHeight="true" outlineLevel="0" collapsed="false">
      <c r="A642" s="64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</row>
    <row r="643" customFormat="false" ht="15.75" hidden="false" customHeight="true" outlineLevel="0" collapsed="false">
      <c r="A643" s="64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</row>
    <row r="644" customFormat="false" ht="15.75" hidden="false" customHeight="true" outlineLevel="0" collapsed="false">
      <c r="A644" s="64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</row>
    <row r="645" customFormat="false" ht="15.75" hidden="false" customHeight="true" outlineLevel="0" collapsed="false">
      <c r="A645" s="64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</row>
    <row r="646" customFormat="false" ht="15.75" hidden="false" customHeight="true" outlineLevel="0" collapsed="false">
      <c r="A646" s="64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</row>
    <row r="647" customFormat="false" ht="15.75" hidden="false" customHeight="true" outlineLevel="0" collapsed="false">
      <c r="A647" s="64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</row>
    <row r="648" customFormat="false" ht="15.75" hidden="false" customHeight="true" outlineLevel="0" collapsed="false">
      <c r="A648" s="64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</row>
    <row r="649" customFormat="false" ht="15.75" hidden="false" customHeight="true" outlineLevel="0" collapsed="false">
      <c r="A649" s="64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</row>
    <row r="650" customFormat="false" ht="15.75" hidden="false" customHeight="true" outlineLevel="0" collapsed="false">
      <c r="A650" s="64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</row>
    <row r="651" customFormat="false" ht="15.75" hidden="false" customHeight="true" outlineLevel="0" collapsed="false">
      <c r="A651" s="64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</row>
    <row r="652" customFormat="false" ht="15.75" hidden="false" customHeight="true" outlineLevel="0" collapsed="false">
      <c r="A652" s="64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</row>
    <row r="653" customFormat="false" ht="15.75" hidden="false" customHeight="true" outlineLevel="0" collapsed="false">
      <c r="A653" s="64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</row>
    <row r="654" customFormat="false" ht="15.75" hidden="false" customHeight="true" outlineLevel="0" collapsed="false">
      <c r="A654" s="64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</row>
    <row r="655" customFormat="false" ht="15.75" hidden="false" customHeight="true" outlineLevel="0" collapsed="false">
      <c r="A655" s="64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</row>
    <row r="656" customFormat="false" ht="15.75" hidden="false" customHeight="true" outlineLevel="0" collapsed="false">
      <c r="A656" s="64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</row>
    <row r="657" customFormat="false" ht="15.75" hidden="false" customHeight="true" outlineLevel="0" collapsed="false">
      <c r="A657" s="64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</row>
    <row r="658" customFormat="false" ht="15.75" hidden="false" customHeight="true" outlineLevel="0" collapsed="false">
      <c r="A658" s="64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</row>
    <row r="659" customFormat="false" ht="15.75" hidden="false" customHeight="true" outlineLevel="0" collapsed="false">
      <c r="A659" s="64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</row>
    <row r="660" customFormat="false" ht="15.75" hidden="false" customHeight="true" outlineLevel="0" collapsed="false">
      <c r="A660" s="64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</row>
    <row r="661" customFormat="false" ht="15.75" hidden="false" customHeight="true" outlineLevel="0" collapsed="false">
      <c r="A661" s="64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</row>
    <row r="662" customFormat="false" ht="15.75" hidden="false" customHeight="true" outlineLevel="0" collapsed="false">
      <c r="A662" s="64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</row>
    <row r="663" customFormat="false" ht="15.75" hidden="false" customHeight="true" outlineLevel="0" collapsed="false">
      <c r="A663" s="64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</row>
    <row r="664" customFormat="false" ht="15.75" hidden="false" customHeight="true" outlineLevel="0" collapsed="false">
      <c r="A664" s="64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</row>
    <row r="665" customFormat="false" ht="15.75" hidden="false" customHeight="true" outlineLevel="0" collapsed="false">
      <c r="A665" s="64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</row>
    <row r="666" customFormat="false" ht="15.75" hidden="false" customHeight="true" outlineLevel="0" collapsed="false">
      <c r="A666" s="64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</row>
    <row r="667" customFormat="false" ht="15.75" hidden="false" customHeight="true" outlineLevel="0" collapsed="false">
      <c r="A667" s="64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</row>
    <row r="668" customFormat="false" ht="15.75" hidden="false" customHeight="true" outlineLevel="0" collapsed="false">
      <c r="A668" s="64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</row>
    <row r="669" customFormat="false" ht="15.75" hidden="false" customHeight="true" outlineLevel="0" collapsed="false">
      <c r="A669" s="64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</row>
    <row r="670" customFormat="false" ht="15.75" hidden="false" customHeight="true" outlineLevel="0" collapsed="false">
      <c r="A670" s="64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</row>
    <row r="671" customFormat="false" ht="15.75" hidden="false" customHeight="true" outlineLevel="0" collapsed="false">
      <c r="A671" s="64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</row>
    <row r="672" customFormat="false" ht="15.75" hidden="false" customHeight="true" outlineLevel="0" collapsed="false">
      <c r="A672" s="64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</row>
    <row r="673" customFormat="false" ht="15.75" hidden="false" customHeight="true" outlineLevel="0" collapsed="false">
      <c r="A673" s="64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</row>
    <row r="674" customFormat="false" ht="15.75" hidden="false" customHeight="true" outlineLevel="0" collapsed="false">
      <c r="A674" s="64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</row>
    <row r="675" customFormat="false" ht="15.75" hidden="false" customHeight="true" outlineLevel="0" collapsed="false">
      <c r="A675" s="64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</row>
    <row r="676" customFormat="false" ht="15.75" hidden="false" customHeight="true" outlineLevel="0" collapsed="false">
      <c r="A676" s="64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</row>
    <row r="677" customFormat="false" ht="15.75" hidden="false" customHeight="true" outlineLevel="0" collapsed="false">
      <c r="A677" s="64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</row>
    <row r="678" customFormat="false" ht="15.75" hidden="false" customHeight="true" outlineLevel="0" collapsed="false">
      <c r="A678" s="64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</row>
    <row r="679" customFormat="false" ht="15.75" hidden="false" customHeight="true" outlineLevel="0" collapsed="false">
      <c r="A679" s="64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</row>
    <row r="680" customFormat="false" ht="15.75" hidden="false" customHeight="true" outlineLevel="0" collapsed="false">
      <c r="A680" s="64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</row>
    <row r="681" customFormat="false" ht="15.75" hidden="false" customHeight="true" outlineLevel="0" collapsed="false">
      <c r="A681" s="64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</row>
    <row r="682" customFormat="false" ht="15.75" hidden="false" customHeight="true" outlineLevel="0" collapsed="false">
      <c r="A682" s="64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</row>
    <row r="683" customFormat="false" ht="15.75" hidden="false" customHeight="true" outlineLevel="0" collapsed="false">
      <c r="A683" s="64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</row>
    <row r="684" customFormat="false" ht="15.75" hidden="false" customHeight="true" outlineLevel="0" collapsed="false">
      <c r="A684" s="64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</row>
    <row r="685" customFormat="false" ht="15.75" hidden="false" customHeight="true" outlineLevel="0" collapsed="false">
      <c r="A685" s="64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</row>
    <row r="686" customFormat="false" ht="15.75" hidden="false" customHeight="true" outlineLevel="0" collapsed="false">
      <c r="A686" s="64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</row>
    <row r="687" customFormat="false" ht="15.75" hidden="false" customHeight="true" outlineLevel="0" collapsed="false">
      <c r="A687" s="64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</row>
    <row r="688" customFormat="false" ht="15.75" hidden="false" customHeight="true" outlineLevel="0" collapsed="false">
      <c r="A688" s="64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</row>
    <row r="689" customFormat="false" ht="15.75" hidden="false" customHeight="true" outlineLevel="0" collapsed="false">
      <c r="A689" s="64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</row>
    <row r="690" customFormat="false" ht="15.75" hidden="false" customHeight="true" outlineLevel="0" collapsed="false">
      <c r="A690" s="64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</row>
    <row r="691" customFormat="false" ht="15.75" hidden="false" customHeight="true" outlineLevel="0" collapsed="false">
      <c r="A691" s="64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</row>
    <row r="692" customFormat="false" ht="15.75" hidden="false" customHeight="true" outlineLevel="0" collapsed="false">
      <c r="A692" s="64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</row>
    <row r="693" customFormat="false" ht="15.75" hidden="false" customHeight="true" outlineLevel="0" collapsed="false">
      <c r="A693" s="64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</row>
    <row r="694" customFormat="false" ht="15.75" hidden="false" customHeight="true" outlineLevel="0" collapsed="false">
      <c r="A694" s="64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</row>
    <row r="695" customFormat="false" ht="15.75" hidden="false" customHeight="true" outlineLevel="0" collapsed="false">
      <c r="A695" s="64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</row>
    <row r="696" customFormat="false" ht="15.75" hidden="false" customHeight="true" outlineLevel="0" collapsed="false">
      <c r="A696" s="64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</row>
    <row r="697" customFormat="false" ht="15.75" hidden="false" customHeight="true" outlineLevel="0" collapsed="false">
      <c r="A697" s="64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</row>
    <row r="698" customFormat="false" ht="15.75" hidden="false" customHeight="true" outlineLevel="0" collapsed="false">
      <c r="A698" s="64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</row>
    <row r="699" customFormat="false" ht="15.75" hidden="false" customHeight="true" outlineLevel="0" collapsed="false">
      <c r="A699" s="64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</row>
    <row r="700" customFormat="false" ht="15.75" hidden="false" customHeight="true" outlineLevel="0" collapsed="false">
      <c r="A700" s="64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</row>
    <row r="701" customFormat="false" ht="15.75" hidden="false" customHeight="true" outlineLevel="0" collapsed="false">
      <c r="A701" s="64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</row>
    <row r="702" customFormat="false" ht="15.75" hidden="false" customHeight="true" outlineLevel="0" collapsed="false">
      <c r="A702" s="64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</row>
    <row r="703" customFormat="false" ht="15.75" hidden="false" customHeight="true" outlineLevel="0" collapsed="false">
      <c r="A703" s="64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</row>
    <row r="704" customFormat="false" ht="15.75" hidden="false" customHeight="true" outlineLevel="0" collapsed="false">
      <c r="A704" s="64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</row>
    <row r="705" customFormat="false" ht="15.75" hidden="false" customHeight="true" outlineLevel="0" collapsed="false">
      <c r="A705" s="64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</row>
    <row r="706" customFormat="false" ht="15.75" hidden="false" customHeight="true" outlineLevel="0" collapsed="false">
      <c r="A706" s="64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</row>
    <row r="707" customFormat="false" ht="15.75" hidden="false" customHeight="true" outlineLevel="0" collapsed="false">
      <c r="A707" s="64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</row>
    <row r="708" customFormat="false" ht="15.75" hidden="false" customHeight="true" outlineLevel="0" collapsed="false">
      <c r="A708" s="64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</row>
    <row r="709" customFormat="false" ht="15.75" hidden="false" customHeight="true" outlineLevel="0" collapsed="false">
      <c r="A709" s="64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</row>
    <row r="710" customFormat="false" ht="15.75" hidden="false" customHeight="true" outlineLevel="0" collapsed="false">
      <c r="A710" s="64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</row>
    <row r="711" customFormat="false" ht="15.75" hidden="false" customHeight="true" outlineLevel="0" collapsed="false">
      <c r="A711" s="64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</row>
    <row r="712" customFormat="false" ht="15.75" hidden="false" customHeight="true" outlineLevel="0" collapsed="false">
      <c r="A712" s="64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</row>
    <row r="713" customFormat="false" ht="15.75" hidden="false" customHeight="true" outlineLevel="0" collapsed="false">
      <c r="A713" s="64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</row>
    <row r="714" customFormat="false" ht="15.75" hidden="false" customHeight="true" outlineLevel="0" collapsed="false">
      <c r="A714" s="64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</row>
    <row r="715" customFormat="false" ht="15.75" hidden="false" customHeight="true" outlineLevel="0" collapsed="false">
      <c r="A715" s="64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</row>
    <row r="716" customFormat="false" ht="15.75" hidden="false" customHeight="true" outlineLevel="0" collapsed="false">
      <c r="A716" s="64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</row>
    <row r="717" customFormat="false" ht="15.75" hidden="false" customHeight="true" outlineLevel="0" collapsed="false">
      <c r="A717" s="64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</row>
    <row r="718" customFormat="false" ht="15.75" hidden="false" customHeight="true" outlineLevel="0" collapsed="false">
      <c r="A718" s="64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</row>
    <row r="719" customFormat="false" ht="15.75" hidden="false" customHeight="true" outlineLevel="0" collapsed="false">
      <c r="A719" s="64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</row>
    <row r="720" customFormat="false" ht="15.75" hidden="false" customHeight="true" outlineLevel="0" collapsed="false">
      <c r="A720" s="64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</row>
    <row r="721" customFormat="false" ht="15.75" hidden="false" customHeight="true" outlineLevel="0" collapsed="false">
      <c r="A721" s="64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</row>
    <row r="722" customFormat="false" ht="15.75" hidden="false" customHeight="true" outlineLevel="0" collapsed="false">
      <c r="A722" s="64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</row>
    <row r="723" customFormat="false" ht="15.75" hidden="false" customHeight="true" outlineLevel="0" collapsed="false">
      <c r="A723" s="64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</row>
    <row r="724" customFormat="false" ht="15.75" hidden="false" customHeight="true" outlineLevel="0" collapsed="false">
      <c r="A724" s="64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</row>
    <row r="725" customFormat="false" ht="15.75" hidden="false" customHeight="true" outlineLevel="0" collapsed="false">
      <c r="A725" s="64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</row>
    <row r="726" customFormat="false" ht="15.75" hidden="false" customHeight="true" outlineLevel="0" collapsed="false">
      <c r="A726" s="64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</row>
    <row r="727" customFormat="false" ht="15.75" hidden="false" customHeight="true" outlineLevel="0" collapsed="false">
      <c r="A727" s="64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</row>
    <row r="728" customFormat="false" ht="15.75" hidden="false" customHeight="true" outlineLevel="0" collapsed="false">
      <c r="A728" s="64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</row>
    <row r="729" customFormat="false" ht="15.75" hidden="false" customHeight="true" outlineLevel="0" collapsed="false">
      <c r="A729" s="64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</row>
    <row r="730" customFormat="false" ht="15.75" hidden="false" customHeight="true" outlineLevel="0" collapsed="false">
      <c r="A730" s="64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</row>
    <row r="731" customFormat="false" ht="15.75" hidden="false" customHeight="true" outlineLevel="0" collapsed="false">
      <c r="A731" s="64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</row>
    <row r="732" customFormat="false" ht="15.75" hidden="false" customHeight="true" outlineLevel="0" collapsed="false">
      <c r="A732" s="64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</row>
    <row r="733" customFormat="false" ht="15.75" hidden="false" customHeight="true" outlineLevel="0" collapsed="false">
      <c r="A733" s="64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</row>
    <row r="734" customFormat="false" ht="15.75" hidden="false" customHeight="true" outlineLevel="0" collapsed="false">
      <c r="A734" s="64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</row>
    <row r="735" customFormat="false" ht="15.75" hidden="false" customHeight="true" outlineLevel="0" collapsed="false">
      <c r="A735" s="64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</row>
    <row r="736" customFormat="false" ht="15.75" hidden="false" customHeight="true" outlineLevel="0" collapsed="false">
      <c r="A736" s="64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</row>
    <row r="737" customFormat="false" ht="15.75" hidden="false" customHeight="true" outlineLevel="0" collapsed="false">
      <c r="A737" s="64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</row>
    <row r="738" customFormat="false" ht="15.75" hidden="false" customHeight="true" outlineLevel="0" collapsed="false">
      <c r="A738" s="64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</row>
    <row r="739" customFormat="false" ht="15.75" hidden="false" customHeight="true" outlineLevel="0" collapsed="false">
      <c r="A739" s="64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</row>
    <row r="740" customFormat="false" ht="15.75" hidden="false" customHeight="true" outlineLevel="0" collapsed="false">
      <c r="A740" s="64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</row>
    <row r="741" customFormat="false" ht="15.75" hidden="false" customHeight="true" outlineLevel="0" collapsed="false">
      <c r="A741" s="64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</row>
    <row r="742" customFormat="false" ht="15.75" hidden="false" customHeight="true" outlineLevel="0" collapsed="false">
      <c r="A742" s="64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</row>
    <row r="743" customFormat="false" ht="15.75" hidden="false" customHeight="true" outlineLevel="0" collapsed="false">
      <c r="A743" s="64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</row>
    <row r="744" customFormat="false" ht="15.75" hidden="false" customHeight="true" outlineLevel="0" collapsed="false">
      <c r="A744" s="64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</row>
    <row r="745" customFormat="false" ht="15.75" hidden="false" customHeight="true" outlineLevel="0" collapsed="false">
      <c r="A745" s="64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</row>
    <row r="746" customFormat="false" ht="15.75" hidden="false" customHeight="true" outlineLevel="0" collapsed="false">
      <c r="A746" s="64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</row>
    <row r="747" customFormat="false" ht="15.75" hidden="false" customHeight="true" outlineLevel="0" collapsed="false">
      <c r="A747" s="64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</row>
    <row r="748" customFormat="false" ht="15.75" hidden="false" customHeight="true" outlineLevel="0" collapsed="false">
      <c r="A748" s="64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</row>
    <row r="749" customFormat="false" ht="15.75" hidden="false" customHeight="true" outlineLevel="0" collapsed="false">
      <c r="A749" s="64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</row>
    <row r="750" customFormat="false" ht="15.75" hidden="false" customHeight="true" outlineLevel="0" collapsed="false">
      <c r="A750" s="64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</row>
    <row r="751" customFormat="false" ht="15.75" hidden="false" customHeight="true" outlineLevel="0" collapsed="false">
      <c r="A751" s="64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</row>
    <row r="752" customFormat="false" ht="15.75" hidden="false" customHeight="true" outlineLevel="0" collapsed="false">
      <c r="A752" s="64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</row>
    <row r="753" customFormat="false" ht="15.75" hidden="false" customHeight="true" outlineLevel="0" collapsed="false">
      <c r="A753" s="64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</row>
    <row r="754" customFormat="false" ht="15.75" hidden="false" customHeight="true" outlineLevel="0" collapsed="false">
      <c r="A754" s="64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</row>
    <row r="755" customFormat="false" ht="15.75" hidden="false" customHeight="true" outlineLevel="0" collapsed="false">
      <c r="A755" s="64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</row>
    <row r="756" customFormat="false" ht="15.75" hidden="false" customHeight="true" outlineLevel="0" collapsed="false">
      <c r="A756" s="64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</row>
    <row r="757" customFormat="false" ht="15.75" hidden="false" customHeight="true" outlineLevel="0" collapsed="false">
      <c r="A757" s="64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</row>
    <row r="758" customFormat="false" ht="15.75" hidden="false" customHeight="true" outlineLevel="0" collapsed="false">
      <c r="A758" s="64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</row>
    <row r="759" customFormat="false" ht="15.75" hidden="false" customHeight="true" outlineLevel="0" collapsed="false">
      <c r="A759" s="64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</row>
    <row r="760" customFormat="false" ht="15.75" hidden="false" customHeight="true" outlineLevel="0" collapsed="false">
      <c r="A760" s="64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</row>
    <row r="761" customFormat="false" ht="15.75" hidden="false" customHeight="true" outlineLevel="0" collapsed="false">
      <c r="A761" s="64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</row>
    <row r="762" customFormat="false" ht="15.75" hidden="false" customHeight="true" outlineLevel="0" collapsed="false">
      <c r="A762" s="64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</row>
    <row r="763" customFormat="false" ht="15.75" hidden="false" customHeight="true" outlineLevel="0" collapsed="false">
      <c r="A763" s="64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</row>
    <row r="764" customFormat="false" ht="15.75" hidden="false" customHeight="true" outlineLevel="0" collapsed="false">
      <c r="A764" s="64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</row>
    <row r="765" customFormat="false" ht="15.75" hidden="false" customHeight="true" outlineLevel="0" collapsed="false">
      <c r="A765" s="64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</row>
    <row r="766" customFormat="false" ht="15.75" hidden="false" customHeight="true" outlineLevel="0" collapsed="false">
      <c r="A766" s="64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</row>
    <row r="767" customFormat="false" ht="15.75" hidden="false" customHeight="true" outlineLevel="0" collapsed="false">
      <c r="A767" s="64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</row>
    <row r="768" customFormat="false" ht="15.75" hidden="false" customHeight="true" outlineLevel="0" collapsed="false">
      <c r="A768" s="64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</row>
    <row r="769" customFormat="false" ht="15.75" hidden="false" customHeight="true" outlineLevel="0" collapsed="false">
      <c r="A769" s="64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</row>
    <row r="770" customFormat="false" ht="15.75" hidden="false" customHeight="true" outlineLevel="0" collapsed="false">
      <c r="A770" s="64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</row>
    <row r="771" customFormat="false" ht="15.75" hidden="false" customHeight="true" outlineLevel="0" collapsed="false">
      <c r="A771" s="64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</row>
    <row r="772" customFormat="false" ht="15.75" hidden="false" customHeight="true" outlineLevel="0" collapsed="false">
      <c r="A772" s="64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</row>
    <row r="773" customFormat="false" ht="15.75" hidden="false" customHeight="true" outlineLevel="0" collapsed="false">
      <c r="A773" s="64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</row>
    <row r="774" customFormat="false" ht="15.75" hidden="false" customHeight="true" outlineLevel="0" collapsed="false">
      <c r="A774" s="64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</row>
    <row r="775" customFormat="false" ht="15.75" hidden="false" customHeight="true" outlineLevel="0" collapsed="false">
      <c r="A775" s="64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</row>
    <row r="776" customFormat="false" ht="15.75" hidden="false" customHeight="true" outlineLevel="0" collapsed="false">
      <c r="A776" s="64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</row>
    <row r="777" customFormat="false" ht="15.75" hidden="false" customHeight="true" outlineLevel="0" collapsed="false">
      <c r="A777" s="64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</row>
    <row r="778" customFormat="false" ht="15.75" hidden="false" customHeight="true" outlineLevel="0" collapsed="false">
      <c r="A778" s="64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</row>
    <row r="779" customFormat="false" ht="15.75" hidden="false" customHeight="true" outlineLevel="0" collapsed="false">
      <c r="A779" s="64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</row>
    <row r="780" customFormat="false" ht="15.75" hidden="false" customHeight="true" outlineLevel="0" collapsed="false">
      <c r="A780" s="64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</row>
    <row r="781" customFormat="false" ht="15.75" hidden="false" customHeight="true" outlineLevel="0" collapsed="false">
      <c r="A781" s="64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</row>
    <row r="782" customFormat="false" ht="15.75" hidden="false" customHeight="true" outlineLevel="0" collapsed="false">
      <c r="A782" s="64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</row>
    <row r="783" customFormat="false" ht="15.75" hidden="false" customHeight="true" outlineLevel="0" collapsed="false">
      <c r="A783" s="64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</row>
    <row r="784" customFormat="false" ht="15.75" hidden="false" customHeight="true" outlineLevel="0" collapsed="false">
      <c r="A784" s="64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</row>
    <row r="785" customFormat="false" ht="15.75" hidden="false" customHeight="true" outlineLevel="0" collapsed="false">
      <c r="A785" s="64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</row>
    <row r="786" customFormat="false" ht="15.75" hidden="false" customHeight="true" outlineLevel="0" collapsed="false">
      <c r="A786" s="64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</row>
    <row r="787" customFormat="false" ht="15.75" hidden="false" customHeight="true" outlineLevel="0" collapsed="false">
      <c r="A787" s="64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</row>
    <row r="788" customFormat="false" ht="15.75" hidden="false" customHeight="true" outlineLevel="0" collapsed="false">
      <c r="A788" s="64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</row>
    <row r="789" customFormat="false" ht="15.75" hidden="false" customHeight="true" outlineLevel="0" collapsed="false">
      <c r="A789" s="64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</row>
    <row r="790" customFormat="false" ht="15.75" hidden="false" customHeight="true" outlineLevel="0" collapsed="false">
      <c r="A790" s="64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</row>
    <row r="791" customFormat="false" ht="15.75" hidden="false" customHeight="true" outlineLevel="0" collapsed="false">
      <c r="A791" s="64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</row>
    <row r="792" customFormat="false" ht="15.75" hidden="false" customHeight="true" outlineLevel="0" collapsed="false">
      <c r="A792" s="64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</row>
    <row r="793" customFormat="false" ht="15.75" hidden="false" customHeight="true" outlineLevel="0" collapsed="false">
      <c r="A793" s="64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</row>
    <row r="794" customFormat="false" ht="15.75" hidden="false" customHeight="true" outlineLevel="0" collapsed="false">
      <c r="A794" s="64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</row>
    <row r="795" customFormat="false" ht="15.75" hidden="false" customHeight="true" outlineLevel="0" collapsed="false">
      <c r="A795" s="64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</row>
    <row r="796" customFormat="false" ht="15.75" hidden="false" customHeight="true" outlineLevel="0" collapsed="false">
      <c r="A796" s="64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</row>
    <row r="797" customFormat="false" ht="15.75" hidden="false" customHeight="true" outlineLevel="0" collapsed="false">
      <c r="A797" s="64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</row>
    <row r="798" customFormat="false" ht="15.75" hidden="false" customHeight="true" outlineLevel="0" collapsed="false">
      <c r="A798" s="64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</row>
    <row r="799" customFormat="false" ht="15.75" hidden="false" customHeight="true" outlineLevel="0" collapsed="false">
      <c r="A799" s="64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</row>
    <row r="800" customFormat="false" ht="15.75" hidden="false" customHeight="true" outlineLevel="0" collapsed="false">
      <c r="A800" s="64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</row>
    <row r="801" customFormat="false" ht="15.75" hidden="false" customHeight="true" outlineLevel="0" collapsed="false">
      <c r="A801" s="64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</row>
    <row r="802" customFormat="false" ht="15.75" hidden="false" customHeight="true" outlineLevel="0" collapsed="false">
      <c r="A802" s="64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</row>
    <row r="803" customFormat="false" ht="15.75" hidden="false" customHeight="true" outlineLevel="0" collapsed="false">
      <c r="A803" s="64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</row>
    <row r="804" customFormat="false" ht="15.75" hidden="false" customHeight="true" outlineLevel="0" collapsed="false">
      <c r="A804" s="64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</row>
    <row r="805" customFormat="false" ht="15.75" hidden="false" customHeight="true" outlineLevel="0" collapsed="false">
      <c r="A805" s="64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</row>
    <row r="806" customFormat="false" ht="15.75" hidden="false" customHeight="true" outlineLevel="0" collapsed="false">
      <c r="A806" s="64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</row>
    <row r="807" customFormat="false" ht="15.75" hidden="false" customHeight="true" outlineLevel="0" collapsed="false">
      <c r="A807" s="64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</row>
    <row r="808" customFormat="false" ht="15.75" hidden="false" customHeight="true" outlineLevel="0" collapsed="false">
      <c r="A808" s="64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</row>
    <row r="809" customFormat="false" ht="15.75" hidden="false" customHeight="true" outlineLevel="0" collapsed="false">
      <c r="A809" s="64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</row>
    <row r="810" customFormat="false" ht="15.75" hidden="false" customHeight="true" outlineLevel="0" collapsed="false">
      <c r="A810" s="64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</row>
    <row r="811" customFormat="false" ht="15.75" hidden="false" customHeight="true" outlineLevel="0" collapsed="false">
      <c r="A811" s="64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</row>
    <row r="812" customFormat="false" ht="15.75" hidden="false" customHeight="true" outlineLevel="0" collapsed="false">
      <c r="A812" s="64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</row>
    <row r="813" customFormat="false" ht="15.75" hidden="false" customHeight="true" outlineLevel="0" collapsed="false">
      <c r="A813" s="64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</row>
    <row r="814" customFormat="false" ht="15.75" hidden="false" customHeight="true" outlineLevel="0" collapsed="false">
      <c r="A814" s="64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</row>
    <row r="815" customFormat="false" ht="15.75" hidden="false" customHeight="true" outlineLevel="0" collapsed="false">
      <c r="A815" s="64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</row>
    <row r="816" customFormat="false" ht="15.75" hidden="false" customHeight="true" outlineLevel="0" collapsed="false">
      <c r="A816" s="64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</row>
    <row r="817" customFormat="false" ht="15.75" hidden="false" customHeight="true" outlineLevel="0" collapsed="false">
      <c r="A817" s="64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</row>
    <row r="818" customFormat="false" ht="15.75" hidden="false" customHeight="true" outlineLevel="0" collapsed="false">
      <c r="A818" s="64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</row>
    <row r="819" customFormat="false" ht="15.75" hidden="false" customHeight="true" outlineLevel="0" collapsed="false">
      <c r="A819" s="64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</row>
    <row r="820" customFormat="false" ht="15.75" hidden="false" customHeight="true" outlineLevel="0" collapsed="false">
      <c r="A820" s="64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</row>
    <row r="821" customFormat="false" ht="15.75" hidden="false" customHeight="true" outlineLevel="0" collapsed="false">
      <c r="A821" s="64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</row>
    <row r="822" customFormat="false" ht="15.75" hidden="false" customHeight="true" outlineLevel="0" collapsed="false">
      <c r="A822" s="64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</row>
    <row r="823" customFormat="false" ht="15.75" hidden="false" customHeight="true" outlineLevel="0" collapsed="false">
      <c r="A823" s="64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</row>
    <row r="824" customFormat="false" ht="15.75" hidden="false" customHeight="true" outlineLevel="0" collapsed="false">
      <c r="A824" s="64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</row>
    <row r="825" customFormat="false" ht="15.75" hidden="false" customHeight="true" outlineLevel="0" collapsed="false">
      <c r="A825" s="64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</row>
    <row r="826" customFormat="false" ht="15.75" hidden="false" customHeight="true" outlineLevel="0" collapsed="false">
      <c r="A826" s="64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</row>
    <row r="827" customFormat="false" ht="15.75" hidden="false" customHeight="true" outlineLevel="0" collapsed="false">
      <c r="A827" s="64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</row>
    <row r="828" customFormat="false" ht="15.75" hidden="false" customHeight="true" outlineLevel="0" collapsed="false">
      <c r="A828" s="64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</row>
    <row r="829" customFormat="false" ht="15.75" hidden="false" customHeight="true" outlineLevel="0" collapsed="false">
      <c r="A829" s="64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</row>
    <row r="830" customFormat="false" ht="15.75" hidden="false" customHeight="true" outlineLevel="0" collapsed="false">
      <c r="A830" s="64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</row>
    <row r="831" customFormat="false" ht="15.75" hidden="false" customHeight="true" outlineLevel="0" collapsed="false">
      <c r="A831" s="64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</row>
    <row r="832" customFormat="false" ht="15.75" hidden="false" customHeight="true" outlineLevel="0" collapsed="false">
      <c r="A832" s="64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</row>
    <row r="833" customFormat="false" ht="15.75" hidden="false" customHeight="true" outlineLevel="0" collapsed="false">
      <c r="A833" s="64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</row>
    <row r="834" customFormat="false" ht="15.75" hidden="false" customHeight="true" outlineLevel="0" collapsed="false">
      <c r="A834" s="64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</row>
    <row r="835" customFormat="false" ht="15.75" hidden="false" customHeight="true" outlineLevel="0" collapsed="false">
      <c r="A835" s="64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</row>
    <row r="836" customFormat="false" ht="15.75" hidden="false" customHeight="true" outlineLevel="0" collapsed="false">
      <c r="A836" s="64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</row>
    <row r="837" customFormat="false" ht="15.75" hidden="false" customHeight="true" outlineLevel="0" collapsed="false">
      <c r="A837" s="64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</row>
    <row r="838" customFormat="false" ht="15.75" hidden="false" customHeight="true" outlineLevel="0" collapsed="false">
      <c r="A838" s="64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</row>
    <row r="839" customFormat="false" ht="15.75" hidden="false" customHeight="true" outlineLevel="0" collapsed="false">
      <c r="A839" s="64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</row>
    <row r="840" customFormat="false" ht="15.75" hidden="false" customHeight="true" outlineLevel="0" collapsed="false">
      <c r="A840" s="64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</row>
    <row r="841" customFormat="false" ht="15.75" hidden="false" customHeight="true" outlineLevel="0" collapsed="false">
      <c r="A841" s="64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</row>
    <row r="842" customFormat="false" ht="15.75" hidden="false" customHeight="true" outlineLevel="0" collapsed="false">
      <c r="A842" s="64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</row>
    <row r="843" customFormat="false" ht="15.75" hidden="false" customHeight="true" outlineLevel="0" collapsed="false">
      <c r="A843" s="64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</row>
    <row r="844" customFormat="false" ht="15.75" hidden="false" customHeight="true" outlineLevel="0" collapsed="false">
      <c r="A844" s="64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</row>
    <row r="845" customFormat="false" ht="15.75" hidden="false" customHeight="true" outlineLevel="0" collapsed="false">
      <c r="A845" s="64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</row>
    <row r="846" customFormat="false" ht="15.75" hidden="false" customHeight="true" outlineLevel="0" collapsed="false">
      <c r="A846" s="64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</row>
    <row r="847" customFormat="false" ht="15.75" hidden="false" customHeight="true" outlineLevel="0" collapsed="false">
      <c r="A847" s="64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</row>
    <row r="848" customFormat="false" ht="15.75" hidden="false" customHeight="true" outlineLevel="0" collapsed="false">
      <c r="A848" s="64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</row>
    <row r="849" customFormat="false" ht="15.75" hidden="false" customHeight="true" outlineLevel="0" collapsed="false">
      <c r="A849" s="64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</row>
    <row r="850" customFormat="false" ht="15.75" hidden="false" customHeight="true" outlineLevel="0" collapsed="false">
      <c r="A850" s="64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</row>
    <row r="851" customFormat="false" ht="15.75" hidden="false" customHeight="true" outlineLevel="0" collapsed="false">
      <c r="A851" s="64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</row>
    <row r="852" customFormat="false" ht="15.75" hidden="false" customHeight="true" outlineLevel="0" collapsed="false">
      <c r="A852" s="64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</row>
    <row r="853" customFormat="false" ht="15.75" hidden="false" customHeight="true" outlineLevel="0" collapsed="false">
      <c r="A853" s="64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</row>
    <row r="854" customFormat="false" ht="15.75" hidden="false" customHeight="true" outlineLevel="0" collapsed="false">
      <c r="A854" s="64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</row>
    <row r="855" customFormat="false" ht="15.75" hidden="false" customHeight="true" outlineLevel="0" collapsed="false">
      <c r="A855" s="64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</row>
    <row r="856" customFormat="false" ht="15.75" hidden="false" customHeight="true" outlineLevel="0" collapsed="false">
      <c r="A856" s="64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</row>
    <row r="857" customFormat="false" ht="15.75" hidden="false" customHeight="true" outlineLevel="0" collapsed="false">
      <c r="A857" s="64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</row>
    <row r="858" customFormat="false" ht="15.75" hidden="false" customHeight="true" outlineLevel="0" collapsed="false">
      <c r="A858" s="64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</row>
    <row r="859" customFormat="false" ht="15.75" hidden="false" customHeight="true" outlineLevel="0" collapsed="false">
      <c r="A859" s="64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</row>
    <row r="860" customFormat="false" ht="15.75" hidden="false" customHeight="true" outlineLevel="0" collapsed="false">
      <c r="A860" s="64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</row>
    <row r="861" customFormat="false" ht="15.75" hidden="false" customHeight="true" outlineLevel="0" collapsed="false">
      <c r="A861" s="64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</row>
    <row r="862" customFormat="false" ht="15.75" hidden="false" customHeight="true" outlineLevel="0" collapsed="false">
      <c r="A862" s="64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</row>
    <row r="863" customFormat="false" ht="15.75" hidden="false" customHeight="true" outlineLevel="0" collapsed="false">
      <c r="A863" s="64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</row>
    <row r="864" customFormat="false" ht="15.75" hidden="false" customHeight="true" outlineLevel="0" collapsed="false">
      <c r="A864" s="64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</row>
    <row r="865" customFormat="false" ht="15.75" hidden="false" customHeight="true" outlineLevel="0" collapsed="false">
      <c r="A865" s="64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</row>
    <row r="866" customFormat="false" ht="15.75" hidden="false" customHeight="true" outlineLevel="0" collapsed="false">
      <c r="A866" s="64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</row>
    <row r="867" customFormat="false" ht="15.75" hidden="false" customHeight="true" outlineLevel="0" collapsed="false">
      <c r="A867" s="64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</row>
    <row r="868" customFormat="false" ht="15.75" hidden="false" customHeight="true" outlineLevel="0" collapsed="false">
      <c r="A868" s="64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</row>
    <row r="869" customFormat="false" ht="15.75" hidden="false" customHeight="true" outlineLevel="0" collapsed="false">
      <c r="A869" s="64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</row>
    <row r="870" customFormat="false" ht="15.75" hidden="false" customHeight="true" outlineLevel="0" collapsed="false">
      <c r="A870" s="64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</row>
    <row r="871" customFormat="false" ht="15.75" hidden="false" customHeight="true" outlineLevel="0" collapsed="false">
      <c r="A871" s="64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</row>
    <row r="872" customFormat="false" ht="15.75" hidden="false" customHeight="true" outlineLevel="0" collapsed="false">
      <c r="A872" s="64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</row>
    <row r="873" customFormat="false" ht="15.75" hidden="false" customHeight="true" outlineLevel="0" collapsed="false">
      <c r="A873" s="64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</row>
    <row r="874" customFormat="false" ht="15.75" hidden="false" customHeight="true" outlineLevel="0" collapsed="false">
      <c r="A874" s="64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</row>
    <row r="875" customFormat="false" ht="15.75" hidden="false" customHeight="true" outlineLevel="0" collapsed="false">
      <c r="A875" s="64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</row>
    <row r="876" customFormat="false" ht="15.75" hidden="false" customHeight="true" outlineLevel="0" collapsed="false">
      <c r="A876" s="64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</row>
    <row r="877" customFormat="false" ht="15.75" hidden="false" customHeight="true" outlineLevel="0" collapsed="false">
      <c r="A877" s="64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</row>
    <row r="878" customFormat="false" ht="15.75" hidden="false" customHeight="true" outlineLevel="0" collapsed="false">
      <c r="A878" s="64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</row>
    <row r="879" customFormat="false" ht="15.75" hidden="false" customHeight="true" outlineLevel="0" collapsed="false">
      <c r="A879" s="64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</row>
    <row r="880" customFormat="false" ht="15.75" hidden="false" customHeight="true" outlineLevel="0" collapsed="false">
      <c r="A880" s="64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</row>
    <row r="881" customFormat="false" ht="15.75" hidden="false" customHeight="true" outlineLevel="0" collapsed="false">
      <c r="A881" s="64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</row>
    <row r="882" customFormat="false" ht="15.75" hidden="false" customHeight="true" outlineLevel="0" collapsed="false">
      <c r="A882" s="64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</row>
    <row r="883" customFormat="false" ht="15.75" hidden="false" customHeight="true" outlineLevel="0" collapsed="false">
      <c r="A883" s="64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</row>
    <row r="884" customFormat="false" ht="15.75" hidden="false" customHeight="true" outlineLevel="0" collapsed="false">
      <c r="A884" s="64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</row>
    <row r="885" customFormat="false" ht="15.75" hidden="false" customHeight="true" outlineLevel="0" collapsed="false">
      <c r="A885" s="64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</row>
    <row r="886" customFormat="false" ht="15.75" hidden="false" customHeight="true" outlineLevel="0" collapsed="false">
      <c r="A886" s="64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</row>
    <row r="887" customFormat="false" ht="15.75" hidden="false" customHeight="true" outlineLevel="0" collapsed="false">
      <c r="A887" s="64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</row>
    <row r="888" customFormat="false" ht="15.75" hidden="false" customHeight="true" outlineLevel="0" collapsed="false">
      <c r="A888" s="64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</row>
    <row r="889" customFormat="false" ht="15.75" hidden="false" customHeight="true" outlineLevel="0" collapsed="false">
      <c r="A889" s="64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</row>
    <row r="890" customFormat="false" ht="15.75" hidden="false" customHeight="true" outlineLevel="0" collapsed="false">
      <c r="A890" s="64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</row>
    <row r="891" customFormat="false" ht="15.75" hidden="false" customHeight="true" outlineLevel="0" collapsed="false">
      <c r="A891" s="64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</row>
    <row r="892" customFormat="false" ht="15.75" hidden="false" customHeight="true" outlineLevel="0" collapsed="false">
      <c r="A892" s="64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</row>
    <row r="893" customFormat="false" ht="15.75" hidden="false" customHeight="true" outlineLevel="0" collapsed="false">
      <c r="A893" s="64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</row>
    <row r="894" customFormat="false" ht="15.75" hidden="false" customHeight="true" outlineLevel="0" collapsed="false">
      <c r="A894" s="64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</row>
    <row r="895" customFormat="false" ht="15.75" hidden="false" customHeight="true" outlineLevel="0" collapsed="false">
      <c r="A895" s="64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</row>
    <row r="896" customFormat="false" ht="15.75" hidden="false" customHeight="true" outlineLevel="0" collapsed="false">
      <c r="A896" s="64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</row>
    <row r="897" customFormat="false" ht="15.75" hidden="false" customHeight="true" outlineLevel="0" collapsed="false">
      <c r="A897" s="64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</row>
    <row r="898" customFormat="false" ht="15.75" hidden="false" customHeight="true" outlineLevel="0" collapsed="false">
      <c r="A898" s="64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</row>
    <row r="899" customFormat="false" ht="15.75" hidden="false" customHeight="true" outlineLevel="0" collapsed="false">
      <c r="A899" s="64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</row>
    <row r="900" customFormat="false" ht="15.75" hidden="false" customHeight="true" outlineLevel="0" collapsed="false">
      <c r="A900" s="64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</row>
    <row r="901" customFormat="false" ht="15.75" hidden="false" customHeight="true" outlineLevel="0" collapsed="false">
      <c r="A901" s="64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</row>
    <row r="902" customFormat="false" ht="15.75" hidden="false" customHeight="true" outlineLevel="0" collapsed="false">
      <c r="A902" s="64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</row>
    <row r="903" customFormat="false" ht="15.75" hidden="false" customHeight="true" outlineLevel="0" collapsed="false">
      <c r="A903" s="64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</row>
    <row r="904" customFormat="false" ht="15.75" hidden="false" customHeight="true" outlineLevel="0" collapsed="false">
      <c r="A904" s="64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</row>
    <row r="905" customFormat="false" ht="15.75" hidden="false" customHeight="true" outlineLevel="0" collapsed="false">
      <c r="A905" s="64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</row>
    <row r="906" customFormat="false" ht="15.75" hidden="false" customHeight="true" outlineLevel="0" collapsed="false">
      <c r="A906" s="64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</row>
    <row r="907" customFormat="false" ht="15.75" hidden="false" customHeight="true" outlineLevel="0" collapsed="false">
      <c r="A907" s="64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</row>
    <row r="908" customFormat="false" ht="15.75" hidden="false" customHeight="true" outlineLevel="0" collapsed="false">
      <c r="A908" s="64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</row>
    <row r="909" customFormat="false" ht="15.75" hidden="false" customHeight="true" outlineLevel="0" collapsed="false">
      <c r="A909" s="64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</row>
    <row r="910" customFormat="false" ht="15.75" hidden="false" customHeight="true" outlineLevel="0" collapsed="false">
      <c r="A910" s="64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</row>
    <row r="911" customFormat="false" ht="15.75" hidden="false" customHeight="true" outlineLevel="0" collapsed="false">
      <c r="A911" s="64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</row>
    <row r="912" customFormat="false" ht="15.75" hidden="false" customHeight="true" outlineLevel="0" collapsed="false">
      <c r="A912" s="64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</row>
    <row r="913" customFormat="false" ht="15.75" hidden="false" customHeight="true" outlineLevel="0" collapsed="false">
      <c r="A913" s="64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</row>
    <row r="914" customFormat="false" ht="15.75" hidden="false" customHeight="true" outlineLevel="0" collapsed="false">
      <c r="A914" s="64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</row>
    <row r="915" customFormat="false" ht="15.75" hidden="false" customHeight="true" outlineLevel="0" collapsed="false">
      <c r="A915" s="64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</row>
    <row r="916" customFormat="false" ht="15.75" hidden="false" customHeight="true" outlineLevel="0" collapsed="false">
      <c r="A916" s="64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</row>
    <row r="917" customFormat="false" ht="15.75" hidden="false" customHeight="true" outlineLevel="0" collapsed="false">
      <c r="A917" s="64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</row>
  </sheetData>
  <mergeCells count="1">
    <mergeCell ref="B2:L2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9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12.57"/>
    <col collapsed="false" customWidth="true" hidden="false" outlineLevel="0" max="3" min="2" style="0" width="20.71"/>
    <col collapsed="false" customWidth="true" hidden="false" outlineLevel="0" max="4" min="4" style="0" width="19.15"/>
    <col collapsed="false" customWidth="true" hidden="false" outlineLevel="0" max="19" min="5" style="0" width="20.71"/>
    <col collapsed="false" customWidth="true" hidden="false" outlineLevel="0" max="20" min="20" style="0" width="21.86"/>
    <col collapsed="false" customWidth="true" hidden="false" outlineLevel="0" max="22" min="21" style="0" width="20.71"/>
    <col collapsed="false" customWidth="true" hidden="false" outlineLevel="0" max="23" min="23" style="0" width="21.57"/>
    <col collapsed="false" customWidth="true" hidden="false" outlineLevel="0" max="25" min="24" style="0" width="20.71"/>
    <col collapsed="false" customWidth="true" hidden="false" outlineLevel="0" max="31" min="26" style="0" width="8.71"/>
  </cols>
  <sheetData>
    <row r="1" customFormat="false" ht="15.75" hidden="false" customHeight="true" outlineLevel="0" collapsed="false">
      <c r="A1" s="657" t="s">
        <v>619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4"/>
      <c r="N1" s="64"/>
      <c r="O1" s="64"/>
      <c r="P1" s="64"/>
      <c r="Q1" s="64"/>
      <c r="R1" s="64"/>
      <c r="S1" s="64"/>
      <c r="T1" s="64"/>
      <c r="U1" s="64"/>
      <c r="V1" s="64"/>
    </row>
    <row r="2" customFormat="false" ht="15.75" hidden="false" customHeight="true" outlineLevel="0" collapsed="false">
      <c r="A2" s="658" t="s">
        <v>620</v>
      </c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4"/>
      <c r="N2" s="64"/>
      <c r="O2" s="64"/>
      <c r="P2" s="64"/>
      <c r="Q2" s="64"/>
      <c r="R2" s="64"/>
      <c r="S2" s="64"/>
      <c r="T2" s="64"/>
      <c r="U2" s="64"/>
      <c r="V2" s="64"/>
    </row>
    <row r="3" customFormat="false" ht="99" hidden="false" customHeight="true" outlineLevel="0" collapsed="false">
      <c r="A3" s="647"/>
      <c r="B3" s="659"/>
      <c r="C3" s="604"/>
      <c r="D3" s="604"/>
      <c r="E3" s="604"/>
      <c r="F3" s="604"/>
      <c r="G3" s="604"/>
      <c r="H3" s="604"/>
      <c r="I3" s="604"/>
      <c r="J3" s="604"/>
      <c r="K3" s="604"/>
      <c r="L3" s="604"/>
      <c r="W3" s="64"/>
      <c r="X3" s="64"/>
      <c r="Y3" s="64"/>
      <c r="Z3" s="64"/>
      <c r="AA3" s="64"/>
      <c r="AB3" s="64"/>
      <c r="AC3" s="64"/>
      <c r="AD3" s="64"/>
      <c r="AE3" s="64"/>
    </row>
    <row r="4" customFormat="false" ht="42.75" hidden="false" customHeight="true" outlineLevel="0" collapsed="false">
      <c r="A4" s="660" t="s">
        <v>621</v>
      </c>
      <c r="B4" s="661" t="s">
        <v>450</v>
      </c>
      <c r="C4" s="661" t="s">
        <v>451</v>
      </c>
      <c r="D4" s="661" t="s">
        <v>622</v>
      </c>
      <c r="E4" s="661" t="s">
        <v>453</v>
      </c>
      <c r="F4" s="661" t="s">
        <v>623</v>
      </c>
      <c r="G4" s="661" t="s">
        <v>624</v>
      </c>
      <c r="H4" s="661" t="s">
        <v>625</v>
      </c>
      <c r="I4" s="661" t="s">
        <v>626</v>
      </c>
      <c r="J4" s="661" t="s">
        <v>627</v>
      </c>
      <c r="K4" s="661" t="s">
        <v>628</v>
      </c>
      <c r="L4" s="661" t="s">
        <v>629</v>
      </c>
      <c r="W4" s="662"/>
      <c r="X4" s="662"/>
      <c r="Y4" s="662"/>
      <c r="Z4" s="662"/>
      <c r="AA4" s="662"/>
      <c r="AB4" s="662"/>
      <c r="AC4" s="662"/>
    </row>
    <row r="5" customFormat="false" ht="20.25" hidden="true" customHeight="true" outlineLevel="0" collapsed="false">
      <c r="A5" s="643" t="s">
        <v>630</v>
      </c>
      <c r="B5" s="598"/>
      <c r="C5" s="598"/>
      <c r="D5" s="598"/>
      <c r="E5" s="598"/>
      <c r="F5" s="598"/>
      <c r="G5" s="598"/>
      <c r="H5" s="598"/>
      <c r="I5" s="598"/>
      <c r="J5" s="598"/>
      <c r="K5" s="554" t="n">
        <v>1.9</v>
      </c>
      <c r="L5" s="554" t="n">
        <v>1.9</v>
      </c>
    </row>
    <row r="6" customFormat="false" ht="20.25" hidden="false" customHeight="true" outlineLevel="0" collapsed="false">
      <c r="A6" s="638"/>
      <c r="B6" s="663"/>
      <c r="M6" s="662"/>
      <c r="N6" s="662"/>
      <c r="O6" s="662"/>
      <c r="P6" s="662"/>
      <c r="Q6" s="662"/>
      <c r="R6" s="662"/>
      <c r="S6" s="662"/>
      <c r="T6" s="662"/>
      <c r="U6" s="662"/>
      <c r="V6" s="662"/>
    </row>
    <row r="7" customFormat="false" ht="99" hidden="false" customHeight="true" outlineLevel="0" collapsed="false">
      <c r="A7" s="664"/>
      <c r="B7" s="602"/>
      <c r="C7" s="602"/>
      <c r="D7" s="602"/>
      <c r="E7" s="602"/>
      <c r="F7" s="602"/>
      <c r="G7" s="602"/>
      <c r="H7" s="602"/>
      <c r="I7" s="602"/>
      <c r="J7" s="602"/>
      <c r="M7" s="662"/>
      <c r="N7" s="662"/>
      <c r="O7" s="662"/>
      <c r="P7" s="662"/>
      <c r="Q7" s="662"/>
      <c r="R7" s="662"/>
      <c r="S7" s="662"/>
      <c r="T7" s="662"/>
      <c r="U7" s="662"/>
      <c r="V7" s="662"/>
    </row>
    <row r="8" customFormat="false" ht="42.75" hidden="false" customHeight="true" outlineLevel="0" collapsed="false">
      <c r="A8" s="660" t="s">
        <v>621</v>
      </c>
      <c r="B8" s="661" t="s">
        <v>631</v>
      </c>
      <c r="C8" s="661" t="s">
        <v>632</v>
      </c>
      <c r="D8" s="661" t="s">
        <v>633</v>
      </c>
      <c r="E8" s="661" t="s">
        <v>634</v>
      </c>
      <c r="F8" s="661" t="s">
        <v>635</v>
      </c>
      <c r="G8" s="661" t="s">
        <v>636</v>
      </c>
      <c r="H8" s="661" t="s">
        <v>637</v>
      </c>
      <c r="I8" s="661" t="s">
        <v>638</v>
      </c>
      <c r="J8" s="661" t="s">
        <v>639</v>
      </c>
      <c r="M8" s="662"/>
      <c r="N8" s="662"/>
      <c r="O8" s="662"/>
      <c r="P8" s="662"/>
      <c r="Q8" s="662"/>
      <c r="R8" s="662"/>
      <c r="S8" s="662"/>
      <c r="T8" s="662"/>
      <c r="U8" s="662"/>
      <c r="V8" s="662"/>
    </row>
    <row r="9" customFormat="false" ht="20.25" hidden="true" customHeight="true" outlineLevel="0" collapsed="false">
      <c r="A9" s="638"/>
      <c r="B9" s="554" t="n">
        <v>1.9</v>
      </c>
      <c r="C9" s="554" t="n">
        <v>1.9</v>
      </c>
      <c r="D9" s="554" t="n">
        <v>1.9</v>
      </c>
      <c r="E9" s="554" t="n">
        <v>1.9</v>
      </c>
      <c r="F9" s="598" t="n">
        <v>2.01</v>
      </c>
      <c r="G9" s="554" t="n">
        <v>1.9</v>
      </c>
      <c r="H9" s="598" t="n">
        <v>2.01</v>
      </c>
      <c r="I9" s="554" t="n">
        <v>1.9</v>
      </c>
      <c r="J9" s="554" t="n">
        <v>2.72</v>
      </c>
      <c r="M9" s="662"/>
      <c r="N9" s="662"/>
      <c r="O9" s="662"/>
      <c r="P9" s="662"/>
      <c r="Q9" s="662"/>
      <c r="R9" s="662"/>
      <c r="S9" s="662"/>
      <c r="T9" s="662"/>
      <c r="U9" s="662"/>
      <c r="V9" s="662"/>
    </row>
    <row r="10" customFormat="false" ht="20.25" hidden="false" customHeight="true" outlineLevel="0" collapsed="false">
      <c r="A10" s="638"/>
      <c r="B10" s="663"/>
      <c r="M10" s="662"/>
      <c r="N10" s="662"/>
      <c r="O10" s="662"/>
      <c r="P10" s="662"/>
      <c r="Q10" s="662"/>
      <c r="R10" s="662"/>
      <c r="S10" s="662"/>
      <c r="T10" s="662"/>
      <c r="U10" s="662"/>
      <c r="V10" s="662"/>
    </row>
    <row r="11" customFormat="false" ht="20.25" hidden="false" customHeight="true" outlineLevel="0" collapsed="false">
      <c r="A11" s="665" t="s">
        <v>640</v>
      </c>
      <c r="B11" s="665"/>
      <c r="C11" s="665"/>
      <c r="D11" s="665"/>
      <c r="E11" s="665"/>
      <c r="K11" s="666"/>
      <c r="M11" s="662"/>
      <c r="N11" s="662"/>
      <c r="O11" s="662"/>
      <c r="P11" s="662"/>
      <c r="Q11" s="662"/>
      <c r="R11" s="662"/>
      <c r="S11" s="662"/>
      <c r="T11" s="662"/>
      <c r="U11" s="662"/>
      <c r="V11" s="662"/>
    </row>
    <row r="12" customFormat="false" ht="99" hidden="false" customHeight="true" outlineLevel="0" collapsed="false">
      <c r="A12" s="664"/>
      <c r="B12" s="566"/>
      <c r="C12" s="566"/>
      <c r="D12" s="566"/>
      <c r="E12" s="566"/>
      <c r="M12" s="662"/>
      <c r="N12" s="662"/>
      <c r="O12" s="662"/>
      <c r="P12" s="662"/>
      <c r="Q12" s="662"/>
      <c r="R12" s="662"/>
      <c r="S12" s="662"/>
      <c r="T12" s="662"/>
      <c r="U12" s="662"/>
      <c r="V12" s="662"/>
    </row>
    <row r="13" customFormat="false" ht="15.75" hidden="false" customHeight="true" outlineLevel="0" collapsed="false">
      <c r="A13" s="660" t="s">
        <v>621</v>
      </c>
      <c r="B13" s="661" t="s">
        <v>641</v>
      </c>
      <c r="C13" s="661" t="s">
        <v>642</v>
      </c>
      <c r="D13" s="661" t="s">
        <v>643</v>
      </c>
      <c r="E13" s="661" t="s">
        <v>644</v>
      </c>
    </row>
    <row r="14" customFormat="false" ht="15.75" hidden="true" customHeight="true" outlineLevel="0" collapsed="false">
      <c r="A14" s="667" t="s">
        <v>630</v>
      </c>
      <c r="B14" s="668"/>
      <c r="C14" s="668"/>
      <c r="D14" s="668"/>
      <c r="E14" s="668"/>
    </row>
    <row r="15" customFormat="false" ht="15.75" hidden="false" customHeight="true" outlineLevel="0" collapsed="false">
      <c r="A15" s="638"/>
      <c r="B15" s="662"/>
      <c r="C15" s="662"/>
      <c r="D15" s="662"/>
      <c r="E15" s="662"/>
    </row>
    <row r="16" customFormat="false" ht="18.75" hidden="false" customHeight="true" outlineLevel="0" collapsed="false">
      <c r="A16" s="669" t="s">
        <v>645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</row>
    <row r="17" customFormat="false" ht="99" hidden="false" customHeight="true" outlineLevel="0" collapsed="false">
      <c r="A17" s="664"/>
      <c r="B17" s="670"/>
      <c r="C17" s="670"/>
      <c r="D17" s="670"/>
      <c r="E17" s="670"/>
      <c r="F17" s="670"/>
      <c r="G17" s="670"/>
      <c r="H17" s="670"/>
      <c r="I17" s="670"/>
      <c r="J17" s="670"/>
      <c r="K17" s="670"/>
      <c r="L17" s="670"/>
      <c r="W17" s="671"/>
      <c r="X17" s="671"/>
      <c r="Y17" s="671"/>
      <c r="Z17" s="671"/>
      <c r="AA17" s="671"/>
      <c r="AB17" s="671"/>
      <c r="AC17" s="671"/>
      <c r="AD17" s="671"/>
      <c r="AE17" s="671"/>
    </row>
    <row r="18" customFormat="false" ht="15.75" hidden="false" customHeight="true" outlineLevel="0" collapsed="false">
      <c r="A18" s="660" t="s">
        <v>621</v>
      </c>
      <c r="B18" s="661" t="s">
        <v>646</v>
      </c>
      <c r="C18" s="661" t="s">
        <v>647</v>
      </c>
      <c r="D18" s="661" t="s">
        <v>648</v>
      </c>
      <c r="E18" s="661" t="s">
        <v>649</v>
      </c>
      <c r="F18" s="661" t="s">
        <v>650</v>
      </c>
      <c r="G18" s="661" t="s">
        <v>651</v>
      </c>
      <c r="H18" s="661" t="s">
        <v>652</v>
      </c>
      <c r="I18" s="661" t="s">
        <v>653</v>
      </c>
      <c r="J18" s="661" t="s">
        <v>654</v>
      </c>
      <c r="K18" s="661" t="s">
        <v>655</v>
      </c>
      <c r="L18" s="661" t="s">
        <v>656</v>
      </c>
      <c r="W18" s="324"/>
      <c r="X18" s="324"/>
      <c r="Y18" s="324"/>
      <c r="Z18" s="324"/>
      <c r="AA18" s="324"/>
      <c r="AB18" s="324"/>
      <c r="AC18" s="324"/>
      <c r="AD18" s="324"/>
      <c r="AE18" s="324"/>
    </row>
    <row r="19" customFormat="false" ht="15.75" hidden="true" customHeight="true" outlineLevel="0" collapsed="false">
      <c r="A19" s="667" t="s">
        <v>630</v>
      </c>
      <c r="B19" s="566"/>
      <c r="C19" s="566" t="n">
        <v>1.96</v>
      </c>
      <c r="D19" s="566" t="n">
        <v>1.9</v>
      </c>
      <c r="E19" s="566"/>
      <c r="F19" s="566" t="n">
        <v>1.9</v>
      </c>
      <c r="G19" s="566" t="n">
        <v>1.96</v>
      </c>
      <c r="H19" s="566" t="n">
        <v>1.96</v>
      </c>
      <c r="I19" s="566" t="n">
        <v>1.96</v>
      </c>
      <c r="J19" s="324"/>
      <c r="K19" s="566" t="n">
        <v>1.9</v>
      </c>
      <c r="L19" s="566" t="n">
        <v>1.96</v>
      </c>
      <c r="V19" s="324"/>
      <c r="W19" s="324"/>
      <c r="X19" s="324"/>
      <c r="Y19" s="324"/>
      <c r="Z19" s="324"/>
      <c r="AA19" s="324"/>
      <c r="AB19" s="324"/>
      <c r="AC19" s="324"/>
      <c r="AD19" s="324"/>
      <c r="AE19" s="324"/>
    </row>
    <row r="20" customFormat="false" ht="15.75" hidden="false" customHeight="true" outlineLevel="0" collapsed="false">
      <c r="A20" s="638"/>
    </row>
    <row r="21" customFormat="false" ht="99" hidden="false" customHeight="true" outlineLevel="0" collapsed="false">
      <c r="A21" s="664"/>
      <c r="B21" s="670"/>
      <c r="C21" s="670"/>
      <c r="D21" s="670"/>
      <c r="E21" s="670"/>
      <c r="F21" s="670"/>
      <c r="G21" s="670"/>
      <c r="H21" s="670"/>
      <c r="I21" s="670"/>
      <c r="J21" s="670"/>
    </row>
    <row r="22" customFormat="false" ht="15.75" hidden="false" customHeight="true" outlineLevel="0" collapsed="false">
      <c r="A22" s="660" t="s">
        <v>621</v>
      </c>
      <c r="B22" s="661" t="s">
        <v>657</v>
      </c>
      <c r="C22" s="661" t="s">
        <v>658</v>
      </c>
      <c r="D22" s="661" t="s">
        <v>659</v>
      </c>
      <c r="E22" s="661" t="s">
        <v>660</v>
      </c>
      <c r="F22" s="661" t="s">
        <v>661</v>
      </c>
      <c r="G22" s="661" t="s">
        <v>662</v>
      </c>
      <c r="H22" s="661" t="s">
        <v>663</v>
      </c>
      <c r="I22" s="661" t="s">
        <v>664</v>
      </c>
      <c r="J22" s="661" t="s">
        <v>665</v>
      </c>
    </row>
    <row r="23" customFormat="false" ht="15.75" hidden="true" customHeight="true" outlineLevel="0" collapsed="false">
      <c r="A23" s="638"/>
      <c r="B23" s="566" t="n">
        <v>1.96</v>
      </c>
      <c r="C23" s="566" t="n">
        <v>1.9</v>
      </c>
      <c r="D23" s="566" t="n">
        <v>1.96</v>
      </c>
      <c r="E23" s="566" t="n">
        <v>1.9</v>
      </c>
      <c r="F23" s="566" t="n">
        <v>1.9</v>
      </c>
      <c r="G23" s="566" t="n">
        <v>1.9</v>
      </c>
      <c r="H23" s="324"/>
      <c r="J23" s="566"/>
    </row>
    <row r="24" customFormat="false" ht="15.75" hidden="false" customHeight="true" outlineLevel="0" collapsed="false">
      <c r="A24" s="638"/>
    </row>
    <row r="25" customFormat="false" ht="15.75" hidden="false" customHeight="true" outlineLevel="0" collapsed="false">
      <c r="A25" s="638"/>
    </row>
    <row r="26" customFormat="false" ht="15.75" hidden="false" customHeight="true" outlineLevel="0" collapsed="false">
      <c r="A26" s="638"/>
    </row>
    <row r="27" customFormat="false" ht="15.75" hidden="false" customHeight="true" outlineLevel="0" collapsed="false">
      <c r="A27" s="638"/>
    </row>
    <row r="28" customFormat="false" ht="15.75" hidden="false" customHeight="true" outlineLevel="0" collapsed="false">
      <c r="A28" s="638"/>
    </row>
    <row r="29" customFormat="false" ht="15.75" hidden="false" customHeight="true" outlineLevel="0" collapsed="false">
      <c r="A29" s="638"/>
    </row>
    <row r="30" customFormat="false" ht="15.75" hidden="false" customHeight="true" outlineLevel="0" collapsed="false">
      <c r="A30" s="638"/>
    </row>
    <row r="31" customFormat="false" ht="15.75" hidden="false" customHeight="true" outlineLevel="0" collapsed="false">
      <c r="A31" s="638"/>
    </row>
    <row r="32" customFormat="false" ht="15.75" hidden="false" customHeight="true" outlineLevel="0" collapsed="false">
      <c r="A32" s="638"/>
    </row>
    <row r="33" customFormat="false" ht="15.75" hidden="false" customHeight="true" outlineLevel="0" collapsed="false">
      <c r="A33" s="638"/>
    </row>
    <row r="34" customFormat="false" ht="15.75" hidden="false" customHeight="true" outlineLevel="0" collapsed="false">
      <c r="A34" s="638"/>
    </row>
    <row r="35" customFormat="false" ht="15.75" hidden="false" customHeight="true" outlineLevel="0" collapsed="false">
      <c r="A35" s="638"/>
    </row>
    <row r="36" customFormat="false" ht="15.75" hidden="false" customHeight="true" outlineLevel="0" collapsed="false">
      <c r="A36" s="638"/>
    </row>
    <row r="37" customFormat="false" ht="15.75" hidden="false" customHeight="true" outlineLevel="0" collapsed="false">
      <c r="A37" s="638"/>
    </row>
    <row r="38" customFormat="false" ht="15.75" hidden="false" customHeight="true" outlineLevel="0" collapsed="false">
      <c r="A38" s="638"/>
    </row>
    <row r="39" customFormat="false" ht="15.75" hidden="false" customHeight="true" outlineLevel="0" collapsed="false">
      <c r="A39" s="638"/>
    </row>
    <row r="40" customFormat="false" ht="15.75" hidden="false" customHeight="true" outlineLevel="0" collapsed="false">
      <c r="A40" s="638"/>
    </row>
    <row r="41" customFormat="false" ht="15.75" hidden="false" customHeight="true" outlineLevel="0" collapsed="false">
      <c r="A41" s="638"/>
    </row>
    <row r="42" customFormat="false" ht="15.75" hidden="false" customHeight="true" outlineLevel="0" collapsed="false">
      <c r="A42" s="638"/>
    </row>
    <row r="43" customFormat="false" ht="15.75" hidden="false" customHeight="true" outlineLevel="0" collapsed="false">
      <c r="A43" s="638"/>
    </row>
    <row r="44" customFormat="false" ht="15.75" hidden="false" customHeight="true" outlineLevel="0" collapsed="false">
      <c r="A44" s="638"/>
    </row>
    <row r="45" customFormat="false" ht="15.75" hidden="false" customHeight="true" outlineLevel="0" collapsed="false">
      <c r="A45" s="638"/>
    </row>
    <row r="46" customFormat="false" ht="15.75" hidden="false" customHeight="true" outlineLevel="0" collapsed="false">
      <c r="A46" s="638"/>
    </row>
    <row r="47" customFormat="false" ht="15.75" hidden="false" customHeight="true" outlineLevel="0" collapsed="false">
      <c r="A47" s="638"/>
    </row>
    <row r="48" customFormat="false" ht="15.75" hidden="false" customHeight="true" outlineLevel="0" collapsed="false">
      <c r="A48" s="638"/>
    </row>
    <row r="49" customFormat="false" ht="15.75" hidden="false" customHeight="true" outlineLevel="0" collapsed="false">
      <c r="A49" s="638"/>
    </row>
    <row r="50" customFormat="false" ht="15.75" hidden="false" customHeight="true" outlineLevel="0" collapsed="false">
      <c r="A50" s="638"/>
    </row>
    <row r="51" customFormat="false" ht="15.75" hidden="false" customHeight="true" outlineLevel="0" collapsed="false">
      <c r="A51" s="638"/>
    </row>
    <row r="52" customFormat="false" ht="15.75" hidden="false" customHeight="true" outlineLevel="0" collapsed="false">
      <c r="A52" s="638"/>
    </row>
    <row r="53" customFormat="false" ht="15.75" hidden="false" customHeight="true" outlineLevel="0" collapsed="false">
      <c r="A53" s="638"/>
    </row>
    <row r="54" customFormat="false" ht="15.75" hidden="false" customHeight="true" outlineLevel="0" collapsed="false">
      <c r="A54" s="638"/>
    </row>
    <row r="55" customFormat="false" ht="15.75" hidden="false" customHeight="true" outlineLevel="0" collapsed="false">
      <c r="A55" s="638"/>
    </row>
    <row r="56" customFormat="false" ht="15.75" hidden="false" customHeight="true" outlineLevel="0" collapsed="false">
      <c r="A56" s="638"/>
    </row>
    <row r="57" customFormat="false" ht="15.75" hidden="false" customHeight="true" outlineLevel="0" collapsed="false">
      <c r="A57" s="638"/>
    </row>
    <row r="58" customFormat="false" ht="15.75" hidden="false" customHeight="true" outlineLevel="0" collapsed="false">
      <c r="A58" s="638"/>
    </row>
    <row r="59" customFormat="false" ht="15.75" hidden="false" customHeight="true" outlineLevel="0" collapsed="false">
      <c r="A59" s="638"/>
    </row>
    <row r="60" customFormat="false" ht="15.75" hidden="false" customHeight="true" outlineLevel="0" collapsed="false">
      <c r="A60" s="638"/>
    </row>
    <row r="61" customFormat="false" ht="15.75" hidden="false" customHeight="true" outlineLevel="0" collapsed="false">
      <c r="A61" s="638"/>
    </row>
    <row r="62" customFormat="false" ht="15.75" hidden="false" customHeight="true" outlineLevel="0" collapsed="false">
      <c r="A62" s="638"/>
    </row>
    <row r="63" customFormat="false" ht="15.75" hidden="false" customHeight="true" outlineLevel="0" collapsed="false">
      <c r="A63" s="638"/>
    </row>
    <row r="64" customFormat="false" ht="15.75" hidden="false" customHeight="true" outlineLevel="0" collapsed="false">
      <c r="A64" s="638"/>
    </row>
    <row r="65" customFormat="false" ht="15.75" hidden="false" customHeight="true" outlineLevel="0" collapsed="false">
      <c r="A65" s="638"/>
    </row>
    <row r="66" customFormat="false" ht="15.75" hidden="false" customHeight="true" outlineLevel="0" collapsed="false">
      <c r="A66" s="638"/>
    </row>
    <row r="67" customFormat="false" ht="15.75" hidden="false" customHeight="true" outlineLevel="0" collapsed="false">
      <c r="A67" s="638"/>
    </row>
    <row r="68" customFormat="false" ht="15.75" hidden="false" customHeight="true" outlineLevel="0" collapsed="false">
      <c r="A68" s="638"/>
    </row>
    <row r="69" customFormat="false" ht="15.75" hidden="false" customHeight="true" outlineLevel="0" collapsed="false">
      <c r="A69" s="638"/>
    </row>
    <row r="70" customFormat="false" ht="15.75" hidden="false" customHeight="true" outlineLevel="0" collapsed="false">
      <c r="A70" s="638"/>
    </row>
    <row r="71" customFormat="false" ht="15.75" hidden="false" customHeight="true" outlineLevel="0" collapsed="false">
      <c r="A71" s="638"/>
    </row>
    <row r="72" customFormat="false" ht="15.75" hidden="false" customHeight="true" outlineLevel="0" collapsed="false">
      <c r="A72" s="638"/>
    </row>
    <row r="73" customFormat="false" ht="15.75" hidden="false" customHeight="true" outlineLevel="0" collapsed="false">
      <c r="A73" s="638"/>
    </row>
    <row r="74" customFormat="false" ht="15.75" hidden="false" customHeight="true" outlineLevel="0" collapsed="false">
      <c r="A74" s="638"/>
    </row>
    <row r="75" customFormat="false" ht="15.75" hidden="false" customHeight="true" outlineLevel="0" collapsed="false">
      <c r="A75" s="638"/>
    </row>
    <row r="76" customFormat="false" ht="15.75" hidden="false" customHeight="true" outlineLevel="0" collapsed="false">
      <c r="A76" s="638"/>
    </row>
    <row r="77" customFormat="false" ht="15.75" hidden="false" customHeight="true" outlineLevel="0" collapsed="false">
      <c r="A77" s="638"/>
    </row>
    <row r="78" customFormat="false" ht="15.75" hidden="false" customHeight="true" outlineLevel="0" collapsed="false">
      <c r="A78" s="638"/>
    </row>
    <row r="79" customFormat="false" ht="15.75" hidden="false" customHeight="true" outlineLevel="0" collapsed="false">
      <c r="A79" s="638"/>
    </row>
    <row r="80" customFormat="false" ht="15.75" hidden="false" customHeight="true" outlineLevel="0" collapsed="false">
      <c r="A80" s="638"/>
    </row>
    <row r="81" customFormat="false" ht="15.75" hidden="false" customHeight="true" outlineLevel="0" collapsed="false">
      <c r="A81" s="638"/>
    </row>
    <row r="82" customFormat="false" ht="15.75" hidden="false" customHeight="true" outlineLevel="0" collapsed="false">
      <c r="A82" s="638"/>
    </row>
    <row r="83" customFormat="false" ht="15.75" hidden="false" customHeight="true" outlineLevel="0" collapsed="false">
      <c r="A83" s="638"/>
    </row>
    <row r="84" customFormat="false" ht="15.75" hidden="false" customHeight="true" outlineLevel="0" collapsed="false">
      <c r="A84" s="638"/>
    </row>
    <row r="85" customFormat="false" ht="15.75" hidden="false" customHeight="true" outlineLevel="0" collapsed="false">
      <c r="A85" s="638"/>
    </row>
    <row r="86" customFormat="false" ht="15.75" hidden="false" customHeight="true" outlineLevel="0" collapsed="false">
      <c r="A86" s="638"/>
    </row>
    <row r="87" customFormat="false" ht="15.75" hidden="false" customHeight="true" outlineLevel="0" collapsed="false">
      <c r="A87" s="638"/>
    </row>
    <row r="88" customFormat="false" ht="15.75" hidden="false" customHeight="true" outlineLevel="0" collapsed="false">
      <c r="A88" s="638"/>
    </row>
    <row r="89" customFormat="false" ht="15.75" hidden="false" customHeight="true" outlineLevel="0" collapsed="false">
      <c r="A89" s="638"/>
    </row>
    <row r="90" customFormat="false" ht="15.75" hidden="false" customHeight="true" outlineLevel="0" collapsed="false">
      <c r="A90" s="638"/>
    </row>
    <row r="91" customFormat="false" ht="15.75" hidden="false" customHeight="true" outlineLevel="0" collapsed="false">
      <c r="A91" s="638"/>
    </row>
    <row r="92" customFormat="false" ht="15.75" hidden="false" customHeight="true" outlineLevel="0" collapsed="false">
      <c r="A92" s="638"/>
    </row>
    <row r="93" customFormat="false" ht="15.75" hidden="false" customHeight="true" outlineLevel="0" collapsed="false">
      <c r="A93" s="638"/>
    </row>
    <row r="94" customFormat="false" ht="15.75" hidden="false" customHeight="true" outlineLevel="0" collapsed="false">
      <c r="A94" s="638"/>
    </row>
    <row r="95" customFormat="false" ht="15.75" hidden="false" customHeight="true" outlineLevel="0" collapsed="false">
      <c r="A95" s="638"/>
    </row>
    <row r="96" customFormat="false" ht="15.75" hidden="false" customHeight="true" outlineLevel="0" collapsed="false">
      <c r="A96" s="638"/>
    </row>
    <row r="97" customFormat="false" ht="15.75" hidden="false" customHeight="true" outlineLevel="0" collapsed="false">
      <c r="A97" s="638"/>
    </row>
    <row r="98" customFormat="false" ht="15.75" hidden="false" customHeight="true" outlineLevel="0" collapsed="false">
      <c r="A98" s="638"/>
    </row>
    <row r="99" customFormat="false" ht="15.75" hidden="false" customHeight="true" outlineLevel="0" collapsed="false">
      <c r="A99" s="638"/>
    </row>
    <row r="100" customFormat="false" ht="15.75" hidden="false" customHeight="true" outlineLevel="0" collapsed="false">
      <c r="A100" s="638"/>
    </row>
    <row r="101" customFormat="false" ht="15.75" hidden="false" customHeight="true" outlineLevel="0" collapsed="false">
      <c r="A101" s="638"/>
    </row>
    <row r="102" customFormat="false" ht="15.75" hidden="false" customHeight="true" outlineLevel="0" collapsed="false">
      <c r="A102" s="638"/>
    </row>
    <row r="103" customFormat="false" ht="15.75" hidden="false" customHeight="true" outlineLevel="0" collapsed="false">
      <c r="A103" s="638"/>
    </row>
    <row r="104" customFormat="false" ht="15.75" hidden="false" customHeight="true" outlineLevel="0" collapsed="false">
      <c r="A104" s="638"/>
    </row>
    <row r="105" customFormat="false" ht="15.75" hidden="false" customHeight="true" outlineLevel="0" collapsed="false">
      <c r="A105" s="638"/>
    </row>
    <row r="106" customFormat="false" ht="15.75" hidden="false" customHeight="true" outlineLevel="0" collapsed="false">
      <c r="A106" s="638"/>
    </row>
    <row r="107" customFormat="false" ht="15.75" hidden="false" customHeight="true" outlineLevel="0" collapsed="false">
      <c r="A107" s="638"/>
    </row>
    <row r="108" customFormat="false" ht="15.75" hidden="false" customHeight="true" outlineLevel="0" collapsed="false">
      <c r="A108" s="638"/>
    </row>
    <row r="109" customFormat="false" ht="15.75" hidden="false" customHeight="true" outlineLevel="0" collapsed="false">
      <c r="A109" s="638"/>
    </row>
    <row r="110" customFormat="false" ht="15.75" hidden="false" customHeight="true" outlineLevel="0" collapsed="false">
      <c r="A110" s="638"/>
    </row>
    <row r="111" customFormat="false" ht="15.75" hidden="false" customHeight="true" outlineLevel="0" collapsed="false">
      <c r="A111" s="638"/>
    </row>
    <row r="112" customFormat="false" ht="15.75" hidden="false" customHeight="true" outlineLevel="0" collapsed="false">
      <c r="A112" s="638"/>
    </row>
    <row r="113" customFormat="false" ht="15.75" hidden="false" customHeight="true" outlineLevel="0" collapsed="false">
      <c r="A113" s="638"/>
    </row>
    <row r="114" customFormat="false" ht="15.75" hidden="false" customHeight="true" outlineLevel="0" collapsed="false">
      <c r="A114" s="638"/>
    </row>
    <row r="115" customFormat="false" ht="15.75" hidden="false" customHeight="true" outlineLevel="0" collapsed="false">
      <c r="A115" s="638"/>
    </row>
    <row r="116" customFormat="false" ht="15.75" hidden="false" customHeight="true" outlineLevel="0" collapsed="false">
      <c r="A116" s="638"/>
    </row>
    <row r="117" customFormat="false" ht="15.75" hidden="false" customHeight="true" outlineLevel="0" collapsed="false">
      <c r="A117" s="638"/>
    </row>
    <row r="118" customFormat="false" ht="15.75" hidden="false" customHeight="true" outlineLevel="0" collapsed="false">
      <c r="A118" s="638"/>
    </row>
    <row r="119" customFormat="false" ht="15.75" hidden="false" customHeight="true" outlineLevel="0" collapsed="false">
      <c r="A119" s="638"/>
    </row>
    <row r="120" customFormat="false" ht="15.75" hidden="false" customHeight="true" outlineLevel="0" collapsed="false">
      <c r="A120" s="638"/>
    </row>
    <row r="121" customFormat="false" ht="15.75" hidden="false" customHeight="true" outlineLevel="0" collapsed="false">
      <c r="A121" s="638"/>
    </row>
    <row r="122" customFormat="false" ht="15.75" hidden="false" customHeight="true" outlineLevel="0" collapsed="false">
      <c r="A122" s="638"/>
    </row>
    <row r="123" customFormat="false" ht="15.75" hidden="false" customHeight="true" outlineLevel="0" collapsed="false">
      <c r="A123" s="638"/>
    </row>
    <row r="124" customFormat="false" ht="15.75" hidden="false" customHeight="true" outlineLevel="0" collapsed="false">
      <c r="A124" s="638"/>
    </row>
    <row r="125" customFormat="false" ht="15.75" hidden="false" customHeight="true" outlineLevel="0" collapsed="false">
      <c r="A125" s="638"/>
    </row>
    <row r="126" customFormat="false" ht="15.75" hidden="false" customHeight="true" outlineLevel="0" collapsed="false">
      <c r="A126" s="638"/>
    </row>
    <row r="127" customFormat="false" ht="15.75" hidden="false" customHeight="true" outlineLevel="0" collapsed="false">
      <c r="A127" s="638"/>
    </row>
    <row r="128" customFormat="false" ht="15.75" hidden="false" customHeight="true" outlineLevel="0" collapsed="false">
      <c r="A128" s="638"/>
    </row>
    <row r="129" customFormat="false" ht="15.75" hidden="false" customHeight="true" outlineLevel="0" collapsed="false">
      <c r="A129" s="638"/>
    </row>
    <row r="130" customFormat="false" ht="15.75" hidden="false" customHeight="true" outlineLevel="0" collapsed="false">
      <c r="A130" s="638"/>
    </row>
    <row r="131" customFormat="false" ht="15.75" hidden="false" customHeight="true" outlineLevel="0" collapsed="false">
      <c r="A131" s="638"/>
    </row>
    <row r="132" customFormat="false" ht="15.75" hidden="false" customHeight="true" outlineLevel="0" collapsed="false">
      <c r="A132" s="638"/>
    </row>
    <row r="133" customFormat="false" ht="15.75" hidden="false" customHeight="true" outlineLevel="0" collapsed="false">
      <c r="A133" s="638"/>
    </row>
    <row r="134" customFormat="false" ht="15.75" hidden="false" customHeight="true" outlineLevel="0" collapsed="false">
      <c r="A134" s="638"/>
    </row>
    <row r="135" customFormat="false" ht="15.75" hidden="false" customHeight="true" outlineLevel="0" collapsed="false">
      <c r="A135" s="638"/>
    </row>
    <row r="136" customFormat="false" ht="15.75" hidden="false" customHeight="true" outlineLevel="0" collapsed="false">
      <c r="A136" s="638"/>
    </row>
    <row r="137" customFormat="false" ht="15.75" hidden="false" customHeight="true" outlineLevel="0" collapsed="false">
      <c r="A137" s="638"/>
    </row>
    <row r="138" customFormat="false" ht="15.75" hidden="false" customHeight="true" outlineLevel="0" collapsed="false">
      <c r="A138" s="638"/>
    </row>
    <row r="139" customFormat="false" ht="15.75" hidden="false" customHeight="true" outlineLevel="0" collapsed="false">
      <c r="A139" s="638"/>
    </row>
    <row r="140" customFormat="false" ht="15.75" hidden="false" customHeight="true" outlineLevel="0" collapsed="false">
      <c r="A140" s="638"/>
    </row>
    <row r="141" customFormat="false" ht="15.75" hidden="false" customHeight="true" outlineLevel="0" collapsed="false">
      <c r="A141" s="638"/>
    </row>
    <row r="142" customFormat="false" ht="15.75" hidden="false" customHeight="true" outlineLevel="0" collapsed="false">
      <c r="A142" s="638"/>
    </row>
    <row r="143" customFormat="false" ht="15.75" hidden="false" customHeight="true" outlineLevel="0" collapsed="false">
      <c r="A143" s="638"/>
    </row>
    <row r="144" customFormat="false" ht="15.75" hidden="false" customHeight="true" outlineLevel="0" collapsed="false">
      <c r="A144" s="638"/>
    </row>
    <row r="145" customFormat="false" ht="15.75" hidden="false" customHeight="true" outlineLevel="0" collapsed="false">
      <c r="A145" s="638"/>
    </row>
    <row r="146" customFormat="false" ht="15.75" hidden="false" customHeight="true" outlineLevel="0" collapsed="false">
      <c r="A146" s="638"/>
    </row>
    <row r="147" customFormat="false" ht="15.75" hidden="false" customHeight="true" outlineLevel="0" collapsed="false">
      <c r="A147" s="638"/>
    </row>
    <row r="148" customFormat="false" ht="15.75" hidden="false" customHeight="true" outlineLevel="0" collapsed="false">
      <c r="A148" s="638"/>
    </row>
    <row r="149" customFormat="false" ht="15.75" hidden="false" customHeight="true" outlineLevel="0" collapsed="false">
      <c r="A149" s="638"/>
    </row>
    <row r="150" customFormat="false" ht="15.75" hidden="false" customHeight="true" outlineLevel="0" collapsed="false">
      <c r="A150" s="638"/>
    </row>
    <row r="151" customFormat="false" ht="15.75" hidden="false" customHeight="true" outlineLevel="0" collapsed="false">
      <c r="A151" s="638"/>
    </row>
    <row r="152" customFormat="false" ht="15.75" hidden="false" customHeight="true" outlineLevel="0" collapsed="false">
      <c r="A152" s="638"/>
    </row>
    <row r="153" customFormat="false" ht="15.75" hidden="false" customHeight="true" outlineLevel="0" collapsed="false">
      <c r="A153" s="638"/>
    </row>
    <row r="154" customFormat="false" ht="15.75" hidden="false" customHeight="true" outlineLevel="0" collapsed="false">
      <c r="A154" s="638"/>
    </row>
    <row r="155" customFormat="false" ht="15.75" hidden="false" customHeight="true" outlineLevel="0" collapsed="false">
      <c r="A155" s="638"/>
    </row>
    <row r="156" customFormat="false" ht="15.75" hidden="false" customHeight="true" outlineLevel="0" collapsed="false">
      <c r="A156" s="638"/>
    </row>
    <row r="157" customFormat="false" ht="15.75" hidden="false" customHeight="true" outlineLevel="0" collapsed="false">
      <c r="A157" s="638"/>
    </row>
    <row r="158" customFormat="false" ht="15.75" hidden="false" customHeight="true" outlineLevel="0" collapsed="false">
      <c r="A158" s="638"/>
    </row>
    <row r="159" customFormat="false" ht="15.75" hidden="false" customHeight="true" outlineLevel="0" collapsed="false">
      <c r="A159" s="638"/>
    </row>
    <row r="160" customFormat="false" ht="15.75" hidden="false" customHeight="true" outlineLevel="0" collapsed="false">
      <c r="A160" s="638"/>
    </row>
    <row r="161" customFormat="false" ht="15.75" hidden="false" customHeight="true" outlineLevel="0" collapsed="false">
      <c r="A161" s="638"/>
    </row>
    <row r="162" customFormat="false" ht="15.75" hidden="false" customHeight="true" outlineLevel="0" collapsed="false">
      <c r="A162" s="638"/>
    </row>
    <row r="163" customFormat="false" ht="15.75" hidden="false" customHeight="true" outlineLevel="0" collapsed="false">
      <c r="A163" s="638"/>
    </row>
    <row r="164" customFormat="false" ht="15.75" hidden="false" customHeight="true" outlineLevel="0" collapsed="false">
      <c r="A164" s="638"/>
    </row>
    <row r="165" customFormat="false" ht="15.75" hidden="false" customHeight="true" outlineLevel="0" collapsed="false">
      <c r="A165" s="638"/>
    </row>
    <row r="166" customFormat="false" ht="15.75" hidden="false" customHeight="true" outlineLevel="0" collapsed="false">
      <c r="A166" s="638"/>
    </row>
    <row r="167" customFormat="false" ht="15.75" hidden="false" customHeight="true" outlineLevel="0" collapsed="false">
      <c r="A167" s="638"/>
    </row>
    <row r="168" customFormat="false" ht="15.75" hidden="false" customHeight="true" outlineLevel="0" collapsed="false">
      <c r="A168" s="638"/>
    </row>
    <row r="169" customFormat="false" ht="15.75" hidden="false" customHeight="true" outlineLevel="0" collapsed="false">
      <c r="A169" s="638"/>
    </row>
    <row r="170" customFormat="false" ht="15.75" hidden="false" customHeight="true" outlineLevel="0" collapsed="false">
      <c r="A170" s="638"/>
    </row>
    <row r="171" customFormat="false" ht="15.75" hidden="false" customHeight="true" outlineLevel="0" collapsed="false">
      <c r="A171" s="638"/>
    </row>
    <row r="172" customFormat="false" ht="15.75" hidden="false" customHeight="true" outlineLevel="0" collapsed="false">
      <c r="A172" s="638"/>
    </row>
    <row r="173" customFormat="false" ht="15.75" hidden="false" customHeight="true" outlineLevel="0" collapsed="false">
      <c r="A173" s="638"/>
    </row>
    <row r="174" customFormat="false" ht="15.75" hidden="false" customHeight="true" outlineLevel="0" collapsed="false">
      <c r="A174" s="638"/>
    </row>
    <row r="175" customFormat="false" ht="15.75" hidden="false" customHeight="true" outlineLevel="0" collapsed="false">
      <c r="A175" s="638"/>
    </row>
    <row r="176" customFormat="false" ht="15.75" hidden="false" customHeight="true" outlineLevel="0" collapsed="false">
      <c r="A176" s="638"/>
    </row>
    <row r="177" customFormat="false" ht="15.75" hidden="false" customHeight="true" outlineLevel="0" collapsed="false">
      <c r="A177" s="638"/>
    </row>
    <row r="178" customFormat="false" ht="15.75" hidden="false" customHeight="true" outlineLevel="0" collapsed="false">
      <c r="A178" s="638"/>
    </row>
    <row r="179" customFormat="false" ht="15.75" hidden="false" customHeight="true" outlineLevel="0" collapsed="false">
      <c r="A179" s="638"/>
    </row>
    <row r="180" customFormat="false" ht="15.75" hidden="false" customHeight="true" outlineLevel="0" collapsed="false">
      <c r="A180" s="638"/>
    </row>
    <row r="181" customFormat="false" ht="15.75" hidden="false" customHeight="true" outlineLevel="0" collapsed="false">
      <c r="A181" s="638"/>
    </row>
    <row r="182" customFormat="false" ht="15.75" hidden="false" customHeight="true" outlineLevel="0" collapsed="false">
      <c r="A182" s="638"/>
    </row>
    <row r="183" customFormat="false" ht="15.75" hidden="false" customHeight="true" outlineLevel="0" collapsed="false">
      <c r="A183" s="638"/>
    </row>
    <row r="184" customFormat="false" ht="15.75" hidden="false" customHeight="true" outlineLevel="0" collapsed="false">
      <c r="A184" s="638"/>
    </row>
    <row r="185" customFormat="false" ht="15.75" hidden="false" customHeight="true" outlineLevel="0" collapsed="false">
      <c r="A185" s="638"/>
    </row>
    <row r="186" customFormat="false" ht="15.75" hidden="false" customHeight="true" outlineLevel="0" collapsed="false">
      <c r="A186" s="638"/>
    </row>
    <row r="187" customFormat="false" ht="15.75" hidden="false" customHeight="true" outlineLevel="0" collapsed="false">
      <c r="A187" s="638"/>
    </row>
    <row r="188" customFormat="false" ht="15.75" hidden="false" customHeight="true" outlineLevel="0" collapsed="false">
      <c r="A188" s="638"/>
    </row>
    <row r="189" customFormat="false" ht="15.75" hidden="false" customHeight="true" outlineLevel="0" collapsed="false">
      <c r="A189" s="638"/>
    </row>
    <row r="190" customFormat="false" ht="15.75" hidden="false" customHeight="true" outlineLevel="0" collapsed="false">
      <c r="A190" s="638"/>
    </row>
    <row r="191" customFormat="false" ht="15.75" hidden="false" customHeight="true" outlineLevel="0" collapsed="false">
      <c r="A191" s="638"/>
    </row>
    <row r="192" customFormat="false" ht="15.75" hidden="false" customHeight="true" outlineLevel="0" collapsed="false">
      <c r="A192" s="638"/>
    </row>
    <row r="193" customFormat="false" ht="15.75" hidden="false" customHeight="true" outlineLevel="0" collapsed="false">
      <c r="A193" s="638"/>
    </row>
    <row r="194" customFormat="false" ht="15.75" hidden="false" customHeight="true" outlineLevel="0" collapsed="false">
      <c r="A194" s="638"/>
    </row>
    <row r="195" customFormat="false" ht="15.75" hidden="false" customHeight="true" outlineLevel="0" collapsed="false">
      <c r="A195" s="638"/>
    </row>
    <row r="196" customFormat="false" ht="15.75" hidden="false" customHeight="true" outlineLevel="0" collapsed="false">
      <c r="A196" s="638"/>
    </row>
    <row r="197" customFormat="false" ht="15.75" hidden="false" customHeight="true" outlineLevel="0" collapsed="false">
      <c r="A197" s="638"/>
    </row>
    <row r="198" customFormat="false" ht="15.75" hidden="false" customHeight="true" outlineLevel="0" collapsed="false">
      <c r="A198" s="638"/>
    </row>
    <row r="199" customFormat="false" ht="15.75" hidden="false" customHeight="true" outlineLevel="0" collapsed="false">
      <c r="A199" s="638"/>
    </row>
    <row r="200" customFormat="false" ht="15.75" hidden="false" customHeight="true" outlineLevel="0" collapsed="false">
      <c r="A200" s="638"/>
    </row>
    <row r="201" customFormat="false" ht="15.75" hidden="false" customHeight="true" outlineLevel="0" collapsed="false">
      <c r="A201" s="638"/>
    </row>
    <row r="202" customFormat="false" ht="15.75" hidden="false" customHeight="true" outlineLevel="0" collapsed="false">
      <c r="A202" s="638"/>
    </row>
    <row r="203" customFormat="false" ht="15.75" hidden="false" customHeight="true" outlineLevel="0" collapsed="false">
      <c r="A203" s="638"/>
    </row>
    <row r="204" customFormat="false" ht="15.75" hidden="false" customHeight="true" outlineLevel="0" collapsed="false">
      <c r="A204" s="638"/>
    </row>
    <row r="205" customFormat="false" ht="15.75" hidden="false" customHeight="true" outlineLevel="0" collapsed="false">
      <c r="A205" s="638"/>
    </row>
    <row r="206" customFormat="false" ht="15.75" hidden="false" customHeight="true" outlineLevel="0" collapsed="false">
      <c r="A206" s="638"/>
    </row>
    <row r="207" customFormat="false" ht="15.75" hidden="false" customHeight="true" outlineLevel="0" collapsed="false">
      <c r="A207" s="638"/>
    </row>
    <row r="208" customFormat="false" ht="15.75" hidden="false" customHeight="true" outlineLevel="0" collapsed="false">
      <c r="A208" s="638"/>
    </row>
    <row r="209" customFormat="false" ht="15.75" hidden="false" customHeight="true" outlineLevel="0" collapsed="false">
      <c r="A209" s="638"/>
    </row>
    <row r="210" customFormat="false" ht="15.75" hidden="false" customHeight="true" outlineLevel="0" collapsed="false">
      <c r="A210" s="638"/>
    </row>
    <row r="211" customFormat="false" ht="15.75" hidden="false" customHeight="true" outlineLevel="0" collapsed="false">
      <c r="A211" s="638"/>
    </row>
    <row r="212" customFormat="false" ht="15.75" hidden="false" customHeight="true" outlineLevel="0" collapsed="false">
      <c r="A212" s="638"/>
    </row>
    <row r="213" customFormat="false" ht="15.75" hidden="false" customHeight="true" outlineLevel="0" collapsed="false">
      <c r="A213" s="638"/>
    </row>
    <row r="214" customFormat="false" ht="15.75" hidden="false" customHeight="true" outlineLevel="0" collapsed="false">
      <c r="A214" s="638"/>
    </row>
    <row r="215" customFormat="false" ht="15.75" hidden="false" customHeight="true" outlineLevel="0" collapsed="false">
      <c r="A215" s="638"/>
    </row>
    <row r="216" customFormat="false" ht="15.75" hidden="false" customHeight="true" outlineLevel="0" collapsed="false">
      <c r="A216" s="638"/>
    </row>
    <row r="217" customFormat="false" ht="15.75" hidden="false" customHeight="true" outlineLevel="0" collapsed="false">
      <c r="A217" s="638"/>
    </row>
    <row r="218" customFormat="false" ht="15.75" hidden="false" customHeight="true" outlineLevel="0" collapsed="false">
      <c r="A218" s="638"/>
    </row>
    <row r="219" customFormat="false" ht="15.75" hidden="false" customHeight="true" outlineLevel="0" collapsed="false">
      <c r="A219" s="638"/>
    </row>
    <row r="220" customFormat="false" ht="15.75" hidden="false" customHeight="true" outlineLevel="0" collapsed="false">
      <c r="A220" s="638"/>
    </row>
    <row r="221" customFormat="false" ht="15.75" hidden="false" customHeight="true" outlineLevel="0" collapsed="false">
      <c r="A221" s="638"/>
    </row>
    <row r="222" customFormat="false" ht="15.75" hidden="false" customHeight="true" outlineLevel="0" collapsed="false">
      <c r="A222" s="638"/>
    </row>
    <row r="223" customFormat="false" ht="15.75" hidden="false" customHeight="true" outlineLevel="0" collapsed="false">
      <c r="A223" s="638"/>
    </row>
    <row r="224" customFormat="false" ht="15.75" hidden="false" customHeight="true" outlineLevel="0" collapsed="false">
      <c r="A224" s="638"/>
    </row>
    <row r="225" customFormat="false" ht="15.75" hidden="false" customHeight="true" outlineLevel="0" collapsed="false">
      <c r="A225" s="638"/>
    </row>
    <row r="226" customFormat="false" ht="15.75" hidden="false" customHeight="true" outlineLevel="0" collapsed="false">
      <c r="A226" s="638"/>
    </row>
    <row r="227" customFormat="false" ht="15.75" hidden="false" customHeight="true" outlineLevel="0" collapsed="false">
      <c r="A227" s="638"/>
    </row>
    <row r="228" customFormat="false" ht="15.75" hidden="false" customHeight="true" outlineLevel="0" collapsed="false">
      <c r="A228" s="638"/>
    </row>
    <row r="229" customFormat="false" ht="15.75" hidden="false" customHeight="true" outlineLevel="0" collapsed="false">
      <c r="A229" s="638"/>
    </row>
    <row r="230" customFormat="false" ht="15.75" hidden="false" customHeight="true" outlineLevel="0" collapsed="false">
      <c r="A230" s="638"/>
    </row>
    <row r="231" customFormat="false" ht="15.75" hidden="false" customHeight="true" outlineLevel="0" collapsed="false">
      <c r="A231" s="638"/>
    </row>
    <row r="232" customFormat="false" ht="15.75" hidden="false" customHeight="true" outlineLevel="0" collapsed="false">
      <c r="A232" s="638"/>
    </row>
    <row r="233" customFormat="false" ht="15.75" hidden="false" customHeight="true" outlineLevel="0" collapsed="false">
      <c r="A233" s="638"/>
    </row>
    <row r="234" customFormat="false" ht="15.75" hidden="false" customHeight="true" outlineLevel="0" collapsed="false">
      <c r="A234" s="638"/>
    </row>
    <row r="235" customFormat="false" ht="15.75" hidden="false" customHeight="true" outlineLevel="0" collapsed="false">
      <c r="A235" s="638"/>
    </row>
    <row r="236" customFormat="false" ht="15.75" hidden="false" customHeight="true" outlineLevel="0" collapsed="false">
      <c r="A236" s="638"/>
    </row>
    <row r="237" customFormat="false" ht="15.75" hidden="false" customHeight="true" outlineLevel="0" collapsed="false">
      <c r="A237" s="638"/>
    </row>
    <row r="238" customFormat="false" ht="15.75" hidden="false" customHeight="true" outlineLevel="0" collapsed="false">
      <c r="A238" s="638"/>
    </row>
    <row r="239" customFormat="false" ht="15.75" hidden="false" customHeight="true" outlineLevel="0" collapsed="false">
      <c r="A239" s="638"/>
    </row>
    <row r="240" customFormat="false" ht="15.75" hidden="false" customHeight="true" outlineLevel="0" collapsed="false">
      <c r="A240" s="638"/>
    </row>
    <row r="241" customFormat="false" ht="15.75" hidden="false" customHeight="true" outlineLevel="0" collapsed="false">
      <c r="A241" s="638"/>
    </row>
    <row r="242" customFormat="false" ht="15.75" hidden="false" customHeight="true" outlineLevel="0" collapsed="false">
      <c r="A242" s="638"/>
    </row>
    <row r="243" customFormat="false" ht="15.75" hidden="false" customHeight="true" outlineLevel="0" collapsed="false">
      <c r="A243" s="638"/>
    </row>
    <row r="244" customFormat="false" ht="15.75" hidden="false" customHeight="true" outlineLevel="0" collapsed="false">
      <c r="A244" s="638"/>
    </row>
    <row r="245" customFormat="false" ht="15.75" hidden="false" customHeight="true" outlineLevel="0" collapsed="false">
      <c r="A245" s="638"/>
    </row>
    <row r="246" customFormat="false" ht="15.75" hidden="false" customHeight="true" outlineLevel="0" collapsed="false">
      <c r="A246" s="638"/>
    </row>
    <row r="247" customFormat="false" ht="15.75" hidden="false" customHeight="true" outlineLevel="0" collapsed="false">
      <c r="A247" s="638"/>
    </row>
    <row r="248" customFormat="false" ht="15.75" hidden="false" customHeight="true" outlineLevel="0" collapsed="false">
      <c r="A248" s="638"/>
    </row>
    <row r="249" customFormat="false" ht="15.75" hidden="false" customHeight="true" outlineLevel="0" collapsed="false">
      <c r="A249" s="638"/>
    </row>
    <row r="250" customFormat="false" ht="15.75" hidden="false" customHeight="true" outlineLevel="0" collapsed="false">
      <c r="A250" s="638"/>
    </row>
    <row r="251" customFormat="false" ht="15.75" hidden="false" customHeight="true" outlineLevel="0" collapsed="false">
      <c r="A251" s="638"/>
    </row>
    <row r="252" customFormat="false" ht="15.75" hidden="false" customHeight="true" outlineLevel="0" collapsed="false">
      <c r="A252" s="638"/>
    </row>
    <row r="253" customFormat="false" ht="15.75" hidden="false" customHeight="true" outlineLevel="0" collapsed="false">
      <c r="A253" s="638"/>
    </row>
    <row r="254" customFormat="false" ht="15.75" hidden="false" customHeight="true" outlineLevel="0" collapsed="false">
      <c r="A254" s="638"/>
    </row>
    <row r="255" customFormat="false" ht="15.75" hidden="false" customHeight="true" outlineLevel="0" collapsed="false">
      <c r="A255" s="638"/>
    </row>
    <row r="256" customFormat="false" ht="15.75" hidden="false" customHeight="true" outlineLevel="0" collapsed="false">
      <c r="A256" s="638"/>
    </row>
    <row r="257" customFormat="false" ht="15.75" hidden="false" customHeight="true" outlineLevel="0" collapsed="false">
      <c r="A257" s="638"/>
    </row>
    <row r="258" customFormat="false" ht="15.75" hidden="false" customHeight="true" outlineLevel="0" collapsed="false">
      <c r="A258" s="638"/>
    </row>
    <row r="259" customFormat="false" ht="15.75" hidden="false" customHeight="true" outlineLevel="0" collapsed="false">
      <c r="A259" s="638"/>
    </row>
    <row r="260" customFormat="false" ht="15.75" hidden="false" customHeight="true" outlineLevel="0" collapsed="false">
      <c r="A260" s="638"/>
    </row>
    <row r="261" customFormat="false" ht="15.75" hidden="false" customHeight="true" outlineLevel="0" collapsed="false">
      <c r="A261" s="638"/>
    </row>
    <row r="262" customFormat="false" ht="15.75" hidden="false" customHeight="true" outlineLevel="0" collapsed="false">
      <c r="A262" s="638"/>
    </row>
    <row r="263" customFormat="false" ht="15.75" hidden="false" customHeight="true" outlineLevel="0" collapsed="false">
      <c r="A263" s="638"/>
    </row>
    <row r="264" customFormat="false" ht="15.75" hidden="false" customHeight="true" outlineLevel="0" collapsed="false">
      <c r="A264" s="638"/>
    </row>
    <row r="265" customFormat="false" ht="15.75" hidden="false" customHeight="true" outlineLevel="0" collapsed="false">
      <c r="A265" s="638"/>
    </row>
    <row r="266" customFormat="false" ht="15.75" hidden="false" customHeight="true" outlineLevel="0" collapsed="false">
      <c r="A266" s="638"/>
    </row>
    <row r="267" customFormat="false" ht="15.75" hidden="false" customHeight="true" outlineLevel="0" collapsed="false">
      <c r="A267" s="638"/>
    </row>
    <row r="268" customFormat="false" ht="15.75" hidden="false" customHeight="true" outlineLevel="0" collapsed="false">
      <c r="A268" s="638"/>
    </row>
    <row r="269" customFormat="false" ht="15.75" hidden="false" customHeight="true" outlineLevel="0" collapsed="false">
      <c r="A269" s="638"/>
    </row>
    <row r="270" customFormat="false" ht="15.75" hidden="false" customHeight="true" outlineLevel="0" collapsed="false">
      <c r="A270" s="638"/>
    </row>
    <row r="271" customFormat="false" ht="15.75" hidden="false" customHeight="true" outlineLevel="0" collapsed="false">
      <c r="A271" s="638"/>
    </row>
    <row r="272" customFormat="false" ht="15.75" hidden="false" customHeight="true" outlineLevel="0" collapsed="false">
      <c r="A272" s="638"/>
    </row>
    <row r="273" customFormat="false" ht="15.75" hidden="false" customHeight="true" outlineLevel="0" collapsed="false">
      <c r="A273" s="638"/>
    </row>
    <row r="274" customFormat="false" ht="15.75" hidden="false" customHeight="true" outlineLevel="0" collapsed="false">
      <c r="A274" s="638"/>
    </row>
    <row r="275" customFormat="false" ht="15.75" hidden="false" customHeight="true" outlineLevel="0" collapsed="false">
      <c r="A275" s="638"/>
    </row>
    <row r="276" customFormat="false" ht="15.75" hidden="false" customHeight="true" outlineLevel="0" collapsed="false">
      <c r="A276" s="638"/>
    </row>
    <row r="277" customFormat="false" ht="15.75" hidden="false" customHeight="true" outlineLevel="0" collapsed="false">
      <c r="A277" s="638"/>
    </row>
    <row r="278" customFormat="false" ht="15.75" hidden="false" customHeight="true" outlineLevel="0" collapsed="false">
      <c r="A278" s="638"/>
    </row>
    <row r="279" customFormat="false" ht="15.75" hidden="false" customHeight="true" outlineLevel="0" collapsed="false">
      <c r="A279" s="638"/>
    </row>
    <row r="280" customFormat="false" ht="15.75" hidden="false" customHeight="true" outlineLevel="0" collapsed="false">
      <c r="A280" s="638"/>
    </row>
    <row r="281" customFormat="false" ht="15.75" hidden="false" customHeight="true" outlineLevel="0" collapsed="false">
      <c r="A281" s="638"/>
    </row>
    <row r="282" customFormat="false" ht="15.75" hidden="false" customHeight="true" outlineLevel="0" collapsed="false">
      <c r="A282" s="638"/>
    </row>
    <row r="283" customFormat="false" ht="15.75" hidden="false" customHeight="true" outlineLevel="0" collapsed="false">
      <c r="A283" s="638"/>
    </row>
    <row r="284" customFormat="false" ht="15.75" hidden="false" customHeight="true" outlineLevel="0" collapsed="false">
      <c r="A284" s="638"/>
    </row>
    <row r="285" customFormat="false" ht="15.75" hidden="false" customHeight="true" outlineLevel="0" collapsed="false">
      <c r="A285" s="638"/>
    </row>
    <row r="286" customFormat="false" ht="15.75" hidden="false" customHeight="true" outlineLevel="0" collapsed="false">
      <c r="A286" s="638"/>
    </row>
    <row r="287" customFormat="false" ht="15.75" hidden="false" customHeight="true" outlineLevel="0" collapsed="false">
      <c r="A287" s="638"/>
    </row>
    <row r="288" customFormat="false" ht="15.75" hidden="false" customHeight="true" outlineLevel="0" collapsed="false">
      <c r="A288" s="638"/>
    </row>
    <row r="289" customFormat="false" ht="15.75" hidden="false" customHeight="true" outlineLevel="0" collapsed="false">
      <c r="A289" s="638"/>
    </row>
    <row r="290" customFormat="false" ht="15.75" hidden="false" customHeight="true" outlineLevel="0" collapsed="false">
      <c r="A290" s="638"/>
    </row>
    <row r="291" customFormat="false" ht="15.75" hidden="false" customHeight="true" outlineLevel="0" collapsed="false">
      <c r="A291" s="638"/>
    </row>
    <row r="292" customFormat="false" ht="15.75" hidden="false" customHeight="true" outlineLevel="0" collapsed="false">
      <c r="A292" s="638"/>
    </row>
    <row r="293" customFormat="false" ht="15.75" hidden="false" customHeight="true" outlineLevel="0" collapsed="false">
      <c r="A293" s="638"/>
    </row>
    <row r="294" customFormat="false" ht="15.75" hidden="false" customHeight="true" outlineLevel="0" collapsed="false">
      <c r="A294" s="638"/>
    </row>
    <row r="295" customFormat="false" ht="15.75" hidden="false" customHeight="true" outlineLevel="0" collapsed="false">
      <c r="A295" s="638"/>
    </row>
    <row r="296" customFormat="false" ht="15.75" hidden="false" customHeight="true" outlineLevel="0" collapsed="false">
      <c r="A296" s="638"/>
    </row>
    <row r="297" customFormat="false" ht="15.75" hidden="false" customHeight="true" outlineLevel="0" collapsed="false">
      <c r="A297" s="638"/>
    </row>
    <row r="298" customFormat="false" ht="15.75" hidden="false" customHeight="true" outlineLevel="0" collapsed="false">
      <c r="A298" s="638"/>
    </row>
    <row r="299" customFormat="false" ht="15.75" hidden="false" customHeight="true" outlineLevel="0" collapsed="false">
      <c r="A299" s="638"/>
    </row>
    <row r="300" customFormat="false" ht="15.75" hidden="false" customHeight="true" outlineLevel="0" collapsed="false">
      <c r="A300" s="638"/>
    </row>
    <row r="301" customFormat="false" ht="15.75" hidden="false" customHeight="true" outlineLevel="0" collapsed="false">
      <c r="A301" s="638"/>
    </row>
    <row r="302" customFormat="false" ht="15.75" hidden="false" customHeight="true" outlineLevel="0" collapsed="false">
      <c r="A302" s="638"/>
    </row>
    <row r="303" customFormat="false" ht="15.75" hidden="false" customHeight="true" outlineLevel="0" collapsed="false">
      <c r="A303" s="638"/>
    </row>
    <row r="304" customFormat="false" ht="15.75" hidden="false" customHeight="true" outlineLevel="0" collapsed="false">
      <c r="A304" s="638"/>
    </row>
    <row r="305" customFormat="false" ht="15.75" hidden="false" customHeight="true" outlineLevel="0" collapsed="false">
      <c r="A305" s="638"/>
    </row>
    <row r="306" customFormat="false" ht="15.75" hidden="false" customHeight="true" outlineLevel="0" collapsed="false">
      <c r="A306" s="638"/>
    </row>
    <row r="307" customFormat="false" ht="15.75" hidden="false" customHeight="true" outlineLevel="0" collapsed="false">
      <c r="A307" s="638"/>
    </row>
    <row r="308" customFormat="false" ht="15.75" hidden="false" customHeight="true" outlineLevel="0" collapsed="false">
      <c r="A308" s="638"/>
    </row>
    <row r="309" customFormat="false" ht="15.75" hidden="false" customHeight="true" outlineLevel="0" collapsed="false">
      <c r="A309" s="638"/>
    </row>
    <row r="310" customFormat="false" ht="15.75" hidden="false" customHeight="true" outlineLevel="0" collapsed="false">
      <c r="A310" s="638"/>
    </row>
    <row r="311" customFormat="false" ht="15.75" hidden="false" customHeight="true" outlineLevel="0" collapsed="false">
      <c r="A311" s="638"/>
    </row>
    <row r="312" customFormat="false" ht="15.75" hidden="false" customHeight="true" outlineLevel="0" collapsed="false">
      <c r="A312" s="638"/>
    </row>
    <row r="313" customFormat="false" ht="15.75" hidden="false" customHeight="true" outlineLevel="0" collapsed="false">
      <c r="A313" s="638"/>
    </row>
    <row r="314" customFormat="false" ht="15.75" hidden="false" customHeight="true" outlineLevel="0" collapsed="false">
      <c r="A314" s="638"/>
    </row>
    <row r="315" customFormat="false" ht="15.75" hidden="false" customHeight="true" outlineLevel="0" collapsed="false">
      <c r="A315" s="638"/>
    </row>
    <row r="316" customFormat="false" ht="15.75" hidden="false" customHeight="true" outlineLevel="0" collapsed="false">
      <c r="A316" s="638"/>
    </row>
    <row r="317" customFormat="false" ht="15.75" hidden="false" customHeight="true" outlineLevel="0" collapsed="false">
      <c r="A317" s="638"/>
    </row>
    <row r="318" customFormat="false" ht="15.75" hidden="false" customHeight="true" outlineLevel="0" collapsed="false">
      <c r="A318" s="638"/>
    </row>
    <row r="319" customFormat="false" ht="15.75" hidden="false" customHeight="true" outlineLevel="0" collapsed="false">
      <c r="A319" s="638"/>
    </row>
    <row r="320" customFormat="false" ht="15.75" hidden="false" customHeight="true" outlineLevel="0" collapsed="false">
      <c r="A320" s="638"/>
    </row>
    <row r="321" customFormat="false" ht="15.75" hidden="false" customHeight="true" outlineLevel="0" collapsed="false">
      <c r="A321" s="638"/>
    </row>
    <row r="322" customFormat="false" ht="15.75" hidden="false" customHeight="true" outlineLevel="0" collapsed="false">
      <c r="A322" s="638"/>
    </row>
    <row r="323" customFormat="false" ht="15.75" hidden="false" customHeight="true" outlineLevel="0" collapsed="false">
      <c r="A323" s="638"/>
    </row>
    <row r="324" customFormat="false" ht="15.75" hidden="false" customHeight="true" outlineLevel="0" collapsed="false">
      <c r="A324" s="638"/>
    </row>
    <row r="325" customFormat="false" ht="15.75" hidden="false" customHeight="true" outlineLevel="0" collapsed="false">
      <c r="A325" s="638"/>
    </row>
    <row r="326" customFormat="false" ht="15.75" hidden="false" customHeight="true" outlineLevel="0" collapsed="false">
      <c r="A326" s="638"/>
    </row>
    <row r="327" customFormat="false" ht="15.75" hidden="false" customHeight="true" outlineLevel="0" collapsed="false">
      <c r="A327" s="638"/>
    </row>
    <row r="328" customFormat="false" ht="15.75" hidden="false" customHeight="true" outlineLevel="0" collapsed="false">
      <c r="A328" s="638"/>
    </row>
    <row r="329" customFormat="false" ht="15.75" hidden="false" customHeight="true" outlineLevel="0" collapsed="false">
      <c r="A329" s="638"/>
    </row>
    <row r="330" customFormat="false" ht="15.75" hidden="false" customHeight="true" outlineLevel="0" collapsed="false">
      <c r="A330" s="638"/>
    </row>
    <row r="331" customFormat="false" ht="15.75" hidden="false" customHeight="true" outlineLevel="0" collapsed="false">
      <c r="A331" s="638"/>
    </row>
    <row r="332" customFormat="false" ht="15.75" hidden="false" customHeight="true" outlineLevel="0" collapsed="false">
      <c r="A332" s="638"/>
    </row>
    <row r="333" customFormat="false" ht="15.75" hidden="false" customHeight="true" outlineLevel="0" collapsed="false">
      <c r="A333" s="638"/>
    </row>
    <row r="334" customFormat="false" ht="15.75" hidden="false" customHeight="true" outlineLevel="0" collapsed="false">
      <c r="A334" s="638"/>
    </row>
    <row r="335" customFormat="false" ht="15.75" hidden="false" customHeight="true" outlineLevel="0" collapsed="false">
      <c r="A335" s="638"/>
    </row>
    <row r="336" customFormat="false" ht="15.75" hidden="false" customHeight="true" outlineLevel="0" collapsed="false">
      <c r="A336" s="638"/>
    </row>
    <row r="337" customFormat="false" ht="15.75" hidden="false" customHeight="true" outlineLevel="0" collapsed="false">
      <c r="A337" s="638"/>
    </row>
    <row r="338" customFormat="false" ht="15.75" hidden="false" customHeight="true" outlineLevel="0" collapsed="false">
      <c r="A338" s="638"/>
    </row>
    <row r="339" customFormat="false" ht="15.75" hidden="false" customHeight="true" outlineLevel="0" collapsed="false">
      <c r="A339" s="638"/>
    </row>
    <row r="340" customFormat="false" ht="15.75" hidden="false" customHeight="true" outlineLevel="0" collapsed="false">
      <c r="A340" s="638"/>
    </row>
    <row r="341" customFormat="false" ht="15.75" hidden="false" customHeight="true" outlineLevel="0" collapsed="false">
      <c r="A341" s="638"/>
    </row>
    <row r="342" customFormat="false" ht="15.75" hidden="false" customHeight="true" outlineLevel="0" collapsed="false">
      <c r="A342" s="638"/>
    </row>
    <row r="343" customFormat="false" ht="15.75" hidden="false" customHeight="true" outlineLevel="0" collapsed="false">
      <c r="A343" s="638"/>
    </row>
    <row r="344" customFormat="false" ht="15.75" hidden="false" customHeight="true" outlineLevel="0" collapsed="false">
      <c r="A344" s="638"/>
    </row>
    <row r="345" customFormat="false" ht="15.75" hidden="false" customHeight="true" outlineLevel="0" collapsed="false">
      <c r="A345" s="638"/>
    </row>
    <row r="346" customFormat="false" ht="15.75" hidden="false" customHeight="true" outlineLevel="0" collapsed="false">
      <c r="A346" s="638"/>
    </row>
    <row r="347" customFormat="false" ht="15.75" hidden="false" customHeight="true" outlineLevel="0" collapsed="false">
      <c r="A347" s="638"/>
    </row>
    <row r="348" customFormat="false" ht="15.75" hidden="false" customHeight="true" outlineLevel="0" collapsed="false">
      <c r="A348" s="638"/>
    </row>
    <row r="349" customFormat="false" ht="15.75" hidden="false" customHeight="true" outlineLevel="0" collapsed="false">
      <c r="A349" s="638"/>
    </row>
    <row r="350" customFormat="false" ht="15.75" hidden="false" customHeight="true" outlineLevel="0" collapsed="false">
      <c r="A350" s="638"/>
    </row>
    <row r="351" customFormat="false" ht="15.75" hidden="false" customHeight="true" outlineLevel="0" collapsed="false">
      <c r="A351" s="638"/>
    </row>
    <row r="352" customFormat="false" ht="15.75" hidden="false" customHeight="true" outlineLevel="0" collapsed="false">
      <c r="A352" s="638"/>
    </row>
    <row r="353" customFormat="false" ht="15.75" hidden="false" customHeight="true" outlineLevel="0" collapsed="false">
      <c r="A353" s="638"/>
    </row>
    <row r="354" customFormat="false" ht="15.75" hidden="false" customHeight="true" outlineLevel="0" collapsed="false">
      <c r="A354" s="638"/>
    </row>
    <row r="355" customFormat="false" ht="15.75" hidden="false" customHeight="true" outlineLevel="0" collapsed="false">
      <c r="A355" s="638"/>
    </row>
    <row r="356" customFormat="false" ht="15.75" hidden="false" customHeight="true" outlineLevel="0" collapsed="false">
      <c r="A356" s="638"/>
    </row>
    <row r="357" customFormat="false" ht="15.75" hidden="false" customHeight="true" outlineLevel="0" collapsed="false">
      <c r="A357" s="638"/>
    </row>
    <row r="358" customFormat="false" ht="15.75" hidden="false" customHeight="true" outlineLevel="0" collapsed="false">
      <c r="A358" s="638"/>
    </row>
    <row r="359" customFormat="false" ht="15.75" hidden="false" customHeight="true" outlineLevel="0" collapsed="false">
      <c r="A359" s="638"/>
    </row>
    <row r="360" customFormat="false" ht="15.75" hidden="false" customHeight="true" outlineLevel="0" collapsed="false">
      <c r="A360" s="638"/>
    </row>
    <row r="361" customFormat="false" ht="15.75" hidden="false" customHeight="true" outlineLevel="0" collapsed="false">
      <c r="A361" s="638"/>
    </row>
    <row r="362" customFormat="false" ht="15.75" hidden="false" customHeight="true" outlineLevel="0" collapsed="false">
      <c r="A362" s="638"/>
    </row>
    <row r="363" customFormat="false" ht="15.75" hidden="false" customHeight="true" outlineLevel="0" collapsed="false">
      <c r="A363" s="638"/>
    </row>
    <row r="364" customFormat="false" ht="15.75" hidden="false" customHeight="true" outlineLevel="0" collapsed="false">
      <c r="A364" s="638"/>
    </row>
    <row r="365" customFormat="false" ht="15.75" hidden="false" customHeight="true" outlineLevel="0" collapsed="false">
      <c r="A365" s="638"/>
    </row>
    <row r="366" customFormat="false" ht="15.75" hidden="false" customHeight="true" outlineLevel="0" collapsed="false">
      <c r="A366" s="638"/>
    </row>
    <row r="367" customFormat="false" ht="15.75" hidden="false" customHeight="true" outlineLevel="0" collapsed="false">
      <c r="A367" s="638"/>
    </row>
    <row r="368" customFormat="false" ht="15.75" hidden="false" customHeight="true" outlineLevel="0" collapsed="false">
      <c r="A368" s="638"/>
    </row>
    <row r="369" customFormat="false" ht="15.75" hidden="false" customHeight="true" outlineLevel="0" collapsed="false">
      <c r="A369" s="638"/>
    </row>
    <row r="370" customFormat="false" ht="15.75" hidden="false" customHeight="true" outlineLevel="0" collapsed="false">
      <c r="A370" s="638"/>
    </row>
    <row r="371" customFormat="false" ht="15.75" hidden="false" customHeight="true" outlineLevel="0" collapsed="false">
      <c r="A371" s="638"/>
    </row>
    <row r="372" customFormat="false" ht="15.75" hidden="false" customHeight="true" outlineLevel="0" collapsed="false">
      <c r="A372" s="638"/>
    </row>
    <row r="373" customFormat="false" ht="15.75" hidden="false" customHeight="true" outlineLevel="0" collapsed="false">
      <c r="A373" s="638"/>
    </row>
    <row r="374" customFormat="false" ht="15.75" hidden="false" customHeight="true" outlineLevel="0" collapsed="false">
      <c r="A374" s="638"/>
    </row>
    <row r="375" customFormat="false" ht="15.75" hidden="false" customHeight="true" outlineLevel="0" collapsed="false">
      <c r="A375" s="638"/>
    </row>
    <row r="376" customFormat="false" ht="15.75" hidden="false" customHeight="true" outlineLevel="0" collapsed="false">
      <c r="A376" s="638"/>
    </row>
    <row r="377" customFormat="false" ht="15.75" hidden="false" customHeight="true" outlineLevel="0" collapsed="false">
      <c r="A377" s="638"/>
    </row>
    <row r="378" customFormat="false" ht="15.75" hidden="false" customHeight="true" outlineLevel="0" collapsed="false">
      <c r="A378" s="638"/>
    </row>
    <row r="379" customFormat="false" ht="15.75" hidden="false" customHeight="true" outlineLevel="0" collapsed="false">
      <c r="A379" s="638"/>
    </row>
    <row r="380" customFormat="false" ht="15.75" hidden="false" customHeight="true" outlineLevel="0" collapsed="false">
      <c r="A380" s="638"/>
    </row>
    <row r="381" customFormat="false" ht="15.75" hidden="false" customHeight="true" outlineLevel="0" collapsed="false">
      <c r="A381" s="638"/>
    </row>
    <row r="382" customFormat="false" ht="15.75" hidden="false" customHeight="true" outlineLevel="0" collapsed="false">
      <c r="A382" s="638"/>
    </row>
    <row r="383" customFormat="false" ht="15.75" hidden="false" customHeight="true" outlineLevel="0" collapsed="false">
      <c r="A383" s="638"/>
    </row>
    <row r="384" customFormat="false" ht="15.75" hidden="false" customHeight="true" outlineLevel="0" collapsed="false">
      <c r="A384" s="638"/>
    </row>
    <row r="385" customFormat="false" ht="15.75" hidden="false" customHeight="true" outlineLevel="0" collapsed="false">
      <c r="A385" s="638"/>
    </row>
    <row r="386" customFormat="false" ht="15.75" hidden="false" customHeight="true" outlineLevel="0" collapsed="false">
      <c r="A386" s="638"/>
    </row>
    <row r="387" customFormat="false" ht="15.75" hidden="false" customHeight="true" outlineLevel="0" collapsed="false">
      <c r="A387" s="638"/>
    </row>
    <row r="388" customFormat="false" ht="15.75" hidden="false" customHeight="true" outlineLevel="0" collapsed="false">
      <c r="A388" s="638"/>
    </row>
    <row r="389" customFormat="false" ht="15.75" hidden="false" customHeight="true" outlineLevel="0" collapsed="false">
      <c r="A389" s="638"/>
    </row>
    <row r="390" customFormat="false" ht="15.75" hidden="false" customHeight="true" outlineLevel="0" collapsed="false">
      <c r="A390" s="638"/>
    </row>
    <row r="391" customFormat="false" ht="15.75" hidden="false" customHeight="true" outlineLevel="0" collapsed="false">
      <c r="A391" s="638"/>
    </row>
    <row r="392" customFormat="false" ht="15.75" hidden="false" customHeight="true" outlineLevel="0" collapsed="false">
      <c r="A392" s="638"/>
    </row>
    <row r="393" customFormat="false" ht="15.75" hidden="false" customHeight="true" outlineLevel="0" collapsed="false">
      <c r="A393" s="638"/>
    </row>
    <row r="394" customFormat="false" ht="15.75" hidden="false" customHeight="true" outlineLevel="0" collapsed="false">
      <c r="A394" s="638"/>
    </row>
    <row r="395" customFormat="false" ht="15.75" hidden="false" customHeight="true" outlineLevel="0" collapsed="false">
      <c r="A395" s="638"/>
    </row>
    <row r="396" customFormat="false" ht="15.75" hidden="false" customHeight="true" outlineLevel="0" collapsed="false">
      <c r="A396" s="638"/>
    </row>
    <row r="397" customFormat="false" ht="15.75" hidden="false" customHeight="true" outlineLevel="0" collapsed="false">
      <c r="A397" s="638"/>
    </row>
    <row r="398" customFormat="false" ht="15.75" hidden="false" customHeight="true" outlineLevel="0" collapsed="false">
      <c r="A398" s="638"/>
    </row>
    <row r="399" customFormat="false" ht="15.75" hidden="false" customHeight="true" outlineLevel="0" collapsed="false">
      <c r="A399" s="638"/>
    </row>
    <row r="400" customFormat="false" ht="15.75" hidden="false" customHeight="true" outlineLevel="0" collapsed="false">
      <c r="A400" s="638"/>
    </row>
    <row r="401" customFormat="false" ht="15.75" hidden="false" customHeight="true" outlineLevel="0" collapsed="false">
      <c r="A401" s="638"/>
    </row>
    <row r="402" customFormat="false" ht="15.75" hidden="false" customHeight="true" outlineLevel="0" collapsed="false">
      <c r="A402" s="638"/>
    </row>
    <row r="403" customFormat="false" ht="15.75" hidden="false" customHeight="true" outlineLevel="0" collapsed="false">
      <c r="A403" s="638"/>
    </row>
    <row r="404" customFormat="false" ht="15.75" hidden="false" customHeight="true" outlineLevel="0" collapsed="false">
      <c r="A404" s="638"/>
    </row>
    <row r="405" customFormat="false" ht="15.75" hidden="false" customHeight="true" outlineLevel="0" collapsed="false">
      <c r="A405" s="638"/>
    </row>
    <row r="406" customFormat="false" ht="15.75" hidden="false" customHeight="true" outlineLevel="0" collapsed="false">
      <c r="A406" s="638"/>
    </row>
    <row r="407" customFormat="false" ht="15.75" hidden="false" customHeight="true" outlineLevel="0" collapsed="false">
      <c r="A407" s="638"/>
    </row>
    <row r="408" customFormat="false" ht="15.75" hidden="false" customHeight="true" outlineLevel="0" collapsed="false">
      <c r="A408" s="638"/>
    </row>
    <row r="409" customFormat="false" ht="15.75" hidden="false" customHeight="true" outlineLevel="0" collapsed="false">
      <c r="A409" s="638"/>
    </row>
    <row r="410" customFormat="false" ht="15.75" hidden="false" customHeight="true" outlineLevel="0" collapsed="false">
      <c r="A410" s="638"/>
    </row>
    <row r="411" customFormat="false" ht="15.75" hidden="false" customHeight="true" outlineLevel="0" collapsed="false">
      <c r="A411" s="638"/>
    </row>
    <row r="412" customFormat="false" ht="15.75" hidden="false" customHeight="true" outlineLevel="0" collapsed="false">
      <c r="A412" s="638"/>
    </row>
    <row r="413" customFormat="false" ht="15.75" hidden="false" customHeight="true" outlineLevel="0" collapsed="false">
      <c r="A413" s="638"/>
    </row>
    <row r="414" customFormat="false" ht="15.75" hidden="false" customHeight="true" outlineLevel="0" collapsed="false">
      <c r="A414" s="638"/>
    </row>
    <row r="415" customFormat="false" ht="15.75" hidden="false" customHeight="true" outlineLevel="0" collapsed="false">
      <c r="A415" s="638"/>
    </row>
    <row r="416" customFormat="false" ht="15.75" hidden="false" customHeight="true" outlineLevel="0" collapsed="false">
      <c r="A416" s="638"/>
    </row>
    <row r="417" customFormat="false" ht="15.75" hidden="false" customHeight="true" outlineLevel="0" collapsed="false">
      <c r="A417" s="638"/>
    </row>
    <row r="418" customFormat="false" ht="15.75" hidden="false" customHeight="true" outlineLevel="0" collapsed="false">
      <c r="A418" s="638"/>
    </row>
    <row r="419" customFormat="false" ht="15.75" hidden="false" customHeight="true" outlineLevel="0" collapsed="false">
      <c r="A419" s="638"/>
    </row>
    <row r="420" customFormat="false" ht="15.75" hidden="false" customHeight="true" outlineLevel="0" collapsed="false">
      <c r="A420" s="638"/>
    </row>
    <row r="421" customFormat="false" ht="15.75" hidden="false" customHeight="true" outlineLevel="0" collapsed="false">
      <c r="A421" s="638"/>
    </row>
    <row r="422" customFormat="false" ht="15.75" hidden="false" customHeight="true" outlineLevel="0" collapsed="false">
      <c r="A422" s="638"/>
    </row>
    <row r="423" customFormat="false" ht="15.75" hidden="false" customHeight="true" outlineLevel="0" collapsed="false">
      <c r="A423" s="638"/>
    </row>
    <row r="424" customFormat="false" ht="15.75" hidden="false" customHeight="true" outlineLevel="0" collapsed="false">
      <c r="A424" s="638"/>
    </row>
    <row r="425" customFormat="false" ht="15.75" hidden="false" customHeight="true" outlineLevel="0" collapsed="false">
      <c r="A425" s="638"/>
    </row>
    <row r="426" customFormat="false" ht="15.75" hidden="false" customHeight="true" outlineLevel="0" collapsed="false">
      <c r="A426" s="638"/>
    </row>
    <row r="427" customFormat="false" ht="15.75" hidden="false" customHeight="true" outlineLevel="0" collapsed="false">
      <c r="A427" s="638"/>
    </row>
    <row r="428" customFormat="false" ht="15.75" hidden="false" customHeight="true" outlineLevel="0" collapsed="false">
      <c r="A428" s="638"/>
    </row>
    <row r="429" customFormat="false" ht="15.75" hidden="false" customHeight="true" outlineLevel="0" collapsed="false">
      <c r="A429" s="638"/>
    </row>
    <row r="430" customFormat="false" ht="15.75" hidden="false" customHeight="true" outlineLevel="0" collapsed="false">
      <c r="A430" s="638"/>
    </row>
    <row r="431" customFormat="false" ht="15.75" hidden="false" customHeight="true" outlineLevel="0" collapsed="false">
      <c r="A431" s="638"/>
    </row>
    <row r="432" customFormat="false" ht="15.75" hidden="false" customHeight="true" outlineLevel="0" collapsed="false">
      <c r="A432" s="638"/>
    </row>
    <row r="433" customFormat="false" ht="15.75" hidden="false" customHeight="true" outlineLevel="0" collapsed="false">
      <c r="A433" s="638"/>
    </row>
    <row r="434" customFormat="false" ht="15.75" hidden="false" customHeight="true" outlineLevel="0" collapsed="false">
      <c r="A434" s="638"/>
    </row>
    <row r="435" customFormat="false" ht="15.75" hidden="false" customHeight="true" outlineLevel="0" collapsed="false">
      <c r="A435" s="638"/>
    </row>
    <row r="436" customFormat="false" ht="15.75" hidden="false" customHeight="true" outlineLevel="0" collapsed="false">
      <c r="A436" s="638"/>
    </row>
    <row r="437" customFormat="false" ht="15.75" hidden="false" customHeight="true" outlineLevel="0" collapsed="false">
      <c r="A437" s="638"/>
    </row>
    <row r="438" customFormat="false" ht="15.75" hidden="false" customHeight="true" outlineLevel="0" collapsed="false">
      <c r="A438" s="638"/>
    </row>
    <row r="439" customFormat="false" ht="15.75" hidden="false" customHeight="true" outlineLevel="0" collapsed="false">
      <c r="A439" s="638"/>
    </row>
    <row r="440" customFormat="false" ht="15.75" hidden="false" customHeight="true" outlineLevel="0" collapsed="false">
      <c r="A440" s="638"/>
    </row>
    <row r="441" customFormat="false" ht="15.75" hidden="false" customHeight="true" outlineLevel="0" collapsed="false">
      <c r="A441" s="638"/>
    </row>
    <row r="442" customFormat="false" ht="15.75" hidden="false" customHeight="true" outlineLevel="0" collapsed="false">
      <c r="A442" s="638"/>
    </row>
    <row r="443" customFormat="false" ht="15.75" hidden="false" customHeight="true" outlineLevel="0" collapsed="false">
      <c r="A443" s="638"/>
    </row>
    <row r="444" customFormat="false" ht="15.75" hidden="false" customHeight="true" outlineLevel="0" collapsed="false">
      <c r="A444" s="638"/>
    </row>
    <row r="445" customFormat="false" ht="15.75" hidden="false" customHeight="true" outlineLevel="0" collapsed="false">
      <c r="A445" s="638"/>
    </row>
    <row r="446" customFormat="false" ht="15.75" hidden="false" customHeight="true" outlineLevel="0" collapsed="false">
      <c r="A446" s="638"/>
    </row>
    <row r="447" customFormat="false" ht="15.75" hidden="false" customHeight="true" outlineLevel="0" collapsed="false">
      <c r="A447" s="638"/>
    </row>
    <row r="448" customFormat="false" ht="15.75" hidden="false" customHeight="true" outlineLevel="0" collapsed="false">
      <c r="A448" s="638"/>
    </row>
    <row r="449" customFormat="false" ht="15.75" hidden="false" customHeight="true" outlineLevel="0" collapsed="false">
      <c r="A449" s="638"/>
    </row>
    <row r="450" customFormat="false" ht="15.75" hidden="false" customHeight="true" outlineLevel="0" collapsed="false">
      <c r="A450" s="638"/>
    </row>
    <row r="451" customFormat="false" ht="15.75" hidden="false" customHeight="true" outlineLevel="0" collapsed="false">
      <c r="A451" s="638"/>
    </row>
    <row r="452" customFormat="false" ht="15.75" hidden="false" customHeight="true" outlineLevel="0" collapsed="false">
      <c r="A452" s="638"/>
    </row>
    <row r="453" customFormat="false" ht="15.75" hidden="false" customHeight="true" outlineLevel="0" collapsed="false">
      <c r="A453" s="638"/>
    </row>
    <row r="454" customFormat="false" ht="15.75" hidden="false" customHeight="true" outlineLevel="0" collapsed="false">
      <c r="A454" s="638"/>
    </row>
    <row r="455" customFormat="false" ht="15.75" hidden="false" customHeight="true" outlineLevel="0" collapsed="false">
      <c r="A455" s="638"/>
    </row>
    <row r="456" customFormat="false" ht="15.75" hidden="false" customHeight="true" outlineLevel="0" collapsed="false">
      <c r="A456" s="638"/>
    </row>
    <row r="457" customFormat="false" ht="15.75" hidden="false" customHeight="true" outlineLevel="0" collapsed="false">
      <c r="A457" s="638"/>
    </row>
    <row r="458" customFormat="false" ht="15.75" hidden="false" customHeight="true" outlineLevel="0" collapsed="false">
      <c r="A458" s="638"/>
    </row>
    <row r="459" customFormat="false" ht="15.75" hidden="false" customHeight="true" outlineLevel="0" collapsed="false">
      <c r="A459" s="638"/>
    </row>
    <row r="460" customFormat="false" ht="15.75" hidden="false" customHeight="true" outlineLevel="0" collapsed="false">
      <c r="A460" s="638"/>
    </row>
    <row r="461" customFormat="false" ht="15.75" hidden="false" customHeight="true" outlineLevel="0" collapsed="false">
      <c r="A461" s="638"/>
    </row>
    <row r="462" customFormat="false" ht="15.75" hidden="false" customHeight="true" outlineLevel="0" collapsed="false">
      <c r="A462" s="638"/>
    </row>
    <row r="463" customFormat="false" ht="15.75" hidden="false" customHeight="true" outlineLevel="0" collapsed="false">
      <c r="A463" s="638"/>
    </row>
    <row r="464" customFormat="false" ht="15.75" hidden="false" customHeight="true" outlineLevel="0" collapsed="false">
      <c r="A464" s="638"/>
    </row>
    <row r="465" customFormat="false" ht="15.75" hidden="false" customHeight="true" outlineLevel="0" collapsed="false">
      <c r="A465" s="638"/>
    </row>
    <row r="466" customFormat="false" ht="15.75" hidden="false" customHeight="true" outlineLevel="0" collapsed="false">
      <c r="A466" s="638"/>
    </row>
    <row r="467" customFormat="false" ht="15.75" hidden="false" customHeight="true" outlineLevel="0" collapsed="false">
      <c r="A467" s="638"/>
    </row>
    <row r="468" customFormat="false" ht="15.75" hidden="false" customHeight="true" outlineLevel="0" collapsed="false">
      <c r="A468" s="638"/>
    </row>
    <row r="469" customFormat="false" ht="15.75" hidden="false" customHeight="true" outlineLevel="0" collapsed="false">
      <c r="A469" s="638"/>
    </row>
    <row r="470" customFormat="false" ht="15.75" hidden="false" customHeight="true" outlineLevel="0" collapsed="false">
      <c r="A470" s="638"/>
    </row>
    <row r="471" customFormat="false" ht="15.75" hidden="false" customHeight="true" outlineLevel="0" collapsed="false">
      <c r="A471" s="638"/>
    </row>
    <row r="472" customFormat="false" ht="15.75" hidden="false" customHeight="true" outlineLevel="0" collapsed="false">
      <c r="A472" s="638"/>
    </row>
    <row r="473" customFormat="false" ht="15.75" hidden="false" customHeight="true" outlineLevel="0" collapsed="false">
      <c r="A473" s="638"/>
    </row>
    <row r="474" customFormat="false" ht="15.75" hidden="false" customHeight="true" outlineLevel="0" collapsed="false">
      <c r="A474" s="638"/>
    </row>
    <row r="475" customFormat="false" ht="15.75" hidden="false" customHeight="true" outlineLevel="0" collapsed="false">
      <c r="A475" s="638"/>
    </row>
    <row r="476" customFormat="false" ht="15.75" hidden="false" customHeight="true" outlineLevel="0" collapsed="false">
      <c r="A476" s="638"/>
    </row>
    <row r="477" customFormat="false" ht="15.75" hidden="false" customHeight="true" outlineLevel="0" collapsed="false">
      <c r="A477" s="638"/>
    </row>
    <row r="478" customFormat="false" ht="15.75" hidden="false" customHeight="true" outlineLevel="0" collapsed="false">
      <c r="A478" s="638"/>
    </row>
    <row r="479" customFormat="false" ht="15.75" hidden="false" customHeight="true" outlineLevel="0" collapsed="false">
      <c r="A479" s="638"/>
    </row>
    <row r="480" customFormat="false" ht="15.75" hidden="false" customHeight="true" outlineLevel="0" collapsed="false">
      <c r="A480" s="638"/>
    </row>
    <row r="481" customFormat="false" ht="15.75" hidden="false" customHeight="true" outlineLevel="0" collapsed="false">
      <c r="A481" s="638"/>
    </row>
    <row r="482" customFormat="false" ht="15.75" hidden="false" customHeight="true" outlineLevel="0" collapsed="false">
      <c r="A482" s="638"/>
    </row>
    <row r="483" customFormat="false" ht="15.75" hidden="false" customHeight="true" outlineLevel="0" collapsed="false">
      <c r="A483" s="638"/>
    </row>
    <row r="484" customFormat="false" ht="15.75" hidden="false" customHeight="true" outlineLevel="0" collapsed="false">
      <c r="A484" s="638"/>
    </row>
    <row r="485" customFormat="false" ht="15.75" hidden="false" customHeight="true" outlineLevel="0" collapsed="false">
      <c r="A485" s="638"/>
    </row>
    <row r="486" customFormat="false" ht="15.75" hidden="false" customHeight="true" outlineLevel="0" collapsed="false">
      <c r="A486" s="638"/>
    </row>
    <row r="487" customFormat="false" ht="15.75" hidden="false" customHeight="true" outlineLevel="0" collapsed="false">
      <c r="A487" s="638"/>
    </row>
    <row r="488" customFormat="false" ht="15.75" hidden="false" customHeight="true" outlineLevel="0" collapsed="false">
      <c r="A488" s="638"/>
    </row>
    <row r="489" customFormat="false" ht="15.75" hidden="false" customHeight="true" outlineLevel="0" collapsed="false">
      <c r="A489" s="638"/>
    </row>
    <row r="490" customFormat="false" ht="15.75" hidden="false" customHeight="true" outlineLevel="0" collapsed="false">
      <c r="A490" s="638"/>
    </row>
    <row r="491" customFormat="false" ht="15.75" hidden="false" customHeight="true" outlineLevel="0" collapsed="false">
      <c r="A491" s="638"/>
    </row>
    <row r="492" customFormat="false" ht="15.75" hidden="false" customHeight="true" outlineLevel="0" collapsed="false">
      <c r="A492" s="638"/>
    </row>
    <row r="493" customFormat="false" ht="15.75" hidden="false" customHeight="true" outlineLevel="0" collapsed="false">
      <c r="A493" s="638"/>
    </row>
    <row r="494" customFormat="false" ht="15.75" hidden="false" customHeight="true" outlineLevel="0" collapsed="false">
      <c r="A494" s="638"/>
    </row>
    <row r="495" customFormat="false" ht="15.75" hidden="false" customHeight="true" outlineLevel="0" collapsed="false">
      <c r="A495" s="638"/>
    </row>
    <row r="496" customFormat="false" ht="15.75" hidden="false" customHeight="true" outlineLevel="0" collapsed="false">
      <c r="A496" s="638"/>
    </row>
    <row r="497" customFormat="false" ht="15.75" hidden="false" customHeight="true" outlineLevel="0" collapsed="false">
      <c r="A497" s="638"/>
    </row>
    <row r="498" customFormat="false" ht="15.75" hidden="false" customHeight="true" outlineLevel="0" collapsed="false">
      <c r="A498" s="638"/>
    </row>
    <row r="499" customFormat="false" ht="15.75" hidden="false" customHeight="true" outlineLevel="0" collapsed="false">
      <c r="A499" s="638"/>
    </row>
    <row r="500" customFormat="false" ht="15.75" hidden="false" customHeight="true" outlineLevel="0" collapsed="false">
      <c r="A500" s="638"/>
    </row>
    <row r="501" customFormat="false" ht="15.75" hidden="false" customHeight="true" outlineLevel="0" collapsed="false">
      <c r="A501" s="638"/>
    </row>
    <row r="502" customFormat="false" ht="15.75" hidden="false" customHeight="true" outlineLevel="0" collapsed="false">
      <c r="A502" s="638"/>
    </row>
    <row r="503" customFormat="false" ht="15.75" hidden="false" customHeight="true" outlineLevel="0" collapsed="false">
      <c r="A503" s="638"/>
    </row>
    <row r="504" customFormat="false" ht="15.75" hidden="false" customHeight="true" outlineLevel="0" collapsed="false">
      <c r="A504" s="638"/>
    </row>
    <row r="505" customFormat="false" ht="15.75" hidden="false" customHeight="true" outlineLevel="0" collapsed="false">
      <c r="A505" s="638"/>
    </row>
    <row r="506" customFormat="false" ht="15.75" hidden="false" customHeight="true" outlineLevel="0" collapsed="false">
      <c r="A506" s="638"/>
    </row>
    <row r="507" customFormat="false" ht="15.75" hidden="false" customHeight="true" outlineLevel="0" collapsed="false">
      <c r="A507" s="638"/>
    </row>
    <row r="508" customFormat="false" ht="15.75" hidden="false" customHeight="true" outlineLevel="0" collapsed="false">
      <c r="A508" s="638"/>
    </row>
    <row r="509" customFormat="false" ht="15.75" hidden="false" customHeight="true" outlineLevel="0" collapsed="false">
      <c r="A509" s="638"/>
    </row>
    <row r="510" customFormat="false" ht="15.75" hidden="false" customHeight="true" outlineLevel="0" collapsed="false">
      <c r="A510" s="638"/>
    </row>
    <row r="511" customFormat="false" ht="15.75" hidden="false" customHeight="true" outlineLevel="0" collapsed="false">
      <c r="A511" s="638"/>
    </row>
    <row r="512" customFormat="false" ht="15.75" hidden="false" customHeight="true" outlineLevel="0" collapsed="false">
      <c r="A512" s="638"/>
    </row>
    <row r="513" customFormat="false" ht="15.75" hidden="false" customHeight="true" outlineLevel="0" collapsed="false">
      <c r="A513" s="638"/>
    </row>
    <row r="514" customFormat="false" ht="15.75" hidden="false" customHeight="true" outlineLevel="0" collapsed="false">
      <c r="A514" s="638"/>
    </row>
    <row r="515" customFormat="false" ht="15.75" hidden="false" customHeight="true" outlineLevel="0" collapsed="false">
      <c r="A515" s="638"/>
    </row>
    <row r="516" customFormat="false" ht="15.75" hidden="false" customHeight="true" outlineLevel="0" collapsed="false">
      <c r="A516" s="638"/>
    </row>
    <row r="517" customFormat="false" ht="15.75" hidden="false" customHeight="true" outlineLevel="0" collapsed="false">
      <c r="A517" s="638"/>
    </row>
    <row r="518" customFormat="false" ht="15.75" hidden="false" customHeight="true" outlineLevel="0" collapsed="false">
      <c r="A518" s="638"/>
    </row>
    <row r="519" customFormat="false" ht="15.75" hidden="false" customHeight="true" outlineLevel="0" collapsed="false">
      <c r="A519" s="638"/>
    </row>
    <row r="520" customFormat="false" ht="15.75" hidden="false" customHeight="true" outlineLevel="0" collapsed="false">
      <c r="A520" s="638"/>
    </row>
    <row r="521" customFormat="false" ht="15.75" hidden="false" customHeight="true" outlineLevel="0" collapsed="false">
      <c r="A521" s="638"/>
    </row>
    <row r="522" customFormat="false" ht="15.75" hidden="false" customHeight="true" outlineLevel="0" collapsed="false">
      <c r="A522" s="638"/>
    </row>
    <row r="523" customFormat="false" ht="15.75" hidden="false" customHeight="true" outlineLevel="0" collapsed="false">
      <c r="A523" s="638"/>
    </row>
    <row r="524" customFormat="false" ht="15.75" hidden="false" customHeight="true" outlineLevel="0" collapsed="false">
      <c r="A524" s="638"/>
    </row>
    <row r="525" customFormat="false" ht="15.75" hidden="false" customHeight="true" outlineLevel="0" collapsed="false">
      <c r="A525" s="638"/>
    </row>
    <row r="526" customFormat="false" ht="15.75" hidden="false" customHeight="true" outlineLevel="0" collapsed="false">
      <c r="A526" s="638"/>
    </row>
    <row r="527" customFormat="false" ht="15.75" hidden="false" customHeight="true" outlineLevel="0" collapsed="false">
      <c r="A527" s="638"/>
    </row>
    <row r="528" customFormat="false" ht="15.75" hidden="false" customHeight="true" outlineLevel="0" collapsed="false">
      <c r="A528" s="638"/>
    </row>
    <row r="529" customFormat="false" ht="15.75" hidden="false" customHeight="true" outlineLevel="0" collapsed="false">
      <c r="A529" s="638"/>
    </row>
    <row r="530" customFormat="false" ht="15.75" hidden="false" customHeight="true" outlineLevel="0" collapsed="false">
      <c r="A530" s="638"/>
    </row>
    <row r="531" customFormat="false" ht="15.75" hidden="false" customHeight="true" outlineLevel="0" collapsed="false">
      <c r="A531" s="638"/>
    </row>
    <row r="532" customFormat="false" ht="15.75" hidden="false" customHeight="true" outlineLevel="0" collapsed="false">
      <c r="A532" s="638"/>
    </row>
    <row r="533" customFormat="false" ht="15.75" hidden="false" customHeight="true" outlineLevel="0" collapsed="false">
      <c r="A533" s="638"/>
    </row>
    <row r="534" customFormat="false" ht="15.75" hidden="false" customHeight="true" outlineLevel="0" collapsed="false">
      <c r="A534" s="638"/>
    </row>
    <row r="535" customFormat="false" ht="15.75" hidden="false" customHeight="true" outlineLevel="0" collapsed="false">
      <c r="A535" s="638"/>
    </row>
    <row r="536" customFormat="false" ht="15.75" hidden="false" customHeight="true" outlineLevel="0" collapsed="false">
      <c r="A536" s="638"/>
    </row>
    <row r="537" customFormat="false" ht="15.75" hidden="false" customHeight="true" outlineLevel="0" collapsed="false">
      <c r="A537" s="638"/>
    </row>
    <row r="538" customFormat="false" ht="15.75" hidden="false" customHeight="true" outlineLevel="0" collapsed="false">
      <c r="A538" s="638"/>
    </row>
    <row r="539" customFormat="false" ht="15.75" hidden="false" customHeight="true" outlineLevel="0" collapsed="false">
      <c r="A539" s="638"/>
    </row>
    <row r="540" customFormat="false" ht="15.75" hidden="false" customHeight="true" outlineLevel="0" collapsed="false">
      <c r="A540" s="638"/>
    </row>
    <row r="541" customFormat="false" ht="15.75" hidden="false" customHeight="true" outlineLevel="0" collapsed="false">
      <c r="A541" s="638"/>
    </row>
    <row r="542" customFormat="false" ht="15.75" hidden="false" customHeight="true" outlineLevel="0" collapsed="false">
      <c r="A542" s="638"/>
    </row>
    <row r="543" customFormat="false" ht="15.75" hidden="false" customHeight="true" outlineLevel="0" collapsed="false">
      <c r="A543" s="638"/>
    </row>
    <row r="544" customFormat="false" ht="15.75" hidden="false" customHeight="true" outlineLevel="0" collapsed="false">
      <c r="A544" s="638"/>
    </row>
    <row r="545" customFormat="false" ht="15.75" hidden="false" customHeight="true" outlineLevel="0" collapsed="false">
      <c r="A545" s="638"/>
    </row>
    <row r="546" customFormat="false" ht="15.75" hidden="false" customHeight="true" outlineLevel="0" collapsed="false">
      <c r="A546" s="638"/>
    </row>
    <row r="547" customFormat="false" ht="15.75" hidden="false" customHeight="true" outlineLevel="0" collapsed="false">
      <c r="A547" s="638"/>
    </row>
    <row r="548" customFormat="false" ht="15.75" hidden="false" customHeight="true" outlineLevel="0" collapsed="false">
      <c r="A548" s="638"/>
    </row>
    <row r="549" customFormat="false" ht="15.75" hidden="false" customHeight="true" outlineLevel="0" collapsed="false">
      <c r="A549" s="638"/>
    </row>
    <row r="550" customFormat="false" ht="15.75" hidden="false" customHeight="true" outlineLevel="0" collapsed="false">
      <c r="A550" s="638"/>
    </row>
    <row r="551" customFormat="false" ht="15.75" hidden="false" customHeight="true" outlineLevel="0" collapsed="false">
      <c r="A551" s="638"/>
    </row>
    <row r="552" customFormat="false" ht="15.75" hidden="false" customHeight="true" outlineLevel="0" collapsed="false">
      <c r="A552" s="638"/>
    </row>
    <row r="553" customFormat="false" ht="15.75" hidden="false" customHeight="true" outlineLevel="0" collapsed="false">
      <c r="A553" s="638"/>
    </row>
    <row r="554" customFormat="false" ht="15.75" hidden="false" customHeight="true" outlineLevel="0" collapsed="false">
      <c r="A554" s="638"/>
    </row>
    <row r="555" customFormat="false" ht="15.75" hidden="false" customHeight="true" outlineLevel="0" collapsed="false">
      <c r="A555" s="638"/>
    </row>
    <row r="556" customFormat="false" ht="15.75" hidden="false" customHeight="true" outlineLevel="0" collapsed="false">
      <c r="A556" s="638"/>
    </row>
    <row r="557" customFormat="false" ht="15.75" hidden="false" customHeight="true" outlineLevel="0" collapsed="false">
      <c r="A557" s="638"/>
    </row>
    <row r="558" customFormat="false" ht="15.75" hidden="false" customHeight="true" outlineLevel="0" collapsed="false">
      <c r="A558" s="638"/>
    </row>
    <row r="559" customFormat="false" ht="15.75" hidden="false" customHeight="true" outlineLevel="0" collapsed="false">
      <c r="A559" s="638"/>
    </row>
    <row r="560" customFormat="false" ht="15.75" hidden="false" customHeight="true" outlineLevel="0" collapsed="false">
      <c r="A560" s="638"/>
    </row>
    <row r="561" customFormat="false" ht="15.75" hidden="false" customHeight="true" outlineLevel="0" collapsed="false">
      <c r="A561" s="638"/>
    </row>
    <row r="562" customFormat="false" ht="15.75" hidden="false" customHeight="true" outlineLevel="0" collapsed="false">
      <c r="A562" s="638"/>
    </row>
    <row r="563" customFormat="false" ht="15.75" hidden="false" customHeight="true" outlineLevel="0" collapsed="false">
      <c r="A563" s="638"/>
    </row>
    <row r="564" customFormat="false" ht="15.75" hidden="false" customHeight="true" outlineLevel="0" collapsed="false">
      <c r="A564" s="638"/>
    </row>
    <row r="565" customFormat="false" ht="15.75" hidden="false" customHeight="true" outlineLevel="0" collapsed="false">
      <c r="A565" s="638"/>
    </row>
    <row r="566" customFormat="false" ht="15.75" hidden="false" customHeight="true" outlineLevel="0" collapsed="false">
      <c r="A566" s="638"/>
    </row>
    <row r="567" customFormat="false" ht="15.75" hidden="false" customHeight="true" outlineLevel="0" collapsed="false">
      <c r="A567" s="638"/>
    </row>
    <row r="568" customFormat="false" ht="15.75" hidden="false" customHeight="true" outlineLevel="0" collapsed="false">
      <c r="A568" s="638"/>
    </row>
    <row r="569" customFormat="false" ht="15.75" hidden="false" customHeight="true" outlineLevel="0" collapsed="false">
      <c r="A569" s="638"/>
    </row>
    <row r="570" customFormat="false" ht="15.75" hidden="false" customHeight="true" outlineLevel="0" collapsed="false">
      <c r="A570" s="638"/>
    </row>
    <row r="571" customFormat="false" ht="15.75" hidden="false" customHeight="true" outlineLevel="0" collapsed="false">
      <c r="A571" s="638"/>
    </row>
    <row r="572" customFormat="false" ht="15.75" hidden="false" customHeight="true" outlineLevel="0" collapsed="false">
      <c r="A572" s="638"/>
    </row>
    <row r="573" customFormat="false" ht="15.75" hidden="false" customHeight="true" outlineLevel="0" collapsed="false">
      <c r="A573" s="638"/>
    </row>
    <row r="574" customFormat="false" ht="15.75" hidden="false" customHeight="true" outlineLevel="0" collapsed="false">
      <c r="A574" s="638"/>
    </row>
    <row r="575" customFormat="false" ht="15.75" hidden="false" customHeight="true" outlineLevel="0" collapsed="false">
      <c r="A575" s="638"/>
    </row>
    <row r="576" customFormat="false" ht="15.75" hidden="false" customHeight="true" outlineLevel="0" collapsed="false">
      <c r="A576" s="638"/>
    </row>
    <row r="577" customFormat="false" ht="15.75" hidden="false" customHeight="true" outlineLevel="0" collapsed="false">
      <c r="A577" s="638"/>
    </row>
    <row r="578" customFormat="false" ht="15.75" hidden="false" customHeight="true" outlineLevel="0" collapsed="false">
      <c r="A578" s="638"/>
    </row>
    <row r="579" customFormat="false" ht="15.75" hidden="false" customHeight="true" outlineLevel="0" collapsed="false">
      <c r="A579" s="638"/>
    </row>
    <row r="580" customFormat="false" ht="15.75" hidden="false" customHeight="true" outlineLevel="0" collapsed="false">
      <c r="A580" s="638"/>
    </row>
    <row r="581" customFormat="false" ht="15.75" hidden="false" customHeight="true" outlineLevel="0" collapsed="false">
      <c r="A581" s="638"/>
    </row>
    <row r="582" customFormat="false" ht="15.75" hidden="false" customHeight="true" outlineLevel="0" collapsed="false">
      <c r="A582" s="638"/>
    </row>
    <row r="583" customFormat="false" ht="15.75" hidden="false" customHeight="true" outlineLevel="0" collapsed="false">
      <c r="A583" s="638"/>
    </row>
    <row r="584" customFormat="false" ht="15.75" hidden="false" customHeight="true" outlineLevel="0" collapsed="false">
      <c r="A584" s="638"/>
    </row>
    <row r="585" customFormat="false" ht="15.75" hidden="false" customHeight="true" outlineLevel="0" collapsed="false">
      <c r="A585" s="638"/>
    </row>
    <row r="586" customFormat="false" ht="15.75" hidden="false" customHeight="true" outlineLevel="0" collapsed="false">
      <c r="A586" s="638"/>
    </row>
    <row r="587" customFormat="false" ht="15.75" hidden="false" customHeight="true" outlineLevel="0" collapsed="false">
      <c r="A587" s="638"/>
    </row>
    <row r="588" customFormat="false" ht="15.75" hidden="false" customHeight="true" outlineLevel="0" collapsed="false">
      <c r="A588" s="638"/>
    </row>
    <row r="589" customFormat="false" ht="15.75" hidden="false" customHeight="true" outlineLevel="0" collapsed="false">
      <c r="A589" s="638"/>
    </row>
    <row r="590" customFormat="false" ht="15.75" hidden="false" customHeight="true" outlineLevel="0" collapsed="false">
      <c r="A590" s="638"/>
    </row>
    <row r="591" customFormat="false" ht="15.75" hidden="false" customHeight="true" outlineLevel="0" collapsed="false">
      <c r="A591" s="638"/>
    </row>
    <row r="592" customFormat="false" ht="15.75" hidden="false" customHeight="true" outlineLevel="0" collapsed="false">
      <c r="A592" s="638"/>
    </row>
    <row r="593" customFormat="false" ht="15.75" hidden="false" customHeight="true" outlineLevel="0" collapsed="false">
      <c r="A593" s="638"/>
    </row>
    <row r="594" customFormat="false" ht="15.75" hidden="false" customHeight="true" outlineLevel="0" collapsed="false">
      <c r="A594" s="638"/>
    </row>
    <row r="595" customFormat="false" ht="15.75" hidden="false" customHeight="true" outlineLevel="0" collapsed="false">
      <c r="A595" s="638"/>
    </row>
    <row r="596" customFormat="false" ht="15.75" hidden="false" customHeight="true" outlineLevel="0" collapsed="false">
      <c r="A596" s="638"/>
    </row>
    <row r="597" customFormat="false" ht="15.75" hidden="false" customHeight="true" outlineLevel="0" collapsed="false">
      <c r="A597" s="638"/>
    </row>
    <row r="598" customFormat="false" ht="15.75" hidden="false" customHeight="true" outlineLevel="0" collapsed="false">
      <c r="A598" s="638"/>
    </row>
    <row r="599" customFormat="false" ht="15.75" hidden="false" customHeight="true" outlineLevel="0" collapsed="false">
      <c r="A599" s="638"/>
    </row>
    <row r="600" customFormat="false" ht="15.75" hidden="false" customHeight="true" outlineLevel="0" collapsed="false">
      <c r="A600" s="638"/>
    </row>
    <row r="601" customFormat="false" ht="15.75" hidden="false" customHeight="true" outlineLevel="0" collapsed="false">
      <c r="A601" s="638"/>
    </row>
    <row r="602" customFormat="false" ht="15.75" hidden="false" customHeight="true" outlineLevel="0" collapsed="false">
      <c r="A602" s="638"/>
    </row>
    <row r="603" customFormat="false" ht="15.75" hidden="false" customHeight="true" outlineLevel="0" collapsed="false">
      <c r="A603" s="638"/>
    </row>
    <row r="604" customFormat="false" ht="15.75" hidden="false" customHeight="true" outlineLevel="0" collapsed="false">
      <c r="A604" s="638"/>
    </row>
    <row r="605" customFormat="false" ht="15.75" hidden="false" customHeight="true" outlineLevel="0" collapsed="false">
      <c r="A605" s="638"/>
    </row>
    <row r="606" customFormat="false" ht="15.75" hidden="false" customHeight="true" outlineLevel="0" collapsed="false">
      <c r="A606" s="638"/>
    </row>
    <row r="607" customFormat="false" ht="15.75" hidden="false" customHeight="true" outlineLevel="0" collapsed="false">
      <c r="A607" s="638"/>
    </row>
    <row r="608" customFormat="false" ht="15.75" hidden="false" customHeight="true" outlineLevel="0" collapsed="false">
      <c r="A608" s="638"/>
    </row>
    <row r="609" customFormat="false" ht="15.75" hidden="false" customHeight="true" outlineLevel="0" collapsed="false">
      <c r="A609" s="638"/>
    </row>
    <row r="610" customFormat="false" ht="15.75" hidden="false" customHeight="true" outlineLevel="0" collapsed="false">
      <c r="A610" s="638"/>
    </row>
    <row r="611" customFormat="false" ht="15.75" hidden="false" customHeight="true" outlineLevel="0" collapsed="false">
      <c r="A611" s="638"/>
    </row>
    <row r="612" customFormat="false" ht="15.75" hidden="false" customHeight="true" outlineLevel="0" collapsed="false">
      <c r="A612" s="638"/>
    </row>
    <row r="613" customFormat="false" ht="15.75" hidden="false" customHeight="true" outlineLevel="0" collapsed="false">
      <c r="A613" s="638"/>
    </row>
    <row r="614" customFormat="false" ht="15.75" hidden="false" customHeight="true" outlineLevel="0" collapsed="false">
      <c r="A614" s="638"/>
    </row>
    <row r="615" customFormat="false" ht="15.75" hidden="false" customHeight="true" outlineLevel="0" collapsed="false">
      <c r="A615" s="638"/>
    </row>
    <row r="616" customFormat="false" ht="15.75" hidden="false" customHeight="true" outlineLevel="0" collapsed="false">
      <c r="A616" s="638"/>
    </row>
    <row r="617" customFormat="false" ht="15.75" hidden="false" customHeight="true" outlineLevel="0" collapsed="false">
      <c r="A617" s="638"/>
    </row>
    <row r="618" customFormat="false" ht="15.75" hidden="false" customHeight="true" outlineLevel="0" collapsed="false">
      <c r="A618" s="638"/>
    </row>
    <row r="619" customFormat="false" ht="15.75" hidden="false" customHeight="true" outlineLevel="0" collapsed="false">
      <c r="A619" s="638"/>
    </row>
    <row r="620" customFormat="false" ht="15.75" hidden="false" customHeight="true" outlineLevel="0" collapsed="false">
      <c r="A620" s="638"/>
    </row>
    <row r="621" customFormat="false" ht="15.75" hidden="false" customHeight="true" outlineLevel="0" collapsed="false">
      <c r="A621" s="638"/>
    </row>
    <row r="622" customFormat="false" ht="15.75" hidden="false" customHeight="true" outlineLevel="0" collapsed="false">
      <c r="A622" s="638"/>
    </row>
    <row r="623" customFormat="false" ht="15.75" hidden="false" customHeight="true" outlineLevel="0" collapsed="false">
      <c r="A623" s="638"/>
    </row>
    <row r="624" customFormat="false" ht="15.75" hidden="false" customHeight="true" outlineLevel="0" collapsed="false">
      <c r="A624" s="638"/>
    </row>
    <row r="625" customFormat="false" ht="15.75" hidden="false" customHeight="true" outlineLevel="0" collapsed="false">
      <c r="A625" s="638"/>
    </row>
    <row r="626" customFormat="false" ht="15.75" hidden="false" customHeight="true" outlineLevel="0" collapsed="false">
      <c r="A626" s="638"/>
    </row>
    <row r="627" customFormat="false" ht="15.75" hidden="false" customHeight="true" outlineLevel="0" collapsed="false">
      <c r="A627" s="638"/>
    </row>
    <row r="628" customFormat="false" ht="15.75" hidden="false" customHeight="true" outlineLevel="0" collapsed="false">
      <c r="A628" s="638"/>
    </row>
    <row r="629" customFormat="false" ht="15.75" hidden="false" customHeight="true" outlineLevel="0" collapsed="false">
      <c r="A629" s="638"/>
    </row>
    <row r="630" customFormat="false" ht="15.75" hidden="false" customHeight="true" outlineLevel="0" collapsed="false">
      <c r="A630" s="638"/>
    </row>
    <row r="631" customFormat="false" ht="15.75" hidden="false" customHeight="true" outlineLevel="0" collapsed="false">
      <c r="A631" s="638"/>
    </row>
    <row r="632" customFormat="false" ht="15.75" hidden="false" customHeight="true" outlineLevel="0" collapsed="false">
      <c r="A632" s="638"/>
    </row>
    <row r="633" customFormat="false" ht="15.75" hidden="false" customHeight="true" outlineLevel="0" collapsed="false">
      <c r="A633" s="638"/>
    </row>
    <row r="634" customFormat="false" ht="15.75" hidden="false" customHeight="true" outlineLevel="0" collapsed="false">
      <c r="A634" s="638"/>
    </row>
    <row r="635" customFormat="false" ht="15.75" hidden="false" customHeight="true" outlineLevel="0" collapsed="false">
      <c r="A635" s="638"/>
    </row>
    <row r="636" customFormat="false" ht="15.75" hidden="false" customHeight="true" outlineLevel="0" collapsed="false">
      <c r="A636" s="638"/>
    </row>
    <row r="637" customFormat="false" ht="15.75" hidden="false" customHeight="true" outlineLevel="0" collapsed="false">
      <c r="A637" s="638"/>
    </row>
    <row r="638" customFormat="false" ht="15.75" hidden="false" customHeight="true" outlineLevel="0" collapsed="false">
      <c r="A638" s="638"/>
    </row>
    <row r="639" customFormat="false" ht="15.75" hidden="false" customHeight="true" outlineLevel="0" collapsed="false">
      <c r="A639" s="638"/>
    </row>
    <row r="640" customFormat="false" ht="15.75" hidden="false" customHeight="true" outlineLevel="0" collapsed="false">
      <c r="A640" s="638"/>
    </row>
    <row r="641" customFormat="false" ht="15.75" hidden="false" customHeight="true" outlineLevel="0" collapsed="false">
      <c r="A641" s="638"/>
    </row>
    <row r="642" customFormat="false" ht="15.75" hidden="false" customHeight="true" outlineLevel="0" collapsed="false">
      <c r="A642" s="638"/>
    </row>
    <row r="643" customFormat="false" ht="15.75" hidden="false" customHeight="true" outlineLevel="0" collapsed="false">
      <c r="A643" s="638"/>
    </row>
    <row r="644" customFormat="false" ht="15.75" hidden="false" customHeight="true" outlineLevel="0" collapsed="false">
      <c r="A644" s="638"/>
    </row>
    <row r="645" customFormat="false" ht="15.75" hidden="false" customHeight="true" outlineLevel="0" collapsed="false">
      <c r="A645" s="638"/>
    </row>
    <row r="646" customFormat="false" ht="15.75" hidden="false" customHeight="true" outlineLevel="0" collapsed="false">
      <c r="A646" s="638"/>
    </row>
    <row r="647" customFormat="false" ht="15.75" hidden="false" customHeight="true" outlineLevel="0" collapsed="false">
      <c r="A647" s="638"/>
    </row>
    <row r="648" customFormat="false" ht="15.75" hidden="false" customHeight="true" outlineLevel="0" collapsed="false">
      <c r="A648" s="638"/>
    </row>
    <row r="649" customFormat="false" ht="15.75" hidden="false" customHeight="true" outlineLevel="0" collapsed="false">
      <c r="A649" s="638"/>
    </row>
    <row r="650" customFormat="false" ht="15.75" hidden="false" customHeight="true" outlineLevel="0" collapsed="false">
      <c r="A650" s="638"/>
    </row>
    <row r="651" customFormat="false" ht="15.75" hidden="false" customHeight="true" outlineLevel="0" collapsed="false">
      <c r="A651" s="638"/>
    </row>
    <row r="652" customFormat="false" ht="15.75" hidden="false" customHeight="true" outlineLevel="0" collapsed="false">
      <c r="A652" s="638"/>
    </row>
    <row r="653" customFormat="false" ht="15.75" hidden="false" customHeight="true" outlineLevel="0" collapsed="false">
      <c r="A653" s="638"/>
    </row>
    <row r="654" customFormat="false" ht="15.75" hidden="false" customHeight="true" outlineLevel="0" collapsed="false">
      <c r="A654" s="638"/>
    </row>
    <row r="655" customFormat="false" ht="15.75" hidden="false" customHeight="true" outlineLevel="0" collapsed="false">
      <c r="A655" s="638"/>
    </row>
    <row r="656" customFormat="false" ht="15.75" hidden="false" customHeight="true" outlineLevel="0" collapsed="false">
      <c r="A656" s="638"/>
    </row>
    <row r="657" customFormat="false" ht="15.75" hidden="false" customHeight="true" outlineLevel="0" collapsed="false">
      <c r="A657" s="638"/>
    </row>
    <row r="658" customFormat="false" ht="15.75" hidden="false" customHeight="true" outlineLevel="0" collapsed="false">
      <c r="A658" s="638"/>
    </row>
    <row r="659" customFormat="false" ht="15.75" hidden="false" customHeight="true" outlineLevel="0" collapsed="false">
      <c r="A659" s="638"/>
    </row>
    <row r="660" customFormat="false" ht="15.75" hidden="false" customHeight="true" outlineLevel="0" collapsed="false">
      <c r="A660" s="638"/>
    </row>
    <row r="661" customFormat="false" ht="15.75" hidden="false" customHeight="true" outlineLevel="0" collapsed="false">
      <c r="A661" s="638"/>
    </row>
    <row r="662" customFormat="false" ht="15.75" hidden="false" customHeight="true" outlineLevel="0" collapsed="false">
      <c r="A662" s="638"/>
    </row>
    <row r="663" customFormat="false" ht="15.75" hidden="false" customHeight="true" outlineLevel="0" collapsed="false">
      <c r="A663" s="638"/>
    </row>
    <row r="664" customFormat="false" ht="15.75" hidden="false" customHeight="true" outlineLevel="0" collapsed="false">
      <c r="A664" s="638"/>
    </row>
    <row r="665" customFormat="false" ht="15.75" hidden="false" customHeight="true" outlineLevel="0" collapsed="false">
      <c r="A665" s="638"/>
    </row>
    <row r="666" customFormat="false" ht="15.75" hidden="false" customHeight="true" outlineLevel="0" collapsed="false">
      <c r="A666" s="638"/>
    </row>
    <row r="667" customFormat="false" ht="15.75" hidden="false" customHeight="true" outlineLevel="0" collapsed="false">
      <c r="A667" s="638"/>
    </row>
    <row r="668" customFormat="false" ht="15.75" hidden="false" customHeight="true" outlineLevel="0" collapsed="false">
      <c r="A668" s="638"/>
    </row>
    <row r="669" customFormat="false" ht="15.75" hidden="false" customHeight="true" outlineLevel="0" collapsed="false">
      <c r="A669" s="638"/>
    </row>
    <row r="670" customFormat="false" ht="15.75" hidden="false" customHeight="true" outlineLevel="0" collapsed="false">
      <c r="A670" s="638"/>
    </row>
    <row r="671" customFormat="false" ht="15.75" hidden="false" customHeight="true" outlineLevel="0" collapsed="false">
      <c r="A671" s="638"/>
    </row>
    <row r="672" customFormat="false" ht="15.75" hidden="false" customHeight="true" outlineLevel="0" collapsed="false">
      <c r="A672" s="638"/>
    </row>
    <row r="673" customFormat="false" ht="15.75" hidden="false" customHeight="true" outlineLevel="0" collapsed="false">
      <c r="A673" s="638"/>
    </row>
    <row r="674" customFormat="false" ht="15.75" hidden="false" customHeight="true" outlineLevel="0" collapsed="false">
      <c r="A674" s="638"/>
    </row>
    <row r="675" customFormat="false" ht="15.75" hidden="false" customHeight="true" outlineLevel="0" collapsed="false">
      <c r="A675" s="638"/>
    </row>
    <row r="676" customFormat="false" ht="15.75" hidden="false" customHeight="true" outlineLevel="0" collapsed="false">
      <c r="A676" s="638"/>
    </row>
    <row r="677" customFormat="false" ht="15.75" hidden="false" customHeight="true" outlineLevel="0" collapsed="false">
      <c r="A677" s="638"/>
    </row>
    <row r="678" customFormat="false" ht="15.75" hidden="false" customHeight="true" outlineLevel="0" collapsed="false">
      <c r="A678" s="638"/>
    </row>
    <row r="679" customFormat="false" ht="15.75" hidden="false" customHeight="true" outlineLevel="0" collapsed="false">
      <c r="A679" s="638"/>
    </row>
    <row r="680" customFormat="false" ht="15.75" hidden="false" customHeight="true" outlineLevel="0" collapsed="false">
      <c r="A680" s="638"/>
    </row>
    <row r="681" customFormat="false" ht="15.75" hidden="false" customHeight="true" outlineLevel="0" collapsed="false">
      <c r="A681" s="638"/>
    </row>
    <row r="682" customFormat="false" ht="15.75" hidden="false" customHeight="true" outlineLevel="0" collapsed="false">
      <c r="A682" s="638"/>
    </row>
    <row r="683" customFormat="false" ht="15.75" hidden="false" customHeight="true" outlineLevel="0" collapsed="false">
      <c r="A683" s="638"/>
    </row>
    <row r="684" customFormat="false" ht="15.75" hidden="false" customHeight="true" outlineLevel="0" collapsed="false">
      <c r="A684" s="638"/>
    </row>
    <row r="685" customFormat="false" ht="15.75" hidden="false" customHeight="true" outlineLevel="0" collapsed="false">
      <c r="A685" s="638"/>
    </row>
    <row r="686" customFormat="false" ht="15.75" hidden="false" customHeight="true" outlineLevel="0" collapsed="false">
      <c r="A686" s="638"/>
    </row>
    <row r="687" customFormat="false" ht="15.75" hidden="false" customHeight="true" outlineLevel="0" collapsed="false">
      <c r="A687" s="638"/>
    </row>
    <row r="688" customFormat="false" ht="15.75" hidden="false" customHeight="true" outlineLevel="0" collapsed="false">
      <c r="A688" s="638"/>
    </row>
    <row r="689" customFormat="false" ht="15.75" hidden="false" customHeight="true" outlineLevel="0" collapsed="false">
      <c r="A689" s="638"/>
    </row>
    <row r="690" customFormat="false" ht="15.75" hidden="false" customHeight="true" outlineLevel="0" collapsed="false">
      <c r="A690" s="638"/>
    </row>
    <row r="691" customFormat="false" ht="15.75" hidden="false" customHeight="true" outlineLevel="0" collapsed="false">
      <c r="A691" s="638"/>
    </row>
    <row r="692" customFormat="false" ht="15.75" hidden="false" customHeight="true" outlineLevel="0" collapsed="false">
      <c r="A692" s="638"/>
    </row>
    <row r="693" customFormat="false" ht="15.75" hidden="false" customHeight="true" outlineLevel="0" collapsed="false">
      <c r="A693" s="638"/>
    </row>
    <row r="694" customFormat="false" ht="15.75" hidden="false" customHeight="true" outlineLevel="0" collapsed="false">
      <c r="A694" s="638"/>
    </row>
    <row r="695" customFormat="false" ht="15.75" hidden="false" customHeight="true" outlineLevel="0" collapsed="false">
      <c r="A695" s="638"/>
    </row>
    <row r="696" customFormat="false" ht="15.75" hidden="false" customHeight="true" outlineLevel="0" collapsed="false">
      <c r="A696" s="638"/>
    </row>
    <row r="697" customFormat="false" ht="15.75" hidden="false" customHeight="true" outlineLevel="0" collapsed="false">
      <c r="A697" s="638"/>
    </row>
    <row r="698" customFormat="false" ht="15.75" hidden="false" customHeight="true" outlineLevel="0" collapsed="false">
      <c r="A698" s="638"/>
    </row>
    <row r="699" customFormat="false" ht="15.75" hidden="false" customHeight="true" outlineLevel="0" collapsed="false">
      <c r="A699" s="638"/>
    </row>
    <row r="700" customFormat="false" ht="15.75" hidden="false" customHeight="true" outlineLevel="0" collapsed="false">
      <c r="A700" s="638"/>
    </row>
    <row r="701" customFormat="false" ht="15.75" hidden="false" customHeight="true" outlineLevel="0" collapsed="false">
      <c r="A701" s="638"/>
    </row>
    <row r="702" customFormat="false" ht="15.75" hidden="false" customHeight="true" outlineLevel="0" collapsed="false">
      <c r="A702" s="638"/>
    </row>
    <row r="703" customFormat="false" ht="15.75" hidden="false" customHeight="true" outlineLevel="0" collapsed="false">
      <c r="A703" s="638"/>
    </row>
    <row r="704" customFormat="false" ht="15.75" hidden="false" customHeight="true" outlineLevel="0" collapsed="false">
      <c r="A704" s="638"/>
    </row>
    <row r="705" customFormat="false" ht="15.75" hidden="false" customHeight="true" outlineLevel="0" collapsed="false">
      <c r="A705" s="638"/>
    </row>
    <row r="706" customFormat="false" ht="15.75" hidden="false" customHeight="true" outlineLevel="0" collapsed="false">
      <c r="A706" s="638"/>
    </row>
    <row r="707" customFormat="false" ht="15.75" hidden="false" customHeight="true" outlineLevel="0" collapsed="false">
      <c r="A707" s="638"/>
    </row>
    <row r="708" customFormat="false" ht="15.75" hidden="false" customHeight="true" outlineLevel="0" collapsed="false">
      <c r="A708" s="638"/>
    </row>
    <row r="709" customFormat="false" ht="15.75" hidden="false" customHeight="true" outlineLevel="0" collapsed="false">
      <c r="A709" s="638"/>
    </row>
    <row r="710" customFormat="false" ht="15.75" hidden="false" customHeight="true" outlineLevel="0" collapsed="false">
      <c r="A710" s="638"/>
    </row>
    <row r="711" customFormat="false" ht="15.75" hidden="false" customHeight="true" outlineLevel="0" collapsed="false">
      <c r="A711" s="638"/>
    </row>
    <row r="712" customFormat="false" ht="15.75" hidden="false" customHeight="true" outlineLevel="0" collapsed="false">
      <c r="A712" s="638"/>
    </row>
    <row r="713" customFormat="false" ht="15.75" hidden="false" customHeight="true" outlineLevel="0" collapsed="false">
      <c r="A713" s="638"/>
    </row>
    <row r="714" customFormat="false" ht="15.75" hidden="false" customHeight="true" outlineLevel="0" collapsed="false">
      <c r="A714" s="638"/>
    </row>
    <row r="715" customFormat="false" ht="15.75" hidden="false" customHeight="true" outlineLevel="0" collapsed="false">
      <c r="A715" s="638"/>
    </row>
    <row r="716" customFormat="false" ht="15.75" hidden="false" customHeight="true" outlineLevel="0" collapsed="false">
      <c r="A716" s="638"/>
    </row>
    <row r="717" customFormat="false" ht="15.75" hidden="false" customHeight="true" outlineLevel="0" collapsed="false">
      <c r="A717" s="638"/>
    </row>
    <row r="718" customFormat="false" ht="15.75" hidden="false" customHeight="true" outlineLevel="0" collapsed="false">
      <c r="A718" s="638"/>
    </row>
    <row r="719" customFormat="false" ht="15.75" hidden="false" customHeight="true" outlineLevel="0" collapsed="false">
      <c r="A719" s="638"/>
    </row>
    <row r="720" customFormat="false" ht="15.75" hidden="false" customHeight="true" outlineLevel="0" collapsed="false">
      <c r="A720" s="638"/>
    </row>
    <row r="721" customFormat="false" ht="15.75" hidden="false" customHeight="true" outlineLevel="0" collapsed="false">
      <c r="A721" s="638"/>
    </row>
    <row r="722" customFormat="false" ht="15.75" hidden="false" customHeight="true" outlineLevel="0" collapsed="false">
      <c r="A722" s="638"/>
    </row>
    <row r="723" customFormat="false" ht="15.75" hidden="false" customHeight="true" outlineLevel="0" collapsed="false">
      <c r="A723" s="638"/>
    </row>
    <row r="724" customFormat="false" ht="15.75" hidden="false" customHeight="true" outlineLevel="0" collapsed="false">
      <c r="A724" s="638"/>
    </row>
    <row r="725" customFormat="false" ht="15.75" hidden="false" customHeight="true" outlineLevel="0" collapsed="false">
      <c r="A725" s="638"/>
    </row>
    <row r="726" customFormat="false" ht="15.75" hidden="false" customHeight="true" outlineLevel="0" collapsed="false">
      <c r="A726" s="638"/>
    </row>
    <row r="727" customFormat="false" ht="15.75" hidden="false" customHeight="true" outlineLevel="0" collapsed="false">
      <c r="A727" s="638"/>
    </row>
    <row r="728" customFormat="false" ht="15.75" hidden="false" customHeight="true" outlineLevel="0" collapsed="false">
      <c r="A728" s="638"/>
    </row>
    <row r="729" customFormat="false" ht="15.75" hidden="false" customHeight="true" outlineLevel="0" collapsed="false">
      <c r="A729" s="638"/>
    </row>
    <row r="730" customFormat="false" ht="15.75" hidden="false" customHeight="true" outlineLevel="0" collapsed="false">
      <c r="A730" s="638"/>
    </row>
    <row r="731" customFormat="false" ht="15.75" hidden="false" customHeight="true" outlineLevel="0" collapsed="false">
      <c r="A731" s="638"/>
    </row>
    <row r="732" customFormat="false" ht="15.75" hidden="false" customHeight="true" outlineLevel="0" collapsed="false">
      <c r="A732" s="638"/>
    </row>
    <row r="733" customFormat="false" ht="15.75" hidden="false" customHeight="true" outlineLevel="0" collapsed="false">
      <c r="A733" s="638"/>
    </row>
    <row r="734" customFormat="false" ht="15.75" hidden="false" customHeight="true" outlineLevel="0" collapsed="false">
      <c r="A734" s="638"/>
    </row>
    <row r="735" customFormat="false" ht="15.75" hidden="false" customHeight="true" outlineLevel="0" collapsed="false">
      <c r="A735" s="638"/>
    </row>
    <row r="736" customFormat="false" ht="15.75" hidden="false" customHeight="true" outlineLevel="0" collapsed="false">
      <c r="A736" s="638"/>
    </row>
    <row r="737" customFormat="false" ht="15.75" hidden="false" customHeight="true" outlineLevel="0" collapsed="false">
      <c r="A737" s="638"/>
    </row>
    <row r="738" customFormat="false" ht="15.75" hidden="false" customHeight="true" outlineLevel="0" collapsed="false">
      <c r="A738" s="638"/>
    </row>
    <row r="739" customFormat="false" ht="15.75" hidden="false" customHeight="true" outlineLevel="0" collapsed="false">
      <c r="A739" s="638"/>
    </row>
    <row r="740" customFormat="false" ht="15.75" hidden="false" customHeight="true" outlineLevel="0" collapsed="false">
      <c r="A740" s="638"/>
    </row>
    <row r="741" customFormat="false" ht="15.75" hidden="false" customHeight="true" outlineLevel="0" collapsed="false">
      <c r="A741" s="638"/>
    </row>
    <row r="742" customFormat="false" ht="15.75" hidden="false" customHeight="true" outlineLevel="0" collapsed="false">
      <c r="A742" s="638"/>
    </row>
    <row r="743" customFormat="false" ht="15.75" hidden="false" customHeight="true" outlineLevel="0" collapsed="false">
      <c r="A743" s="638"/>
    </row>
    <row r="744" customFormat="false" ht="15.75" hidden="false" customHeight="true" outlineLevel="0" collapsed="false">
      <c r="A744" s="638"/>
    </row>
    <row r="745" customFormat="false" ht="15.75" hidden="false" customHeight="true" outlineLevel="0" collapsed="false">
      <c r="A745" s="638"/>
    </row>
    <row r="746" customFormat="false" ht="15.75" hidden="false" customHeight="true" outlineLevel="0" collapsed="false">
      <c r="A746" s="638"/>
    </row>
    <row r="747" customFormat="false" ht="15.75" hidden="false" customHeight="true" outlineLevel="0" collapsed="false">
      <c r="A747" s="638"/>
    </row>
    <row r="748" customFormat="false" ht="15.75" hidden="false" customHeight="true" outlineLevel="0" collapsed="false">
      <c r="A748" s="638"/>
    </row>
    <row r="749" customFormat="false" ht="15.75" hidden="false" customHeight="true" outlineLevel="0" collapsed="false">
      <c r="A749" s="638"/>
    </row>
    <row r="750" customFormat="false" ht="15.75" hidden="false" customHeight="true" outlineLevel="0" collapsed="false">
      <c r="A750" s="638"/>
    </row>
    <row r="751" customFormat="false" ht="15.75" hidden="false" customHeight="true" outlineLevel="0" collapsed="false">
      <c r="A751" s="638"/>
    </row>
    <row r="752" customFormat="false" ht="15.75" hidden="false" customHeight="true" outlineLevel="0" collapsed="false">
      <c r="A752" s="638"/>
    </row>
    <row r="753" customFormat="false" ht="15.75" hidden="false" customHeight="true" outlineLevel="0" collapsed="false">
      <c r="A753" s="638"/>
    </row>
    <row r="754" customFormat="false" ht="15.75" hidden="false" customHeight="true" outlineLevel="0" collapsed="false">
      <c r="A754" s="638"/>
    </row>
    <row r="755" customFormat="false" ht="15.75" hidden="false" customHeight="true" outlineLevel="0" collapsed="false">
      <c r="A755" s="638"/>
    </row>
    <row r="756" customFormat="false" ht="15.75" hidden="false" customHeight="true" outlineLevel="0" collapsed="false">
      <c r="A756" s="638"/>
    </row>
    <row r="757" customFormat="false" ht="15.75" hidden="false" customHeight="true" outlineLevel="0" collapsed="false">
      <c r="A757" s="638"/>
    </row>
    <row r="758" customFormat="false" ht="15.75" hidden="false" customHeight="true" outlineLevel="0" collapsed="false">
      <c r="A758" s="638"/>
    </row>
    <row r="759" customFormat="false" ht="15.75" hidden="false" customHeight="true" outlineLevel="0" collapsed="false">
      <c r="A759" s="638"/>
    </row>
    <row r="760" customFormat="false" ht="15.75" hidden="false" customHeight="true" outlineLevel="0" collapsed="false">
      <c r="A760" s="638"/>
    </row>
    <row r="761" customFormat="false" ht="15.75" hidden="false" customHeight="true" outlineLevel="0" collapsed="false">
      <c r="A761" s="638"/>
    </row>
    <row r="762" customFormat="false" ht="15.75" hidden="false" customHeight="true" outlineLevel="0" collapsed="false">
      <c r="A762" s="638"/>
    </row>
    <row r="763" customFormat="false" ht="15.75" hidden="false" customHeight="true" outlineLevel="0" collapsed="false">
      <c r="A763" s="638"/>
    </row>
    <row r="764" customFormat="false" ht="15.75" hidden="false" customHeight="true" outlineLevel="0" collapsed="false">
      <c r="A764" s="638"/>
    </row>
    <row r="765" customFormat="false" ht="15.75" hidden="false" customHeight="true" outlineLevel="0" collapsed="false">
      <c r="A765" s="638"/>
    </row>
    <row r="766" customFormat="false" ht="15.75" hidden="false" customHeight="true" outlineLevel="0" collapsed="false">
      <c r="A766" s="638"/>
    </row>
    <row r="767" customFormat="false" ht="15.75" hidden="false" customHeight="true" outlineLevel="0" collapsed="false">
      <c r="A767" s="638"/>
    </row>
    <row r="768" customFormat="false" ht="15.75" hidden="false" customHeight="true" outlineLevel="0" collapsed="false">
      <c r="A768" s="638"/>
    </row>
    <row r="769" customFormat="false" ht="15.75" hidden="false" customHeight="true" outlineLevel="0" collapsed="false">
      <c r="A769" s="638"/>
    </row>
    <row r="770" customFormat="false" ht="15.75" hidden="false" customHeight="true" outlineLevel="0" collapsed="false">
      <c r="A770" s="638"/>
    </row>
    <row r="771" customFormat="false" ht="15.75" hidden="false" customHeight="true" outlineLevel="0" collapsed="false">
      <c r="A771" s="638"/>
    </row>
    <row r="772" customFormat="false" ht="15.75" hidden="false" customHeight="true" outlineLevel="0" collapsed="false">
      <c r="A772" s="638"/>
    </row>
    <row r="773" customFormat="false" ht="15.75" hidden="false" customHeight="true" outlineLevel="0" collapsed="false">
      <c r="A773" s="638"/>
    </row>
    <row r="774" customFormat="false" ht="15.75" hidden="false" customHeight="true" outlineLevel="0" collapsed="false">
      <c r="A774" s="638"/>
    </row>
    <row r="775" customFormat="false" ht="15.75" hidden="false" customHeight="true" outlineLevel="0" collapsed="false">
      <c r="A775" s="638"/>
    </row>
    <row r="776" customFormat="false" ht="15.75" hidden="false" customHeight="true" outlineLevel="0" collapsed="false">
      <c r="A776" s="638"/>
    </row>
    <row r="777" customFormat="false" ht="15.75" hidden="false" customHeight="true" outlineLevel="0" collapsed="false">
      <c r="A777" s="638"/>
    </row>
    <row r="778" customFormat="false" ht="15.75" hidden="false" customHeight="true" outlineLevel="0" collapsed="false">
      <c r="A778" s="638"/>
    </row>
    <row r="779" customFormat="false" ht="15.75" hidden="false" customHeight="true" outlineLevel="0" collapsed="false">
      <c r="A779" s="638"/>
    </row>
    <row r="780" customFormat="false" ht="15.75" hidden="false" customHeight="true" outlineLevel="0" collapsed="false">
      <c r="A780" s="638"/>
    </row>
    <row r="781" customFormat="false" ht="15.75" hidden="false" customHeight="true" outlineLevel="0" collapsed="false">
      <c r="A781" s="638"/>
    </row>
    <row r="782" customFormat="false" ht="15.75" hidden="false" customHeight="true" outlineLevel="0" collapsed="false">
      <c r="A782" s="638"/>
    </row>
    <row r="783" customFormat="false" ht="15.75" hidden="false" customHeight="true" outlineLevel="0" collapsed="false">
      <c r="A783" s="638"/>
    </row>
    <row r="784" customFormat="false" ht="15.75" hidden="false" customHeight="true" outlineLevel="0" collapsed="false">
      <c r="A784" s="638"/>
    </row>
    <row r="785" customFormat="false" ht="15.75" hidden="false" customHeight="true" outlineLevel="0" collapsed="false">
      <c r="A785" s="638"/>
    </row>
    <row r="786" customFormat="false" ht="15.75" hidden="false" customHeight="true" outlineLevel="0" collapsed="false">
      <c r="A786" s="638"/>
    </row>
    <row r="787" customFormat="false" ht="15.75" hidden="false" customHeight="true" outlineLevel="0" collapsed="false">
      <c r="A787" s="638"/>
    </row>
    <row r="788" customFormat="false" ht="15.75" hidden="false" customHeight="true" outlineLevel="0" collapsed="false">
      <c r="A788" s="638"/>
    </row>
    <row r="789" customFormat="false" ht="15.75" hidden="false" customHeight="true" outlineLevel="0" collapsed="false">
      <c r="A789" s="638"/>
    </row>
    <row r="790" customFormat="false" ht="15.75" hidden="false" customHeight="true" outlineLevel="0" collapsed="false">
      <c r="A790" s="638"/>
    </row>
    <row r="791" customFormat="false" ht="15.75" hidden="false" customHeight="true" outlineLevel="0" collapsed="false">
      <c r="A791" s="638"/>
    </row>
    <row r="792" customFormat="false" ht="15.75" hidden="false" customHeight="true" outlineLevel="0" collapsed="false">
      <c r="A792" s="638"/>
    </row>
    <row r="793" customFormat="false" ht="15.75" hidden="false" customHeight="true" outlineLevel="0" collapsed="false">
      <c r="A793" s="638"/>
    </row>
    <row r="794" customFormat="false" ht="15.75" hidden="false" customHeight="true" outlineLevel="0" collapsed="false">
      <c r="A794" s="638"/>
    </row>
    <row r="795" customFormat="false" ht="15.75" hidden="false" customHeight="true" outlineLevel="0" collapsed="false">
      <c r="A795" s="638"/>
    </row>
    <row r="796" customFormat="false" ht="15.75" hidden="false" customHeight="true" outlineLevel="0" collapsed="false">
      <c r="A796" s="638"/>
    </row>
    <row r="797" customFormat="false" ht="15.75" hidden="false" customHeight="true" outlineLevel="0" collapsed="false">
      <c r="A797" s="638"/>
    </row>
    <row r="798" customFormat="false" ht="15.75" hidden="false" customHeight="true" outlineLevel="0" collapsed="false">
      <c r="A798" s="638"/>
    </row>
    <row r="799" customFormat="false" ht="15.75" hidden="false" customHeight="true" outlineLevel="0" collapsed="false">
      <c r="A799" s="638"/>
    </row>
    <row r="800" customFormat="false" ht="15.75" hidden="false" customHeight="true" outlineLevel="0" collapsed="false">
      <c r="A800" s="638"/>
    </row>
    <row r="801" customFormat="false" ht="15.75" hidden="false" customHeight="true" outlineLevel="0" collapsed="false">
      <c r="A801" s="638"/>
    </row>
    <row r="802" customFormat="false" ht="15.75" hidden="false" customHeight="true" outlineLevel="0" collapsed="false">
      <c r="A802" s="638"/>
    </row>
    <row r="803" customFormat="false" ht="15.75" hidden="false" customHeight="true" outlineLevel="0" collapsed="false">
      <c r="A803" s="638"/>
    </row>
    <row r="804" customFormat="false" ht="15.75" hidden="false" customHeight="true" outlineLevel="0" collapsed="false">
      <c r="A804" s="638"/>
    </row>
    <row r="805" customFormat="false" ht="15.75" hidden="false" customHeight="true" outlineLevel="0" collapsed="false">
      <c r="A805" s="638"/>
    </row>
    <row r="806" customFormat="false" ht="15.75" hidden="false" customHeight="true" outlineLevel="0" collapsed="false">
      <c r="A806" s="638"/>
    </row>
    <row r="807" customFormat="false" ht="15.75" hidden="false" customHeight="true" outlineLevel="0" collapsed="false">
      <c r="A807" s="638"/>
    </row>
    <row r="808" customFormat="false" ht="15.75" hidden="false" customHeight="true" outlineLevel="0" collapsed="false">
      <c r="A808" s="638"/>
    </row>
    <row r="809" customFormat="false" ht="15.75" hidden="false" customHeight="true" outlineLevel="0" collapsed="false">
      <c r="A809" s="638"/>
    </row>
    <row r="810" customFormat="false" ht="15.75" hidden="false" customHeight="true" outlineLevel="0" collapsed="false">
      <c r="A810" s="638"/>
    </row>
    <row r="811" customFormat="false" ht="15.75" hidden="false" customHeight="true" outlineLevel="0" collapsed="false">
      <c r="A811" s="638"/>
    </row>
    <row r="812" customFormat="false" ht="15.75" hidden="false" customHeight="true" outlineLevel="0" collapsed="false">
      <c r="A812" s="638"/>
    </row>
    <row r="813" customFormat="false" ht="15.75" hidden="false" customHeight="true" outlineLevel="0" collapsed="false">
      <c r="A813" s="638"/>
    </row>
    <row r="814" customFormat="false" ht="15.75" hidden="false" customHeight="true" outlineLevel="0" collapsed="false">
      <c r="A814" s="638"/>
    </row>
    <row r="815" customFormat="false" ht="15.75" hidden="false" customHeight="true" outlineLevel="0" collapsed="false">
      <c r="A815" s="638"/>
    </row>
    <row r="816" customFormat="false" ht="15.75" hidden="false" customHeight="true" outlineLevel="0" collapsed="false">
      <c r="A816" s="638"/>
    </row>
    <row r="817" customFormat="false" ht="15.75" hidden="false" customHeight="true" outlineLevel="0" collapsed="false">
      <c r="A817" s="638"/>
    </row>
    <row r="818" customFormat="false" ht="15.75" hidden="false" customHeight="true" outlineLevel="0" collapsed="false">
      <c r="A818" s="638"/>
    </row>
    <row r="819" customFormat="false" ht="15.75" hidden="false" customHeight="true" outlineLevel="0" collapsed="false">
      <c r="A819" s="638"/>
    </row>
    <row r="820" customFormat="false" ht="15.75" hidden="false" customHeight="true" outlineLevel="0" collapsed="false">
      <c r="A820" s="638"/>
    </row>
    <row r="821" customFormat="false" ht="15.75" hidden="false" customHeight="true" outlineLevel="0" collapsed="false">
      <c r="A821" s="638"/>
    </row>
    <row r="822" customFormat="false" ht="15.75" hidden="false" customHeight="true" outlineLevel="0" collapsed="false">
      <c r="A822" s="638"/>
    </row>
    <row r="823" customFormat="false" ht="15.75" hidden="false" customHeight="true" outlineLevel="0" collapsed="false">
      <c r="A823" s="638"/>
    </row>
    <row r="824" customFormat="false" ht="15.75" hidden="false" customHeight="true" outlineLevel="0" collapsed="false">
      <c r="A824" s="638"/>
    </row>
    <row r="825" customFormat="false" ht="15.75" hidden="false" customHeight="true" outlineLevel="0" collapsed="false">
      <c r="A825" s="638"/>
    </row>
    <row r="826" customFormat="false" ht="15.75" hidden="false" customHeight="true" outlineLevel="0" collapsed="false">
      <c r="A826" s="638"/>
    </row>
    <row r="827" customFormat="false" ht="15.75" hidden="false" customHeight="true" outlineLevel="0" collapsed="false">
      <c r="A827" s="638"/>
    </row>
    <row r="828" customFormat="false" ht="15.75" hidden="false" customHeight="true" outlineLevel="0" collapsed="false">
      <c r="A828" s="638"/>
    </row>
    <row r="829" customFormat="false" ht="15.75" hidden="false" customHeight="true" outlineLevel="0" collapsed="false">
      <c r="A829" s="638"/>
    </row>
    <row r="830" customFormat="false" ht="15.75" hidden="false" customHeight="true" outlineLevel="0" collapsed="false">
      <c r="A830" s="638"/>
    </row>
    <row r="831" customFormat="false" ht="15.75" hidden="false" customHeight="true" outlineLevel="0" collapsed="false">
      <c r="A831" s="638"/>
    </row>
    <row r="832" customFormat="false" ht="15.75" hidden="false" customHeight="true" outlineLevel="0" collapsed="false">
      <c r="A832" s="638"/>
    </row>
    <row r="833" customFormat="false" ht="15.75" hidden="false" customHeight="true" outlineLevel="0" collapsed="false">
      <c r="A833" s="638"/>
    </row>
    <row r="834" customFormat="false" ht="15.75" hidden="false" customHeight="true" outlineLevel="0" collapsed="false">
      <c r="A834" s="638"/>
    </row>
    <row r="835" customFormat="false" ht="15.75" hidden="false" customHeight="true" outlineLevel="0" collapsed="false">
      <c r="A835" s="638"/>
    </row>
    <row r="836" customFormat="false" ht="15.75" hidden="false" customHeight="true" outlineLevel="0" collapsed="false">
      <c r="A836" s="638"/>
    </row>
    <row r="837" customFormat="false" ht="15.75" hidden="false" customHeight="true" outlineLevel="0" collapsed="false">
      <c r="A837" s="638"/>
    </row>
    <row r="838" customFormat="false" ht="15.75" hidden="false" customHeight="true" outlineLevel="0" collapsed="false">
      <c r="A838" s="638"/>
    </row>
    <row r="839" customFormat="false" ht="15.75" hidden="false" customHeight="true" outlineLevel="0" collapsed="false">
      <c r="A839" s="638"/>
    </row>
    <row r="840" customFormat="false" ht="15.75" hidden="false" customHeight="true" outlineLevel="0" collapsed="false">
      <c r="A840" s="638"/>
    </row>
    <row r="841" customFormat="false" ht="15.75" hidden="false" customHeight="true" outlineLevel="0" collapsed="false">
      <c r="A841" s="638"/>
    </row>
    <row r="842" customFormat="false" ht="15.75" hidden="false" customHeight="true" outlineLevel="0" collapsed="false">
      <c r="A842" s="638"/>
    </row>
    <row r="843" customFormat="false" ht="15.75" hidden="false" customHeight="true" outlineLevel="0" collapsed="false">
      <c r="A843" s="638"/>
    </row>
    <row r="844" customFormat="false" ht="15.75" hidden="false" customHeight="true" outlineLevel="0" collapsed="false">
      <c r="A844" s="638"/>
    </row>
    <row r="845" customFormat="false" ht="15.75" hidden="false" customHeight="true" outlineLevel="0" collapsed="false">
      <c r="A845" s="638"/>
    </row>
    <row r="846" customFormat="false" ht="15.75" hidden="false" customHeight="true" outlineLevel="0" collapsed="false">
      <c r="A846" s="638"/>
    </row>
    <row r="847" customFormat="false" ht="15.75" hidden="false" customHeight="true" outlineLevel="0" collapsed="false">
      <c r="A847" s="638"/>
    </row>
    <row r="848" customFormat="false" ht="15.75" hidden="false" customHeight="true" outlineLevel="0" collapsed="false">
      <c r="A848" s="638"/>
    </row>
    <row r="849" customFormat="false" ht="15.75" hidden="false" customHeight="true" outlineLevel="0" collapsed="false">
      <c r="A849" s="638"/>
    </row>
    <row r="850" customFormat="false" ht="15.75" hidden="false" customHeight="true" outlineLevel="0" collapsed="false">
      <c r="A850" s="638"/>
    </row>
    <row r="851" customFormat="false" ht="15.75" hidden="false" customHeight="true" outlineLevel="0" collapsed="false">
      <c r="A851" s="638"/>
    </row>
    <row r="852" customFormat="false" ht="15.75" hidden="false" customHeight="true" outlineLevel="0" collapsed="false">
      <c r="A852" s="638"/>
    </row>
    <row r="853" customFormat="false" ht="15.75" hidden="false" customHeight="true" outlineLevel="0" collapsed="false">
      <c r="A853" s="638"/>
    </row>
    <row r="854" customFormat="false" ht="15.75" hidden="false" customHeight="true" outlineLevel="0" collapsed="false">
      <c r="A854" s="638"/>
    </row>
    <row r="855" customFormat="false" ht="15.75" hidden="false" customHeight="true" outlineLevel="0" collapsed="false">
      <c r="A855" s="638"/>
    </row>
    <row r="856" customFormat="false" ht="15.75" hidden="false" customHeight="true" outlineLevel="0" collapsed="false">
      <c r="A856" s="638"/>
    </row>
    <row r="857" customFormat="false" ht="15.75" hidden="false" customHeight="true" outlineLevel="0" collapsed="false">
      <c r="A857" s="638"/>
    </row>
    <row r="858" customFormat="false" ht="15.75" hidden="false" customHeight="true" outlineLevel="0" collapsed="false">
      <c r="A858" s="638"/>
    </row>
    <row r="859" customFormat="false" ht="15.75" hidden="false" customHeight="true" outlineLevel="0" collapsed="false">
      <c r="A859" s="638"/>
    </row>
    <row r="860" customFormat="false" ht="15.75" hidden="false" customHeight="true" outlineLevel="0" collapsed="false">
      <c r="A860" s="638"/>
    </row>
    <row r="861" customFormat="false" ht="15.75" hidden="false" customHeight="true" outlineLevel="0" collapsed="false">
      <c r="A861" s="638"/>
    </row>
    <row r="862" customFormat="false" ht="15.75" hidden="false" customHeight="true" outlineLevel="0" collapsed="false">
      <c r="A862" s="638"/>
    </row>
    <row r="863" customFormat="false" ht="15.75" hidden="false" customHeight="true" outlineLevel="0" collapsed="false">
      <c r="A863" s="638"/>
    </row>
    <row r="864" customFormat="false" ht="15.75" hidden="false" customHeight="true" outlineLevel="0" collapsed="false">
      <c r="A864" s="638"/>
    </row>
    <row r="865" customFormat="false" ht="15.75" hidden="false" customHeight="true" outlineLevel="0" collapsed="false">
      <c r="A865" s="638"/>
    </row>
    <row r="866" customFormat="false" ht="15.75" hidden="false" customHeight="true" outlineLevel="0" collapsed="false">
      <c r="A866" s="638"/>
    </row>
    <row r="867" customFormat="false" ht="15.75" hidden="false" customHeight="true" outlineLevel="0" collapsed="false">
      <c r="A867" s="638"/>
    </row>
    <row r="868" customFormat="false" ht="15.75" hidden="false" customHeight="true" outlineLevel="0" collapsed="false">
      <c r="A868" s="638"/>
    </row>
    <row r="869" customFormat="false" ht="15.75" hidden="false" customHeight="true" outlineLevel="0" collapsed="false">
      <c r="A869" s="638"/>
    </row>
    <row r="870" customFormat="false" ht="15.75" hidden="false" customHeight="true" outlineLevel="0" collapsed="false">
      <c r="A870" s="638"/>
    </row>
    <row r="871" customFormat="false" ht="15.75" hidden="false" customHeight="true" outlineLevel="0" collapsed="false">
      <c r="A871" s="638"/>
    </row>
    <row r="872" customFormat="false" ht="15.75" hidden="false" customHeight="true" outlineLevel="0" collapsed="false">
      <c r="A872" s="638"/>
    </row>
    <row r="873" customFormat="false" ht="15.75" hidden="false" customHeight="true" outlineLevel="0" collapsed="false">
      <c r="A873" s="638"/>
    </row>
    <row r="874" customFormat="false" ht="15.75" hidden="false" customHeight="true" outlineLevel="0" collapsed="false">
      <c r="A874" s="638"/>
    </row>
    <row r="875" customFormat="false" ht="15.75" hidden="false" customHeight="true" outlineLevel="0" collapsed="false">
      <c r="A875" s="638"/>
    </row>
    <row r="876" customFormat="false" ht="15.75" hidden="false" customHeight="true" outlineLevel="0" collapsed="false">
      <c r="A876" s="638"/>
    </row>
    <row r="877" customFormat="false" ht="15.75" hidden="false" customHeight="true" outlineLevel="0" collapsed="false">
      <c r="A877" s="638"/>
    </row>
    <row r="878" customFormat="false" ht="15.75" hidden="false" customHeight="true" outlineLevel="0" collapsed="false">
      <c r="A878" s="638"/>
    </row>
    <row r="879" customFormat="false" ht="15.75" hidden="false" customHeight="true" outlineLevel="0" collapsed="false">
      <c r="A879" s="638"/>
    </row>
    <row r="880" customFormat="false" ht="15.75" hidden="false" customHeight="true" outlineLevel="0" collapsed="false">
      <c r="A880" s="638"/>
    </row>
    <row r="881" customFormat="false" ht="15.75" hidden="false" customHeight="true" outlineLevel="0" collapsed="false">
      <c r="A881" s="638"/>
    </row>
    <row r="882" customFormat="false" ht="15.75" hidden="false" customHeight="true" outlineLevel="0" collapsed="false">
      <c r="A882" s="638"/>
    </row>
    <row r="883" customFormat="false" ht="15.75" hidden="false" customHeight="true" outlineLevel="0" collapsed="false">
      <c r="A883" s="638"/>
    </row>
    <row r="884" customFormat="false" ht="15.75" hidden="false" customHeight="true" outlineLevel="0" collapsed="false">
      <c r="A884" s="638"/>
    </row>
    <row r="885" customFormat="false" ht="15.75" hidden="false" customHeight="true" outlineLevel="0" collapsed="false">
      <c r="A885" s="638"/>
    </row>
    <row r="886" customFormat="false" ht="15.75" hidden="false" customHeight="true" outlineLevel="0" collapsed="false">
      <c r="A886" s="638"/>
    </row>
    <row r="887" customFormat="false" ht="15.75" hidden="false" customHeight="true" outlineLevel="0" collapsed="false">
      <c r="A887" s="638"/>
    </row>
    <row r="888" customFormat="false" ht="15.75" hidden="false" customHeight="true" outlineLevel="0" collapsed="false">
      <c r="A888" s="638"/>
    </row>
    <row r="889" customFormat="false" ht="15.75" hidden="false" customHeight="true" outlineLevel="0" collapsed="false">
      <c r="A889" s="638"/>
    </row>
    <row r="890" customFormat="false" ht="15.75" hidden="false" customHeight="true" outlineLevel="0" collapsed="false">
      <c r="A890" s="638"/>
    </row>
    <row r="891" customFormat="false" ht="15.75" hidden="false" customHeight="true" outlineLevel="0" collapsed="false">
      <c r="A891" s="638"/>
    </row>
    <row r="892" customFormat="false" ht="15.75" hidden="false" customHeight="true" outlineLevel="0" collapsed="false">
      <c r="A892" s="638"/>
    </row>
    <row r="893" customFormat="false" ht="15.75" hidden="false" customHeight="true" outlineLevel="0" collapsed="false">
      <c r="A893" s="638"/>
    </row>
    <row r="894" customFormat="false" ht="15.75" hidden="false" customHeight="true" outlineLevel="0" collapsed="false">
      <c r="A894" s="638"/>
    </row>
    <row r="895" customFormat="false" ht="15.75" hidden="false" customHeight="true" outlineLevel="0" collapsed="false">
      <c r="A895" s="638"/>
    </row>
    <row r="896" customFormat="false" ht="15.75" hidden="false" customHeight="true" outlineLevel="0" collapsed="false">
      <c r="A896" s="638"/>
    </row>
    <row r="897" customFormat="false" ht="15.75" hidden="false" customHeight="true" outlineLevel="0" collapsed="false">
      <c r="A897" s="638"/>
    </row>
    <row r="898" customFormat="false" ht="15.75" hidden="false" customHeight="true" outlineLevel="0" collapsed="false">
      <c r="A898" s="638"/>
    </row>
    <row r="899" customFormat="false" ht="15.75" hidden="false" customHeight="true" outlineLevel="0" collapsed="false">
      <c r="A899" s="638"/>
    </row>
    <row r="900" customFormat="false" ht="15.75" hidden="false" customHeight="true" outlineLevel="0" collapsed="false">
      <c r="A900" s="638"/>
    </row>
    <row r="901" customFormat="false" ht="15.75" hidden="false" customHeight="true" outlineLevel="0" collapsed="false">
      <c r="A901" s="638"/>
    </row>
    <row r="902" customFormat="false" ht="15.75" hidden="false" customHeight="true" outlineLevel="0" collapsed="false">
      <c r="A902" s="638"/>
    </row>
    <row r="903" customFormat="false" ht="15.75" hidden="false" customHeight="true" outlineLevel="0" collapsed="false">
      <c r="A903" s="638"/>
    </row>
    <row r="904" customFormat="false" ht="15.75" hidden="false" customHeight="true" outlineLevel="0" collapsed="false">
      <c r="A904" s="638"/>
    </row>
    <row r="905" customFormat="false" ht="15.75" hidden="false" customHeight="true" outlineLevel="0" collapsed="false">
      <c r="A905" s="638"/>
    </row>
    <row r="906" customFormat="false" ht="15.75" hidden="false" customHeight="true" outlineLevel="0" collapsed="false">
      <c r="A906" s="638"/>
    </row>
    <row r="907" customFormat="false" ht="15.75" hidden="false" customHeight="true" outlineLevel="0" collapsed="false">
      <c r="A907" s="638"/>
    </row>
    <row r="908" customFormat="false" ht="15.75" hidden="false" customHeight="true" outlineLevel="0" collapsed="false">
      <c r="A908" s="638"/>
    </row>
    <row r="909" customFormat="false" ht="15.75" hidden="false" customHeight="true" outlineLevel="0" collapsed="false">
      <c r="A909" s="638"/>
    </row>
    <row r="910" customFormat="false" ht="15.75" hidden="false" customHeight="true" outlineLevel="0" collapsed="false">
      <c r="A910" s="638"/>
    </row>
    <row r="911" customFormat="false" ht="15.75" hidden="false" customHeight="true" outlineLevel="0" collapsed="false">
      <c r="A911" s="638"/>
    </row>
    <row r="912" customFormat="false" ht="15.75" hidden="false" customHeight="true" outlineLevel="0" collapsed="false">
      <c r="A912" s="638"/>
    </row>
    <row r="913" customFormat="false" ht="15.75" hidden="false" customHeight="true" outlineLevel="0" collapsed="false">
      <c r="A913" s="638"/>
    </row>
    <row r="914" customFormat="false" ht="15.75" hidden="false" customHeight="true" outlineLevel="0" collapsed="false">
      <c r="A914" s="638"/>
    </row>
    <row r="915" customFormat="false" ht="15.75" hidden="false" customHeight="true" outlineLevel="0" collapsed="false">
      <c r="A915" s="638"/>
    </row>
    <row r="916" customFormat="false" ht="15.75" hidden="false" customHeight="true" outlineLevel="0" collapsed="false">
      <c r="A916" s="638"/>
    </row>
    <row r="917" customFormat="false" ht="15.75" hidden="false" customHeight="true" outlineLevel="0" collapsed="false">
      <c r="A917" s="638"/>
    </row>
    <row r="918" customFormat="false" ht="15.75" hidden="false" customHeight="true" outlineLevel="0" collapsed="false">
      <c r="A918" s="638"/>
    </row>
    <row r="919" customFormat="false" ht="15.75" hidden="false" customHeight="true" outlineLevel="0" collapsed="false">
      <c r="A919" s="638"/>
    </row>
    <row r="920" customFormat="false" ht="15.75" hidden="false" customHeight="true" outlineLevel="0" collapsed="false">
      <c r="A920" s="638"/>
    </row>
    <row r="921" customFormat="false" ht="15.75" hidden="false" customHeight="true" outlineLevel="0" collapsed="false">
      <c r="A921" s="638"/>
    </row>
    <row r="922" customFormat="false" ht="15.75" hidden="false" customHeight="true" outlineLevel="0" collapsed="false">
      <c r="A922" s="638"/>
    </row>
    <row r="923" customFormat="false" ht="15.75" hidden="false" customHeight="true" outlineLevel="0" collapsed="false">
      <c r="A923" s="638"/>
    </row>
    <row r="924" customFormat="false" ht="15.75" hidden="false" customHeight="true" outlineLevel="0" collapsed="false">
      <c r="A924" s="638"/>
    </row>
  </sheetData>
  <mergeCells count="4">
    <mergeCell ref="A1:L1"/>
    <mergeCell ref="A2:L2"/>
    <mergeCell ref="A11:E11"/>
    <mergeCell ref="A16:L1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G9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20.57"/>
    <col collapsed="false" customWidth="true" hidden="true" outlineLevel="0" max="2" min="2" style="0" width="31"/>
    <col collapsed="false" customWidth="true" hidden="false" outlineLevel="0" max="3" min="3" style="0" width="31"/>
    <col collapsed="false" customWidth="true" hidden="false" outlineLevel="0" max="4" min="4" style="0" width="32.29"/>
    <col collapsed="false" customWidth="true" hidden="false" outlineLevel="0" max="5" min="5" style="0" width="32.14"/>
    <col collapsed="false" customWidth="true" hidden="false" outlineLevel="0" max="6" min="6" style="0" width="30.57"/>
    <col collapsed="false" customWidth="true" hidden="false" outlineLevel="0" max="7" min="7" style="0" width="28.43"/>
    <col collapsed="false" customWidth="true" hidden="false" outlineLevel="0" max="8" min="8" style="0" width="27.29"/>
    <col collapsed="false" customWidth="true" hidden="false" outlineLevel="0" max="9" min="9" style="0" width="38.43"/>
    <col collapsed="false" customWidth="true" hidden="false" outlineLevel="0" max="10" min="10" style="0" width="31.43"/>
    <col collapsed="false" customWidth="true" hidden="false" outlineLevel="0" max="11" min="11" style="0" width="31.15"/>
    <col collapsed="false" customWidth="true" hidden="false" outlineLevel="0" max="12" min="12" style="0" width="20.71"/>
    <col collapsed="false" customWidth="true" hidden="false" outlineLevel="0" max="13" min="13" style="0" width="31.29"/>
    <col collapsed="false" customWidth="true" hidden="false" outlineLevel="0" max="26" min="14" style="0" width="20.71"/>
    <col collapsed="false" customWidth="true" hidden="false" outlineLevel="0" max="33" min="27" style="0" width="8.71"/>
  </cols>
  <sheetData>
    <row r="1" customFormat="false" ht="15.75" hidden="false" customHeight="true" outlineLevel="0" collapsed="false">
      <c r="A1" s="672" t="s">
        <v>461</v>
      </c>
      <c r="B1" s="672"/>
      <c r="C1" s="672"/>
      <c r="D1" s="672"/>
      <c r="E1" s="672"/>
      <c r="F1" s="672"/>
      <c r="G1" s="672"/>
      <c r="H1" s="672"/>
      <c r="I1" s="673" t="s">
        <v>277</v>
      </c>
      <c r="J1" s="598"/>
      <c r="K1" s="598"/>
      <c r="L1" s="598"/>
      <c r="M1" s="641" t="s">
        <v>279</v>
      </c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customFormat="false" ht="258.75" hidden="false" customHeight="true" outlineLevel="0" collapsed="false">
      <c r="A2" s="674"/>
      <c r="B2" s="598"/>
      <c r="C2" s="598"/>
      <c r="D2" s="598"/>
      <c r="E2" s="598"/>
      <c r="F2" s="598"/>
      <c r="G2" s="598"/>
      <c r="H2" s="598"/>
      <c r="I2" s="598"/>
      <c r="J2" s="598"/>
      <c r="K2" s="598"/>
      <c r="L2" s="598"/>
      <c r="M2" s="598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</row>
    <row r="3" customFormat="false" ht="15.75" hidden="false" customHeight="true" outlineLevel="0" collapsed="false">
      <c r="A3" s="672" t="s">
        <v>666</v>
      </c>
      <c r="B3" s="641" t="s">
        <v>279</v>
      </c>
      <c r="C3" s="597" t="s">
        <v>134</v>
      </c>
      <c r="D3" s="597" t="s">
        <v>135</v>
      </c>
      <c r="E3" s="597" t="s">
        <v>136</v>
      </c>
      <c r="F3" s="597" t="s">
        <v>137</v>
      </c>
      <c r="G3" s="597" t="s">
        <v>138</v>
      </c>
      <c r="H3" s="597" t="s">
        <v>139</v>
      </c>
      <c r="I3" s="505" t="s">
        <v>277</v>
      </c>
      <c r="J3" s="675" t="s">
        <v>274</v>
      </c>
      <c r="K3" s="675" t="s">
        <v>275</v>
      </c>
      <c r="L3" s="675" t="s">
        <v>276</v>
      </c>
      <c r="M3" s="641" t="s">
        <v>279</v>
      </c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</row>
    <row r="4" customFormat="false" ht="125.25" hidden="false" customHeight="true" outlineLevel="0" collapsed="false">
      <c r="A4" s="672" t="s">
        <v>667</v>
      </c>
      <c r="B4" s="554"/>
      <c r="C4" s="554" t="s">
        <v>668</v>
      </c>
      <c r="D4" s="554" t="s">
        <v>669</v>
      </c>
      <c r="E4" s="554" t="s">
        <v>670</v>
      </c>
      <c r="F4" s="554" t="s">
        <v>671</v>
      </c>
      <c r="G4" s="554" t="s">
        <v>672</v>
      </c>
      <c r="H4" s="554" t="s">
        <v>673</v>
      </c>
      <c r="I4" s="676" t="s">
        <v>674</v>
      </c>
      <c r="J4" s="554" t="s">
        <v>675</v>
      </c>
      <c r="K4" s="554" t="s">
        <v>676</v>
      </c>
      <c r="L4" s="554" t="s">
        <v>677</v>
      </c>
      <c r="M4" s="554" t="s">
        <v>669</v>
      </c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</row>
    <row r="5" customFormat="false" ht="22.5" hidden="true" customHeight="true" outlineLevel="0" collapsed="false">
      <c r="A5" s="672" t="s">
        <v>630</v>
      </c>
      <c r="B5" s="598"/>
      <c r="C5" s="598"/>
      <c r="D5" s="598"/>
      <c r="E5" s="554"/>
      <c r="F5" s="598"/>
      <c r="G5" s="598"/>
      <c r="H5" s="598"/>
      <c r="I5" s="64"/>
      <c r="J5" s="598"/>
      <c r="K5" s="598"/>
      <c r="L5" s="598"/>
      <c r="M5" s="598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</row>
    <row r="6" customFormat="false" ht="22.5" hidden="false" customHeight="true" outlineLevel="0" collapsed="false">
      <c r="A6" s="677"/>
      <c r="B6" s="64"/>
      <c r="C6" s="64"/>
      <c r="D6" s="64"/>
      <c r="E6" s="505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</row>
    <row r="7" customFormat="false" ht="15.75" hidden="false" customHeight="true" outlineLevel="0" collapsed="false">
      <c r="A7" s="672" t="s">
        <v>462</v>
      </c>
      <c r="B7" s="672"/>
      <c r="C7" s="672"/>
      <c r="D7" s="672"/>
      <c r="E7" s="672"/>
      <c r="F7" s="672"/>
      <c r="G7" s="672"/>
      <c r="H7" s="672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</row>
    <row r="8" customFormat="false" ht="240" hidden="false" customHeight="true" outlineLevel="0" collapsed="false">
      <c r="A8" s="674"/>
      <c r="B8" s="598"/>
      <c r="C8" s="598"/>
      <c r="D8" s="598"/>
      <c r="E8" s="598"/>
      <c r="F8" s="598"/>
      <c r="G8" s="598"/>
      <c r="H8" s="598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</row>
    <row r="9" customFormat="false" ht="15.75" hidden="false" customHeight="true" outlineLevel="0" collapsed="false">
      <c r="A9" s="672" t="s">
        <v>459</v>
      </c>
      <c r="B9" s="597"/>
      <c r="C9" s="597" t="s">
        <v>140</v>
      </c>
      <c r="D9" s="597" t="s">
        <v>141</v>
      </c>
      <c r="E9" s="597" t="s">
        <v>142</v>
      </c>
      <c r="F9" s="597" t="s">
        <v>143</v>
      </c>
      <c r="G9" s="597" t="s">
        <v>144</v>
      </c>
      <c r="H9" s="597" t="s">
        <v>145</v>
      </c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</row>
    <row r="10" customFormat="false" ht="15.75" hidden="false" customHeight="true" outlineLevel="0" collapsed="false">
      <c r="A10" s="672" t="s">
        <v>667</v>
      </c>
      <c r="B10" s="554"/>
      <c r="C10" s="554" t="s">
        <v>678</v>
      </c>
      <c r="D10" s="554" t="s">
        <v>679</v>
      </c>
      <c r="E10" s="554" t="s">
        <v>680</v>
      </c>
      <c r="F10" s="554" t="s">
        <v>681</v>
      </c>
      <c r="G10" s="554" t="s">
        <v>682</v>
      </c>
      <c r="H10" s="554" t="s">
        <v>683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</row>
    <row r="11" customFormat="false" ht="15.75" hidden="true" customHeight="true" outlineLevel="0" collapsed="false">
      <c r="A11" s="672" t="s">
        <v>630</v>
      </c>
      <c r="B11" s="598"/>
      <c r="C11" s="598"/>
      <c r="D11" s="598"/>
      <c r="E11" s="598"/>
      <c r="F11" s="598"/>
      <c r="G11" s="598"/>
      <c r="H11" s="598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</row>
    <row r="12" customFormat="false" ht="15.75" hidden="false" customHeight="true" outlineLevel="0" collapsed="false">
      <c r="A12" s="63"/>
      <c r="B12" s="678"/>
      <c r="C12" s="678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</row>
    <row r="13" customFormat="false" ht="121.5" hidden="true" customHeight="true" outlineLevel="0" collapsed="false">
      <c r="A13" s="63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</row>
    <row r="14" customFormat="false" ht="15.75" hidden="true" customHeight="true" outlineLevel="0" collapsed="false">
      <c r="A14" s="63"/>
      <c r="B14" s="557"/>
      <c r="C14" s="557" t="s">
        <v>684</v>
      </c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</row>
    <row r="15" customFormat="false" ht="15.75" hidden="true" customHeight="true" outlineLevel="0" collapsed="false">
      <c r="A15" s="63"/>
      <c r="B15" s="64"/>
      <c r="C15" s="64" t="s">
        <v>685</v>
      </c>
      <c r="D15" s="64" t="s">
        <v>686</v>
      </c>
      <c r="E15" s="505" t="s">
        <v>687</v>
      </c>
      <c r="F15" s="505" t="s">
        <v>688</v>
      </c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</row>
    <row r="16" customFormat="false" ht="15.75" hidden="true" customHeight="true" outlineLevel="0" collapsed="false">
      <c r="A16" s="63"/>
      <c r="B16" s="505"/>
      <c r="C16" s="554" t="s">
        <v>689</v>
      </c>
      <c r="D16" s="554" t="s">
        <v>690</v>
      </c>
      <c r="E16" s="554" t="s">
        <v>691</v>
      </c>
      <c r="F16" s="554" t="s">
        <v>692</v>
      </c>
      <c r="G16" s="505" t="s">
        <v>693</v>
      </c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</row>
    <row r="17" customFormat="false" ht="15.75" hidden="true" customHeight="true" outlineLevel="0" collapsed="false">
      <c r="A17" s="679"/>
      <c r="B17" s="64"/>
      <c r="C17" s="64"/>
      <c r="D17" s="680" t="n">
        <v>310</v>
      </c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</row>
    <row r="18" customFormat="false" ht="15.75" hidden="true" customHeight="true" outlineLevel="0" collapsed="false">
      <c r="A18" s="63"/>
      <c r="B18" s="64"/>
      <c r="C18" s="64"/>
      <c r="D18" s="64" t="s">
        <v>694</v>
      </c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</row>
    <row r="19" customFormat="false" ht="15.75" hidden="false" customHeight="true" outlineLevel="0" collapsed="false">
      <c r="A19" s="63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</row>
    <row r="20" customFormat="false" ht="15.75" hidden="false" customHeight="true" outlineLevel="0" collapsed="false">
      <c r="A20" s="63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</row>
    <row r="21" customFormat="false" ht="15.75" hidden="false" customHeight="true" outlineLevel="0" collapsed="false">
      <c r="A21" s="63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</row>
    <row r="22" customFormat="false" ht="15.75" hidden="false" customHeight="true" outlineLevel="0" collapsed="false">
      <c r="A22" s="63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</row>
    <row r="23" customFormat="false" ht="15.75" hidden="false" customHeight="true" outlineLevel="0" collapsed="false">
      <c r="A23" s="63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</row>
    <row r="24" customFormat="false" ht="15.75" hidden="false" customHeight="true" outlineLevel="0" collapsed="false">
      <c r="A24" s="63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</row>
    <row r="25" customFormat="false" ht="15.75" hidden="false" customHeight="true" outlineLevel="0" collapsed="false">
      <c r="A25" s="63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</row>
    <row r="26" customFormat="false" ht="15.75" hidden="false" customHeight="true" outlineLevel="0" collapsed="false">
      <c r="A26" s="63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</row>
    <row r="27" customFormat="false" ht="15.75" hidden="false" customHeight="true" outlineLevel="0" collapsed="false">
      <c r="A27" s="63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</row>
    <row r="28" customFormat="false" ht="15.75" hidden="false" customHeight="true" outlineLevel="0" collapsed="false">
      <c r="A28" s="63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</row>
    <row r="29" customFormat="false" ht="15.75" hidden="false" customHeight="true" outlineLevel="0" collapsed="false">
      <c r="A29" s="63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</row>
    <row r="30" customFormat="false" ht="15.75" hidden="false" customHeight="true" outlineLevel="0" collapsed="false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</row>
    <row r="31" customFormat="false" ht="15.75" hidden="false" customHeight="true" outlineLevel="0" collapsed="false">
      <c r="A31" s="63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</row>
    <row r="32" customFormat="false" ht="15.75" hidden="false" customHeight="true" outlineLevel="0" collapsed="false">
      <c r="A32" s="63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</row>
    <row r="33" customFormat="false" ht="15.75" hidden="false" customHeight="true" outlineLevel="0" collapsed="false">
      <c r="A33" s="63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</row>
    <row r="34" customFormat="false" ht="15.75" hidden="false" customHeight="true" outlineLevel="0" collapsed="false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</row>
    <row r="35" customFormat="false" ht="15.75" hidden="false" customHeight="true" outlineLevel="0" collapsed="false">
      <c r="A35" s="63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</row>
    <row r="36" customFormat="false" ht="15.75" hidden="false" customHeight="true" outlineLevel="0" collapsed="false">
      <c r="A36" s="63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</row>
    <row r="37" customFormat="false" ht="15.75" hidden="false" customHeight="true" outlineLevel="0" collapsed="false">
      <c r="A37" s="63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</row>
    <row r="38" customFormat="false" ht="15.75" hidden="false" customHeight="true" outlineLevel="0" collapsed="false">
      <c r="A38" s="63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</row>
    <row r="39" customFormat="false" ht="15.75" hidden="false" customHeight="true" outlineLevel="0" collapsed="false">
      <c r="A39" s="63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</row>
    <row r="40" customFormat="false" ht="15.75" hidden="false" customHeight="true" outlineLevel="0" collapsed="false">
      <c r="A40" s="63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</row>
    <row r="41" customFormat="false" ht="15.75" hidden="false" customHeight="true" outlineLevel="0" collapsed="false">
      <c r="A41" s="63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</row>
    <row r="42" customFormat="false" ht="15.75" hidden="false" customHeight="true" outlineLevel="0" collapsed="false">
      <c r="A42" s="63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</row>
    <row r="43" customFormat="false" ht="15.75" hidden="false" customHeight="true" outlineLevel="0" collapsed="false">
      <c r="A43" s="63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</row>
    <row r="44" customFormat="false" ht="15.75" hidden="false" customHeight="true" outlineLevel="0" collapsed="false">
      <c r="A44" s="63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</row>
    <row r="45" customFormat="false" ht="15.75" hidden="false" customHeight="true" outlineLevel="0" collapsed="false">
      <c r="A45" s="63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</row>
    <row r="46" customFormat="false" ht="15.75" hidden="false" customHeight="true" outlineLevel="0" collapsed="false">
      <c r="A46" s="63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</row>
    <row r="47" customFormat="false" ht="15.75" hidden="false" customHeight="true" outlineLevel="0" collapsed="false">
      <c r="A47" s="63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</row>
    <row r="48" customFormat="false" ht="15.75" hidden="false" customHeight="true" outlineLevel="0" collapsed="false">
      <c r="A48" s="63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</row>
    <row r="49" customFormat="false" ht="15.75" hidden="false" customHeight="true" outlineLevel="0" collapsed="false">
      <c r="A49" s="63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</row>
    <row r="50" customFormat="false" ht="15.75" hidden="false" customHeight="true" outlineLevel="0" collapsed="false">
      <c r="A50" s="63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</row>
    <row r="51" customFormat="false" ht="15.75" hidden="false" customHeight="true" outlineLevel="0" collapsed="false">
      <c r="A51" s="63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</row>
    <row r="52" customFormat="false" ht="15.75" hidden="false" customHeight="true" outlineLevel="0" collapsed="false">
      <c r="A52" s="63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</row>
    <row r="53" customFormat="false" ht="15.75" hidden="false" customHeight="true" outlineLevel="0" collapsed="false">
      <c r="A53" s="63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</row>
    <row r="54" customFormat="false" ht="15.75" hidden="false" customHeight="true" outlineLevel="0" collapsed="false">
      <c r="A54" s="63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</row>
    <row r="55" customFormat="false" ht="15.75" hidden="false" customHeight="true" outlineLevel="0" collapsed="false">
      <c r="A55" s="63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</row>
    <row r="56" customFormat="false" ht="15.75" hidden="false" customHeight="true" outlineLevel="0" collapsed="false">
      <c r="A56" s="63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</row>
    <row r="57" customFormat="false" ht="15.75" hidden="false" customHeight="true" outlineLevel="0" collapsed="false">
      <c r="A57" s="63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</row>
    <row r="58" customFormat="false" ht="15.75" hidden="false" customHeight="true" outlineLevel="0" collapsed="false">
      <c r="A58" s="63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</row>
    <row r="59" customFormat="false" ht="15.75" hidden="false" customHeight="true" outlineLevel="0" collapsed="false">
      <c r="A59" s="63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</row>
    <row r="60" customFormat="false" ht="15.75" hidden="false" customHeight="true" outlineLevel="0" collapsed="false">
      <c r="A60" s="63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</row>
    <row r="61" customFormat="false" ht="15.75" hidden="false" customHeight="true" outlineLevel="0" collapsed="false">
      <c r="A61" s="63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</row>
    <row r="62" customFormat="false" ht="15.75" hidden="false" customHeight="true" outlineLevel="0" collapsed="false">
      <c r="A62" s="63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</row>
    <row r="63" customFormat="false" ht="15.75" hidden="false" customHeight="true" outlineLevel="0" collapsed="false">
      <c r="A63" s="63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</row>
    <row r="64" customFormat="false" ht="15.75" hidden="false" customHeight="true" outlineLevel="0" collapsed="false">
      <c r="A64" s="63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</row>
    <row r="65" customFormat="false" ht="15.75" hidden="false" customHeight="true" outlineLevel="0" collapsed="false">
      <c r="A65" s="63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</row>
    <row r="66" customFormat="false" ht="15.75" hidden="false" customHeight="true" outlineLevel="0" collapsed="false">
      <c r="A66" s="63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</row>
    <row r="67" customFormat="false" ht="15.75" hidden="false" customHeight="true" outlineLevel="0" collapsed="false">
      <c r="A67" s="63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</row>
    <row r="68" customFormat="false" ht="15.75" hidden="false" customHeight="true" outlineLevel="0" collapsed="false">
      <c r="A68" s="63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</row>
    <row r="69" customFormat="false" ht="15.75" hidden="false" customHeight="true" outlineLevel="0" collapsed="false">
      <c r="A69" s="63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</row>
    <row r="70" customFormat="false" ht="15.75" hidden="false" customHeight="true" outlineLevel="0" collapsed="false">
      <c r="A70" s="63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</row>
    <row r="71" customFormat="false" ht="15.75" hidden="false" customHeight="true" outlineLevel="0" collapsed="false">
      <c r="A71" s="63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</row>
    <row r="72" customFormat="false" ht="15.75" hidden="false" customHeight="true" outlineLevel="0" collapsed="false">
      <c r="A72" s="63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</row>
    <row r="73" customFormat="false" ht="15.75" hidden="false" customHeight="true" outlineLevel="0" collapsed="false">
      <c r="A73" s="63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</row>
    <row r="74" customFormat="false" ht="15.75" hidden="false" customHeight="true" outlineLevel="0" collapsed="false">
      <c r="A74" s="63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</row>
    <row r="75" customFormat="false" ht="15.75" hidden="false" customHeight="true" outlineLevel="0" collapsed="false">
      <c r="A75" s="63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</row>
    <row r="76" customFormat="false" ht="15.75" hidden="false" customHeight="true" outlineLevel="0" collapsed="false">
      <c r="A76" s="63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</row>
    <row r="77" customFormat="false" ht="15.75" hidden="false" customHeight="true" outlineLevel="0" collapsed="false">
      <c r="A77" s="63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</row>
    <row r="78" customFormat="false" ht="15.75" hidden="false" customHeight="true" outlineLevel="0" collapsed="false">
      <c r="A78" s="63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</row>
    <row r="79" customFormat="false" ht="15.75" hidden="false" customHeight="true" outlineLevel="0" collapsed="false">
      <c r="A79" s="63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</row>
    <row r="80" customFormat="false" ht="15.75" hidden="false" customHeight="true" outlineLevel="0" collapsed="false">
      <c r="A80" s="63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</row>
    <row r="81" customFormat="false" ht="15.75" hidden="false" customHeight="true" outlineLevel="0" collapsed="false">
      <c r="A81" s="63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</row>
    <row r="82" customFormat="false" ht="15.75" hidden="false" customHeight="true" outlineLevel="0" collapsed="false">
      <c r="A82" s="63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</row>
    <row r="83" customFormat="false" ht="15.75" hidden="false" customHeight="true" outlineLevel="0" collapsed="false">
      <c r="A83" s="63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</row>
    <row r="84" customFormat="false" ht="15.75" hidden="false" customHeight="true" outlineLevel="0" collapsed="false">
      <c r="A84" s="63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</row>
    <row r="85" customFormat="false" ht="15.75" hidden="false" customHeight="true" outlineLevel="0" collapsed="false">
      <c r="A85" s="63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</row>
    <row r="86" customFormat="false" ht="15.75" hidden="false" customHeight="true" outlineLevel="0" collapsed="false">
      <c r="A86" s="63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</row>
    <row r="87" customFormat="false" ht="15.75" hidden="false" customHeight="true" outlineLevel="0" collapsed="false">
      <c r="A87" s="63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</row>
    <row r="88" customFormat="false" ht="15.75" hidden="false" customHeight="true" outlineLevel="0" collapsed="false">
      <c r="A88" s="63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</row>
    <row r="89" customFormat="false" ht="15.75" hidden="false" customHeight="true" outlineLevel="0" collapsed="false">
      <c r="A89" s="63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</row>
    <row r="90" customFormat="false" ht="15.75" hidden="false" customHeight="true" outlineLevel="0" collapsed="false">
      <c r="A90" s="63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</row>
    <row r="91" customFormat="false" ht="15.75" hidden="false" customHeight="true" outlineLevel="0" collapsed="false">
      <c r="A91" s="63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</row>
    <row r="92" customFormat="false" ht="15.75" hidden="false" customHeight="true" outlineLevel="0" collapsed="false">
      <c r="A92" s="63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</row>
    <row r="93" customFormat="false" ht="15.75" hidden="false" customHeight="true" outlineLevel="0" collapsed="false">
      <c r="A93" s="63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</row>
    <row r="94" customFormat="false" ht="15.75" hidden="false" customHeight="true" outlineLevel="0" collapsed="false">
      <c r="A94" s="63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</row>
    <row r="95" customFormat="false" ht="15.75" hidden="false" customHeight="true" outlineLevel="0" collapsed="false">
      <c r="A95" s="63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</row>
    <row r="96" customFormat="false" ht="15.75" hidden="false" customHeight="true" outlineLevel="0" collapsed="false">
      <c r="A96" s="63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</row>
    <row r="97" customFormat="false" ht="15.75" hidden="false" customHeight="true" outlineLevel="0" collapsed="false">
      <c r="A97" s="63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</row>
    <row r="98" customFormat="false" ht="15.75" hidden="false" customHeight="true" outlineLevel="0" collapsed="false">
      <c r="A98" s="63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</row>
    <row r="99" customFormat="false" ht="15.75" hidden="false" customHeight="true" outlineLevel="0" collapsed="false">
      <c r="A99" s="63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</row>
    <row r="100" customFormat="false" ht="15.75" hidden="false" customHeight="true" outlineLevel="0" collapsed="false">
      <c r="A100" s="63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</row>
    <row r="101" customFormat="false" ht="15.75" hidden="false" customHeight="true" outlineLevel="0" collapsed="false">
      <c r="A101" s="63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</row>
    <row r="102" customFormat="false" ht="15.75" hidden="false" customHeight="true" outlineLevel="0" collapsed="false">
      <c r="A102" s="63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</row>
    <row r="103" customFormat="false" ht="15.75" hidden="false" customHeight="true" outlineLevel="0" collapsed="false">
      <c r="A103" s="63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</row>
    <row r="104" customFormat="false" ht="15.75" hidden="false" customHeight="true" outlineLevel="0" collapsed="false">
      <c r="A104" s="63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</row>
    <row r="105" customFormat="false" ht="15.75" hidden="false" customHeight="true" outlineLevel="0" collapsed="false">
      <c r="A105" s="63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</row>
    <row r="106" customFormat="false" ht="15.75" hidden="false" customHeight="true" outlineLevel="0" collapsed="false">
      <c r="A106" s="63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</row>
    <row r="107" customFormat="false" ht="15.75" hidden="false" customHeight="true" outlineLevel="0" collapsed="false">
      <c r="A107" s="63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</row>
    <row r="108" customFormat="false" ht="15.75" hidden="false" customHeight="true" outlineLevel="0" collapsed="false">
      <c r="A108" s="63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</row>
    <row r="109" customFormat="false" ht="15.75" hidden="false" customHeight="true" outlineLevel="0" collapsed="false">
      <c r="A109" s="63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</row>
    <row r="110" customFormat="false" ht="15.75" hidden="false" customHeight="true" outlineLevel="0" collapsed="false">
      <c r="A110" s="63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</row>
    <row r="111" customFormat="false" ht="15.75" hidden="false" customHeight="true" outlineLevel="0" collapsed="false">
      <c r="A111" s="63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</row>
    <row r="112" customFormat="false" ht="15.75" hidden="false" customHeight="true" outlineLevel="0" collapsed="false">
      <c r="A112" s="63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</row>
    <row r="113" customFormat="false" ht="15.75" hidden="false" customHeight="true" outlineLevel="0" collapsed="false">
      <c r="A113" s="63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</row>
    <row r="114" customFormat="false" ht="15.75" hidden="false" customHeight="true" outlineLevel="0" collapsed="false">
      <c r="A114" s="63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</row>
    <row r="115" customFormat="false" ht="15.75" hidden="false" customHeight="true" outlineLevel="0" collapsed="false">
      <c r="A115" s="63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</row>
    <row r="116" customFormat="false" ht="15.75" hidden="false" customHeight="true" outlineLevel="0" collapsed="false">
      <c r="A116" s="63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</row>
    <row r="117" customFormat="false" ht="15.75" hidden="false" customHeight="true" outlineLevel="0" collapsed="false">
      <c r="A117" s="63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</row>
    <row r="118" customFormat="false" ht="15.75" hidden="false" customHeight="true" outlineLevel="0" collapsed="false">
      <c r="A118" s="63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</row>
    <row r="119" customFormat="false" ht="15.75" hidden="false" customHeight="true" outlineLevel="0" collapsed="false">
      <c r="A119" s="63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</row>
    <row r="120" customFormat="false" ht="15.75" hidden="false" customHeight="true" outlineLevel="0" collapsed="false">
      <c r="A120" s="63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</row>
    <row r="121" customFormat="false" ht="15.75" hidden="false" customHeight="true" outlineLevel="0" collapsed="false">
      <c r="A121" s="63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</row>
    <row r="122" customFormat="false" ht="15.75" hidden="false" customHeight="true" outlineLevel="0" collapsed="false">
      <c r="A122" s="63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</row>
    <row r="123" customFormat="false" ht="15.75" hidden="false" customHeight="true" outlineLevel="0" collapsed="false">
      <c r="A123" s="63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</row>
    <row r="124" customFormat="false" ht="15.75" hidden="false" customHeight="true" outlineLevel="0" collapsed="false">
      <c r="A124" s="63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</row>
    <row r="125" customFormat="false" ht="15.75" hidden="false" customHeight="true" outlineLevel="0" collapsed="false">
      <c r="A125" s="63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</row>
    <row r="126" customFormat="false" ht="15.75" hidden="false" customHeight="true" outlineLevel="0" collapsed="false">
      <c r="A126" s="63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</row>
    <row r="127" customFormat="false" ht="15.75" hidden="false" customHeight="true" outlineLevel="0" collapsed="false">
      <c r="A127" s="63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</row>
    <row r="128" customFormat="false" ht="15.75" hidden="false" customHeight="true" outlineLevel="0" collapsed="false">
      <c r="A128" s="63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</row>
    <row r="129" customFormat="false" ht="15.75" hidden="false" customHeight="true" outlineLevel="0" collapsed="false">
      <c r="A129" s="63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</row>
    <row r="130" customFormat="false" ht="15.75" hidden="false" customHeight="true" outlineLevel="0" collapsed="false">
      <c r="A130" s="63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</row>
    <row r="131" customFormat="false" ht="15.75" hidden="false" customHeight="true" outlineLevel="0" collapsed="false">
      <c r="A131" s="63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</row>
    <row r="132" customFormat="false" ht="15.75" hidden="false" customHeight="true" outlineLevel="0" collapsed="false">
      <c r="A132" s="63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</row>
    <row r="133" customFormat="false" ht="15.75" hidden="false" customHeight="true" outlineLevel="0" collapsed="false">
      <c r="A133" s="63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</row>
    <row r="134" customFormat="false" ht="15.75" hidden="false" customHeight="true" outlineLevel="0" collapsed="false">
      <c r="A134" s="63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</row>
    <row r="135" customFormat="false" ht="15.75" hidden="false" customHeight="true" outlineLevel="0" collapsed="false">
      <c r="A135" s="63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</row>
    <row r="136" customFormat="false" ht="15.75" hidden="false" customHeight="true" outlineLevel="0" collapsed="false">
      <c r="A136" s="63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</row>
    <row r="137" customFormat="false" ht="15.75" hidden="false" customHeight="true" outlineLevel="0" collapsed="false">
      <c r="A137" s="63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</row>
    <row r="138" customFormat="false" ht="15.75" hidden="false" customHeight="true" outlineLevel="0" collapsed="false">
      <c r="A138" s="63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</row>
    <row r="139" customFormat="false" ht="15.75" hidden="false" customHeight="true" outlineLevel="0" collapsed="false">
      <c r="A139" s="63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</row>
    <row r="140" customFormat="false" ht="15.75" hidden="false" customHeight="true" outlineLevel="0" collapsed="false">
      <c r="A140" s="63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</row>
    <row r="141" customFormat="false" ht="15.75" hidden="false" customHeight="true" outlineLevel="0" collapsed="false">
      <c r="A141" s="63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</row>
    <row r="142" customFormat="false" ht="15.75" hidden="false" customHeight="true" outlineLevel="0" collapsed="false">
      <c r="A142" s="63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</row>
    <row r="143" customFormat="false" ht="15.75" hidden="false" customHeight="true" outlineLevel="0" collapsed="false">
      <c r="A143" s="63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</row>
    <row r="144" customFormat="false" ht="15.75" hidden="false" customHeight="true" outlineLevel="0" collapsed="false">
      <c r="A144" s="63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</row>
    <row r="145" customFormat="false" ht="15.75" hidden="false" customHeight="true" outlineLevel="0" collapsed="false">
      <c r="A145" s="63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</row>
    <row r="146" customFormat="false" ht="15.75" hidden="false" customHeight="true" outlineLevel="0" collapsed="false">
      <c r="A146" s="63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</row>
    <row r="147" customFormat="false" ht="15.75" hidden="false" customHeight="true" outlineLevel="0" collapsed="false">
      <c r="A147" s="63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</row>
    <row r="148" customFormat="false" ht="15.75" hidden="false" customHeight="true" outlineLevel="0" collapsed="false">
      <c r="A148" s="63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</row>
    <row r="149" customFormat="false" ht="15.75" hidden="false" customHeight="true" outlineLevel="0" collapsed="false">
      <c r="A149" s="63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</row>
    <row r="150" customFormat="false" ht="15.75" hidden="false" customHeight="true" outlineLevel="0" collapsed="false">
      <c r="A150" s="63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</row>
    <row r="151" customFormat="false" ht="15.75" hidden="false" customHeight="true" outlineLevel="0" collapsed="false">
      <c r="A151" s="63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</row>
    <row r="152" customFormat="false" ht="15.75" hidden="false" customHeight="true" outlineLevel="0" collapsed="false">
      <c r="A152" s="63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</row>
    <row r="153" customFormat="false" ht="15.75" hidden="false" customHeight="true" outlineLevel="0" collapsed="false">
      <c r="A153" s="63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</row>
    <row r="154" customFormat="false" ht="15.75" hidden="false" customHeight="true" outlineLevel="0" collapsed="false">
      <c r="A154" s="63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</row>
    <row r="155" customFormat="false" ht="15.75" hidden="false" customHeight="true" outlineLevel="0" collapsed="false">
      <c r="A155" s="63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</row>
    <row r="156" customFormat="false" ht="15.75" hidden="false" customHeight="true" outlineLevel="0" collapsed="false">
      <c r="A156" s="63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</row>
    <row r="157" customFormat="false" ht="15.75" hidden="false" customHeight="true" outlineLevel="0" collapsed="false">
      <c r="A157" s="63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</row>
    <row r="158" customFormat="false" ht="15.75" hidden="false" customHeight="true" outlineLevel="0" collapsed="false">
      <c r="A158" s="63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</row>
    <row r="159" customFormat="false" ht="15.75" hidden="false" customHeight="true" outlineLevel="0" collapsed="false">
      <c r="A159" s="63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</row>
    <row r="160" customFormat="false" ht="15.75" hidden="false" customHeight="true" outlineLevel="0" collapsed="false">
      <c r="A160" s="63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</row>
    <row r="161" customFormat="false" ht="15.75" hidden="false" customHeight="true" outlineLevel="0" collapsed="false">
      <c r="A161" s="63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</row>
    <row r="162" customFormat="false" ht="15.75" hidden="false" customHeight="true" outlineLevel="0" collapsed="false">
      <c r="A162" s="63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</row>
    <row r="163" customFormat="false" ht="15.75" hidden="false" customHeight="true" outlineLevel="0" collapsed="false">
      <c r="A163" s="63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</row>
    <row r="164" customFormat="false" ht="15.75" hidden="false" customHeight="true" outlineLevel="0" collapsed="false">
      <c r="A164" s="63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</row>
    <row r="165" customFormat="false" ht="15.75" hidden="false" customHeight="true" outlineLevel="0" collapsed="false">
      <c r="A165" s="63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</row>
    <row r="166" customFormat="false" ht="15.75" hidden="false" customHeight="true" outlineLevel="0" collapsed="false">
      <c r="A166" s="63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</row>
    <row r="167" customFormat="false" ht="15.75" hidden="false" customHeight="true" outlineLevel="0" collapsed="false">
      <c r="A167" s="63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</row>
    <row r="168" customFormat="false" ht="15.75" hidden="false" customHeight="true" outlineLevel="0" collapsed="false">
      <c r="A168" s="63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</row>
    <row r="169" customFormat="false" ht="15.75" hidden="false" customHeight="true" outlineLevel="0" collapsed="false">
      <c r="A169" s="63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</row>
    <row r="170" customFormat="false" ht="15.75" hidden="false" customHeight="true" outlineLevel="0" collapsed="false">
      <c r="A170" s="63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</row>
    <row r="171" customFormat="false" ht="15.75" hidden="false" customHeight="true" outlineLevel="0" collapsed="false">
      <c r="A171" s="63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</row>
    <row r="172" customFormat="false" ht="15.75" hidden="false" customHeight="true" outlineLevel="0" collapsed="false">
      <c r="A172" s="63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</row>
    <row r="173" customFormat="false" ht="15.75" hidden="false" customHeight="true" outlineLevel="0" collapsed="false">
      <c r="A173" s="63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</row>
    <row r="174" customFormat="false" ht="15.75" hidden="false" customHeight="true" outlineLevel="0" collapsed="false">
      <c r="A174" s="63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</row>
    <row r="175" customFormat="false" ht="15.75" hidden="false" customHeight="true" outlineLevel="0" collapsed="false">
      <c r="A175" s="63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</row>
    <row r="176" customFormat="false" ht="15.75" hidden="false" customHeight="true" outlineLevel="0" collapsed="false">
      <c r="A176" s="63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</row>
    <row r="177" customFormat="false" ht="15.75" hidden="false" customHeight="true" outlineLevel="0" collapsed="false">
      <c r="A177" s="63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</row>
    <row r="178" customFormat="false" ht="15.75" hidden="false" customHeight="true" outlineLevel="0" collapsed="false">
      <c r="A178" s="63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</row>
    <row r="179" customFormat="false" ht="15.75" hidden="false" customHeight="true" outlineLevel="0" collapsed="false">
      <c r="A179" s="63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</row>
    <row r="180" customFormat="false" ht="15.75" hidden="false" customHeight="true" outlineLevel="0" collapsed="false">
      <c r="A180" s="63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</row>
    <row r="181" customFormat="false" ht="15.75" hidden="false" customHeight="true" outlineLevel="0" collapsed="false">
      <c r="A181" s="63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</row>
    <row r="182" customFormat="false" ht="15.75" hidden="false" customHeight="true" outlineLevel="0" collapsed="false">
      <c r="A182" s="63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</row>
    <row r="183" customFormat="false" ht="15.75" hidden="false" customHeight="true" outlineLevel="0" collapsed="false">
      <c r="A183" s="63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</row>
    <row r="184" customFormat="false" ht="15.75" hidden="false" customHeight="true" outlineLevel="0" collapsed="false">
      <c r="A184" s="63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</row>
    <row r="185" customFormat="false" ht="15.75" hidden="false" customHeight="true" outlineLevel="0" collapsed="false">
      <c r="A185" s="63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</row>
    <row r="186" customFormat="false" ht="15.75" hidden="false" customHeight="true" outlineLevel="0" collapsed="false">
      <c r="A186" s="63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</row>
    <row r="187" customFormat="false" ht="15.75" hidden="false" customHeight="true" outlineLevel="0" collapsed="false">
      <c r="A187" s="63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</row>
    <row r="188" customFormat="false" ht="15.75" hidden="false" customHeight="true" outlineLevel="0" collapsed="false">
      <c r="A188" s="63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</row>
    <row r="189" customFormat="false" ht="15.75" hidden="false" customHeight="true" outlineLevel="0" collapsed="false">
      <c r="A189" s="63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</row>
    <row r="190" customFormat="false" ht="15.75" hidden="false" customHeight="true" outlineLevel="0" collapsed="false">
      <c r="A190" s="63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</row>
    <row r="191" customFormat="false" ht="15.75" hidden="false" customHeight="true" outlineLevel="0" collapsed="false">
      <c r="A191" s="63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</row>
    <row r="192" customFormat="false" ht="15.75" hidden="false" customHeight="true" outlineLevel="0" collapsed="false">
      <c r="A192" s="63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</row>
    <row r="193" customFormat="false" ht="15.75" hidden="false" customHeight="true" outlineLevel="0" collapsed="false">
      <c r="A193" s="63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</row>
    <row r="194" customFormat="false" ht="15.75" hidden="false" customHeight="true" outlineLevel="0" collapsed="false">
      <c r="A194" s="63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</row>
    <row r="195" customFormat="false" ht="15.75" hidden="false" customHeight="true" outlineLevel="0" collapsed="false">
      <c r="A195" s="63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</row>
    <row r="196" customFormat="false" ht="15.75" hidden="false" customHeight="true" outlineLevel="0" collapsed="false">
      <c r="A196" s="63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</row>
    <row r="197" customFormat="false" ht="15.75" hidden="false" customHeight="true" outlineLevel="0" collapsed="false">
      <c r="A197" s="63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</row>
    <row r="198" customFormat="false" ht="15.75" hidden="false" customHeight="true" outlineLevel="0" collapsed="false">
      <c r="A198" s="63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</row>
    <row r="199" customFormat="false" ht="15.75" hidden="false" customHeight="true" outlineLevel="0" collapsed="false">
      <c r="A199" s="63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</row>
    <row r="200" customFormat="false" ht="15.75" hidden="false" customHeight="true" outlineLevel="0" collapsed="false">
      <c r="A200" s="63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</row>
    <row r="201" customFormat="false" ht="15.75" hidden="false" customHeight="true" outlineLevel="0" collapsed="false">
      <c r="A201" s="63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</row>
    <row r="202" customFormat="false" ht="15.75" hidden="false" customHeight="true" outlineLevel="0" collapsed="false">
      <c r="A202" s="63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</row>
    <row r="203" customFormat="false" ht="15.75" hidden="false" customHeight="true" outlineLevel="0" collapsed="false">
      <c r="A203" s="63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</row>
    <row r="204" customFormat="false" ht="15.75" hidden="false" customHeight="true" outlineLevel="0" collapsed="false">
      <c r="A204" s="63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</row>
    <row r="205" customFormat="false" ht="15.75" hidden="false" customHeight="true" outlineLevel="0" collapsed="false">
      <c r="A205" s="63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</row>
    <row r="206" customFormat="false" ht="15.75" hidden="false" customHeight="true" outlineLevel="0" collapsed="false">
      <c r="A206" s="63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</row>
    <row r="207" customFormat="false" ht="15.75" hidden="false" customHeight="true" outlineLevel="0" collapsed="false">
      <c r="A207" s="63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</row>
    <row r="208" customFormat="false" ht="15.75" hidden="false" customHeight="true" outlineLevel="0" collapsed="false">
      <c r="A208" s="63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</row>
    <row r="209" customFormat="false" ht="15.75" hidden="false" customHeight="true" outlineLevel="0" collapsed="false">
      <c r="A209" s="63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</row>
    <row r="210" customFormat="false" ht="15.75" hidden="false" customHeight="true" outlineLevel="0" collapsed="false">
      <c r="A210" s="63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</row>
    <row r="211" customFormat="false" ht="15.75" hidden="false" customHeight="true" outlineLevel="0" collapsed="false">
      <c r="A211" s="63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</row>
    <row r="212" customFormat="false" ht="15.75" hidden="false" customHeight="true" outlineLevel="0" collapsed="false">
      <c r="A212" s="63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</row>
    <row r="213" customFormat="false" ht="15.75" hidden="false" customHeight="true" outlineLevel="0" collapsed="false">
      <c r="A213" s="63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</row>
    <row r="214" customFormat="false" ht="15.75" hidden="false" customHeight="true" outlineLevel="0" collapsed="false">
      <c r="A214" s="63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</row>
    <row r="215" customFormat="false" ht="15.75" hidden="false" customHeight="true" outlineLevel="0" collapsed="false">
      <c r="A215" s="63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</row>
    <row r="216" customFormat="false" ht="15.75" hidden="false" customHeight="true" outlineLevel="0" collapsed="false">
      <c r="A216" s="63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</row>
    <row r="217" customFormat="false" ht="15.75" hidden="false" customHeight="true" outlineLevel="0" collapsed="false">
      <c r="A217" s="63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</row>
    <row r="218" customFormat="false" ht="15.75" hidden="false" customHeight="true" outlineLevel="0" collapsed="false">
      <c r="A218" s="63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</row>
    <row r="219" customFormat="false" ht="15.75" hidden="false" customHeight="true" outlineLevel="0" collapsed="false">
      <c r="A219" s="63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</row>
    <row r="220" customFormat="false" ht="15.75" hidden="false" customHeight="true" outlineLevel="0" collapsed="false">
      <c r="A220" s="63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</row>
    <row r="221" customFormat="false" ht="15.75" hidden="false" customHeight="true" outlineLevel="0" collapsed="false">
      <c r="A221" s="63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</row>
    <row r="222" customFormat="false" ht="15.75" hidden="false" customHeight="true" outlineLevel="0" collapsed="false">
      <c r="A222" s="63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</row>
    <row r="223" customFormat="false" ht="15.75" hidden="false" customHeight="true" outlineLevel="0" collapsed="false">
      <c r="A223" s="63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</row>
    <row r="224" customFormat="false" ht="15.75" hidden="false" customHeight="true" outlineLevel="0" collapsed="false">
      <c r="A224" s="63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</row>
    <row r="225" customFormat="false" ht="15.75" hidden="false" customHeight="true" outlineLevel="0" collapsed="false">
      <c r="A225" s="63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</row>
    <row r="226" customFormat="false" ht="15.75" hidden="false" customHeight="true" outlineLevel="0" collapsed="false">
      <c r="A226" s="63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</row>
    <row r="227" customFormat="false" ht="15.75" hidden="false" customHeight="true" outlineLevel="0" collapsed="false">
      <c r="A227" s="63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</row>
    <row r="228" customFormat="false" ht="15.75" hidden="false" customHeight="true" outlineLevel="0" collapsed="false">
      <c r="A228" s="63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</row>
    <row r="229" customFormat="false" ht="15.75" hidden="false" customHeight="true" outlineLevel="0" collapsed="false">
      <c r="A229" s="63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</row>
    <row r="230" customFormat="false" ht="15.75" hidden="false" customHeight="true" outlineLevel="0" collapsed="false">
      <c r="A230" s="63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</row>
    <row r="231" customFormat="false" ht="15.75" hidden="false" customHeight="true" outlineLevel="0" collapsed="false">
      <c r="A231" s="63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</row>
    <row r="232" customFormat="false" ht="15.75" hidden="false" customHeight="true" outlineLevel="0" collapsed="false">
      <c r="A232" s="63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</row>
    <row r="233" customFormat="false" ht="15.75" hidden="false" customHeight="true" outlineLevel="0" collapsed="false">
      <c r="A233" s="63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</row>
    <row r="234" customFormat="false" ht="15.75" hidden="false" customHeight="true" outlineLevel="0" collapsed="false">
      <c r="A234" s="63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</row>
    <row r="235" customFormat="false" ht="15.75" hidden="false" customHeight="true" outlineLevel="0" collapsed="false">
      <c r="A235" s="63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</row>
    <row r="236" customFormat="false" ht="15.75" hidden="false" customHeight="true" outlineLevel="0" collapsed="false">
      <c r="A236" s="63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</row>
    <row r="237" customFormat="false" ht="15.75" hidden="false" customHeight="true" outlineLevel="0" collapsed="false">
      <c r="A237" s="63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</row>
    <row r="238" customFormat="false" ht="15.75" hidden="false" customHeight="true" outlineLevel="0" collapsed="false">
      <c r="A238" s="63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</row>
    <row r="239" customFormat="false" ht="15.75" hidden="false" customHeight="true" outlineLevel="0" collapsed="false">
      <c r="A239" s="63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</row>
    <row r="240" customFormat="false" ht="15.75" hidden="false" customHeight="true" outlineLevel="0" collapsed="false">
      <c r="A240" s="63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</row>
    <row r="241" customFormat="false" ht="15.75" hidden="false" customHeight="true" outlineLevel="0" collapsed="false">
      <c r="A241" s="63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</row>
    <row r="242" customFormat="false" ht="15.75" hidden="false" customHeight="true" outlineLevel="0" collapsed="false">
      <c r="A242" s="63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</row>
    <row r="243" customFormat="false" ht="15.75" hidden="false" customHeight="true" outlineLevel="0" collapsed="false">
      <c r="A243" s="63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</row>
    <row r="244" customFormat="false" ht="15.75" hidden="false" customHeight="true" outlineLevel="0" collapsed="false">
      <c r="A244" s="63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</row>
    <row r="245" customFormat="false" ht="15.75" hidden="false" customHeight="true" outlineLevel="0" collapsed="false">
      <c r="A245" s="63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</row>
    <row r="246" customFormat="false" ht="15.75" hidden="false" customHeight="true" outlineLevel="0" collapsed="false">
      <c r="A246" s="63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</row>
    <row r="247" customFormat="false" ht="15.75" hidden="false" customHeight="true" outlineLevel="0" collapsed="false">
      <c r="A247" s="63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</row>
    <row r="248" customFormat="false" ht="15.75" hidden="false" customHeight="true" outlineLevel="0" collapsed="false">
      <c r="A248" s="63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</row>
    <row r="249" customFormat="false" ht="15.75" hidden="false" customHeight="true" outlineLevel="0" collapsed="false">
      <c r="A249" s="63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</row>
    <row r="250" customFormat="false" ht="15.75" hidden="false" customHeight="true" outlineLevel="0" collapsed="false">
      <c r="A250" s="63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</row>
    <row r="251" customFormat="false" ht="15.75" hidden="false" customHeight="true" outlineLevel="0" collapsed="false">
      <c r="A251" s="63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</row>
    <row r="252" customFormat="false" ht="15.75" hidden="false" customHeight="true" outlineLevel="0" collapsed="false">
      <c r="A252" s="63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</row>
    <row r="253" customFormat="false" ht="15.75" hidden="false" customHeight="true" outlineLevel="0" collapsed="false">
      <c r="A253" s="63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</row>
    <row r="254" customFormat="false" ht="15.75" hidden="false" customHeight="true" outlineLevel="0" collapsed="false">
      <c r="A254" s="63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</row>
    <row r="255" customFormat="false" ht="15.75" hidden="false" customHeight="true" outlineLevel="0" collapsed="false">
      <c r="A255" s="63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</row>
    <row r="256" customFormat="false" ht="15.75" hidden="false" customHeight="true" outlineLevel="0" collapsed="false">
      <c r="A256" s="63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</row>
    <row r="257" customFormat="false" ht="15.75" hidden="false" customHeight="true" outlineLevel="0" collapsed="false">
      <c r="A257" s="63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</row>
    <row r="258" customFormat="false" ht="15.75" hidden="false" customHeight="true" outlineLevel="0" collapsed="false">
      <c r="A258" s="63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</row>
    <row r="259" customFormat="false" ht="15.75" hidden="false" customHeight="true" outlineLevel="0" collapsed="false">
      <c r="A259" s="63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</row>
    <row r="260" customFormat="false" ht="15.75" hidden="false" customHeight="true" outlineLevel="0" collapsed="false">
      <c r="A260" s="63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</row>
    <row r="261" customFormat="false" ht="15.75" hidden="false" customHeight="true" outlineLevel="0" collapsed="false">
      <c r="A261" s="63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</row>
    <row r="262" customFormat="false" ht="15.75" hidden="false" customHeight="true" outlineLevel="0" collapsed="false">
      <c r="A262" s="63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</row>
    <row r="263" customFormat="false" ht="15.75" hidden="false" customHeight="true" outlineLevel="0" collapsed="false">
      <c r="A263" s="63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</row>
    <row r="264" customFormat="false" ht="15.75" hidden="false" customHeight="true" outlineLevel="0" collapsed="false">
      <c r="A264" s="63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</row>
    <row r="265" customFormat="false" ht="15.75" hidden="false" customHeight="true" outlineLevel="0" collapsed="false">
      <c r="A265" s="63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</row>
    <row r="266" customFormat="false" ht="15.75" hidden="false" customHeight="true" outlineLevel="0" collapsed="false">
      <c r="A266" s="63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</row>
    <row r="267" customFormat="false" ht="15.75" hidden="false" customHeight="true" outlineLevel="0" collapsed="false">
      <c r="A267" s="63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</row>
    <row r="268" customFormat="false" ht="15.75" hidden="false" customHeight="true" outlineLevel="0" collapsed="false">
      <c r="A268" s="63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</row>
    <row r="269" customFormat="false" ht="15.75" hidden="false" customHeight="true" outlineLevel="0" collapsed="false">
      <c r="A269" s="63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</row>
    <row r="270" customFormat="false" ht="15.75" hidden="false" customHeight="true" outlineLevel="0" collapsed="false">
      <c r="A270" s="63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</row>
    <row r="271" customFormat="false" ht="15.75" hidden="false" customHeight="true" outlineLevel="0" collapsed="false">
      <c r="A271" s="63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</row>
    <row r="272" customFormat="false" ht="15.75" hidden="false" customHeight="true" outlineLevel="0" collapsed="false">
      <c r="A272" s="63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</row>
    <row r="273" customFormat="false" ht="15.75" hidden="false" customHeight="true" outlineLevel="0" collapsed="false">
      <c r="A273" s="63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</row>
    <row r="274" customFormat="false" ht="15.75" hidden="false" customHeight="true" outlineLevel="0" collapsed="false">
      <c r="A274" s="63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</row>
    <row r="275" customFormat="false" ht="15.75" hidden="false" customHeight="true" outlineLevel="0" collapsed="false">
      <c r="A275" s="63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</row>
    <row r="276" customFormat="false" ht="15.75" hidden="false" customHeight="true" outlineLevel="0" collapsed="false">
      <c r="A276" s="63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</row>
    <row r="277" customFormat="false" ht="15.75" hidden="false" customHeight="true" outlineLevel="0" collapsed="false">
      <c r="A277" s="63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</row>
    <row r="278" customFormat="false" ht="15.75" hidden="false" customHeight="true" outlineLevel="0" collapsed="false">
      <c r="A278" s="63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</row>
    <row r="279" customFormat="false" ht="15.75" hidden="false" customHeight="true" outlineLevel="0" collapsed="false">
      <c r="A279" s="63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</row>
    <row r="280" customFormat="false" ht="15.75" hidden="false" customHeight="true" outlineLevel="0" collapsed="false">
      <c r="A280" s="63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</row>
    <row r="281" customFormat="false" ht="15.75" hidden="false" customHeight="true" outlineLevel="0" collapsed="false">
      <c r="A281" s="63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</row>
    <row r="282" customFormat="false" ht="15.75" hidden="false" customHeight="true" outlineLevel="0" collapsed="false">
      <c r="A282" s="63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</row>
    <row r="283" customFormat="false" ht="15.75" hidden="false" customHeight="true" outlineLevel="0" collapsed="false">
      <c r="A283" s="63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</row>
    <row r="284" customFormat="false" ht="15.75" hidden="false" customHeight="true" outlineLevel="0" collapsed="false">
      <c r="A284" s="63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</row>
    <row r="285" customFormat="false" ht="15.75" hidden="false" customHeight="true" outlineLevel="0" collapsed="false">
      <c r="A285" s="63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</row>
    <row r="286" customFormat="false" ht="15.75" hidden="false" customHeight="true" outlineLevel="0" collapsed="false">
      <c r="A286" s="63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</row>
    <row r="287" customFormat="false" ht="15.75" hidden="false" customHeight="true" outlineLevel="0" collapsed="false">
      <c r="A287" s="63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</row>
    <row r="288" customFormat="false" ht="15.75" hidden="false" customHeight="true" outlineLevel="0" collapsed="false">
      <c r="A288" s="63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</row>
    <row r="289" customFormat="false" ht="15.75" hidden="false" customHeight="true" outlineLevel="0" collapsed="false">
      <c r="A289" s="63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</row>
    <row r="290" customFormat="false" ht="15.75" hidden="false" customHeight="true" outlineLevel="0" collapsed="false">
      <c r="A290" s="63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</row>
    <row r="291" customFormat="false" ht="15.75" hidden="false" customHeight="true" outlineLevel="0" collapsed="false">
      <c r="A291" s="63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</row>
    <row r="292" customFormat="false" ht="15.75" hidden="false" customHeight="true" outlineLevel="0" collapsed="false">
      <c r="A292" s="63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</row>
    <row r="293" customFormat="false" ht="15.75" hidden="false" customHeight="true" outlineLevel="0" collapsed="false">
      <c r="A293" s="63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</row>
    <row r="294" customFormat="false" ht="15.75" hidden="false" customHeight="true" outlineLevel="0" collapsed="false">
      <c r="A294" s="63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</row>
    <row r="295" customFormat="false" ht="15.75" hidden="false" customHeight="true" outlineLevel="0" collapsed="false">
      <c r="A295" s="63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</row>
    <row r="296" customFormat="false" ht="15.75" hidden="false" customHeight="true" outlineLevel="0" collapsed="false">
      <c r="A296" s="63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</row>
    <row r="297" customFormat="false" ht="15.75" hidden="false" customHeight="true" outlineLevel="0" collapsed="false">
      <c r="A297" s="63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</row>
    <row r="298" customFormat="false" ht="15.75" hidden="false" customHeight="true" outlineLevel="0" collapsed="false">
      <c r="A298" s="63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</row>
    <row r="299" customFormat="false" ht="15.75" hidden="false" customHeight="true" outlineLevel="0" collapsed="false">
      <c r="A299" s="63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</row>
    <row r="300" customFormat="false" ht="15.75" hidden="false" customHeight="true" outlineLevel="0" collapsed="false">
      <c r="A300" s="63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</row>
    <row r="301" customFormat="false" ht="15.75" hidden="false" customHeight="true" outlineLevel="0" collapsed="false">
      <c r="A301" s="63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</row>
    <row r="302" customFormat="false" ht="15.75" hidden="false" customHeight="true" outlineLevel="0" collapsed="false">
      <c r="A302" s="63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</row>
    <row r="303" customFormat="false" ht="15.75" hidden="false" customHeight="true" outlineLevel="0" collapsed="false">
      <c r="A303" s="63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</row>
    <row r="304" customFormat="false" ht="15.75" hidden="false" customHeight="true" outlineLevel="0" collapsed="false">
      <c r="A304" s="63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</row>
    <row r="305" customFormat="false" ht="15.75" hidden="false" customHeight="true" outlineLevel="0" collapsed="false">
      <c r="A305" s="63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</row>
    <row r="306" customFormat="false" ht="15.75" hidden="false" customHeight="true" outlineLevel="0" collapsed="false">
      <c r="A306" s="63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</row>
    <row r="307" customFormat="false" ht="15.75" hidden="false" customHeight="true" outlineLevel="0" collapsed="false">
      <c r="A307" s="63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</row>
    <row r="308" customFormat="false" ht="15.75" hidden="false" customHeight="true" outlineLevel="0" collapsed="false">
      <c r="A308" s="63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</row>
    <row r="309" customFormat="false" ht="15.75" hidden="false" customHeight="true" outlineLevel="0" collapsed="false">
      <c r="A309" s="63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</row>
    <row r="310" customFormat="false" ht="15.75" hidden="false" customHeight="true" outlineLevel="0" collapsed="false">
      <c r="A310" s="63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</row>
    <row r="311" customFormat="false" ht="15.75" hidden="false" customHeight="true" outlineLevel="0" collapsed="false">
      <c r="A311" s="63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</row>
    <row r="312" customFormat="false" ht="15.75" hidden="false" customHeight="true" outlineLevel="0" collapsed="false">
      <c r="A312" s="63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</row>
    <row r="313" customFormat="false" ht="15.75" hidden="false" customHeight="true" outlineLevel="0" collapsed="false">
      <c r="A313" s="63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</row>
    <row r="314" customFormat="false" ht="15.75" hidden="false" customHeight="true" outlineLevel="0" collapsed="false">
      <c r="A314" s="63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</row>
    <row r="315" customFormat="false" ht="15.75" hidden="false" customHeight="true" outlineLevel="0" collapsed="false">
      <c r="A315" s="63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</row>
    <row r="316" customFormat="false" ht="15.75" hidden="false" customHeight="true" outlineLevel="0" collapsed="false">
      <c r="A316" s="63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</row>
    <row r="317" customFormat="false" ht="15.75" hidden="false" customHeight="true" outlineLevel="0" collapsed="false">
      <c r="A317" s="63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</row>
    <row r="318" customFormat="false" ht="15.75" hidden="false" customHeight="true" outlineLevel="0" collapsed="false">
      <c r="A318" s="63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</row>
    <row r="319" customFormat="false" ht="15.75" hidden="false" customHeight="true" outlineLevel="0" collapsed="false">
      <c r="A319" s="63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</row>
    <row r="320" customFormat="false" ht="15.75" hidden="false" customHeight="true" outlineLevel="0" collapsed="false">
      <c r="A320" s="63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</row>
    <row r="321" customFormat="false" ht="15.75" hidden="false" customHeight="true" outlineLevel="0" collapsed="false">
      <c r="A321" s="63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</row>
    <row r="322" customFormat="false" ht="15.75" hidden="false" customHeight="true" outlineLevel="0" collapsed="false">
      <c r="A322" s="63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</row>
    <row r="323" customFormat="false" ht="15.75" hidden="false" customHeight="true" outlineLevel="0" collapsed="false">
      <c r="A323" s="63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</row>
    <row r="324" customFormat="false" ht="15.75" hidden="false" customHeight="true" outlineLevel="0" collapsed="false">
      <c r="A324" s="63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</row>
    <row r="325" customFormat="false" ht="15.75" hidden="false" customHeight="true" outlineLevel="0" collapsed="false">
      <c r="A325" s="63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</row>
    <row r="326" customFormat="false" ht="15.75" hidden="false" customHeight="true" outlineLevel="0" collapsed="false">
      <c r="A326" s="63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</row>
    <row r="327" customFormat="false" ht="15.75" hidden="false" customHeight="true" outlineLevel="0" collapsed="false">
      <c r="A327" s="63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</row>
    <row r="328" customFormat="false" ht="15.75" hidden="false" customHeight="true" outlineLevel="0" collapsed="false">
      <c r="A328" s="63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</row>
    <row r="329" customFormat="false" ht="15.75" hidden="false" customHeight="true" outlineLevel="0" collapsed="false">
      <c r="A329" s="63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</row>
    <row r="330" customFormat="false" ht="15.75" hidden="false" customHeight="true" outlineLevel="0" collapsed="false">
      <c r="A330" s="63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</row>
    <row r="331" customFormat="false" ht="15.75" hidden="false" customHeight="true" outlineLevel="0" collapsed="false">
      <c r="A331" s="63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</row>
    <row r="332" customFormat="false" ht="15.75" hidden="false" customHeight="true" outlineLevel="0" collapsed="false">
      <c r="A332" s="63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</row>
    <row r="333" customFormat="false" ht="15.75" hidden="false" customHeight="true" outlineLevel="0" collapsed="false">
      <c r="A333" s="63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</row>
    <row r="334" customFormat="false" ht="15.75" hidden="false" customHeight="true" outlineLevel="0" collapsed="false">
      <c r="A334" s="63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</row>
    <row r="335" customFormat="false" ht="15.75" hidden="false" customHeight="true" outlineLevel="0" collapsed="false">
      <c r="A335" s="63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</row>
    <row r="336" customFormat="false" ht="15.75" hidden="false" customHeight="true" outlineLevel="0" collapsed="false">
      <c r="A336" s="63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</row>
    <row r="337" customFormat="false" ht="15.75" hidden="false" customHeight="true" outlineLevel="0" collapsed="false">
      <c r="A337" s="63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</row>
    <row r="338" customFormat="false" ht="15.75" hidden="false" customHeight="true" outlineLevel="0" collapsed="false">
      <c r="A338" s="63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</row>
    <row r="339" customFormat="false" ht="15.75" hidden="false" customHeight="true" outlineLevel="0" collapsed="false">
      <c r="A339" s="63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</row>
    <row r="340" customFormat="false" ht="15.75" hidden="false" customHeight="true" outlineLevel="0" collapsed="false">
      <c r="A340" s="63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</row>
    <row r="341" customFormat="false" ht="15.75" hidden="false" customHeight="true" outlineLevel="0" collapsed="false">
      <c r="A341" s="63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</row>
    <row r="342" customFormat="false" ht="15.75" hidden="false" customHeight="true" outlineLevel="0" collapsed="false">
      <c r="A342" s="63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</row>
    <row r="343" customFormat="false" ht="15.75" hidden="false" customHeight="true" outlineLevel="0" collapsed="false">
      <c r="A343" s="63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</row>
    <row r="344" customFormat="false" ht="15.75" hidden="false" customHeight="true" outlineLevel="0" collapsed="false">
      <c r="A344" s="63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</row>
    <row r="345" customFormat="false" ht="15.75" hidden="false" customHeight="true" outlineLevel="0" collapsed="false">
      <c r="A345" s="63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</row>
    <row r="346" customFormat="false" ht="15.75" hidden="false" customHeight="true" outlineLevel="0" collapsed="false">
      <c r="A346" s="63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</row>
    <row r="347" customFormat="false" ht="15.75" hidden="false" customHeight="true" outlineLevel="0" collapsed="false">
      <c r="A347" s="63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</row>
    <row r="348" customFormat="false" ht="15.75" hidden="false" customHeight="true" outlineLevel="0" collapsed="false">
      <c r="A348" s="63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</row>
    <row r="349" customFormat="false" ht="15.75" hidden="false" customHeight="true" outlineLevel="0" collapsed="false">
      <c r="A349" s="63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</row>
    <row r="350" customFormat="false" ht="15.75" hidden="false" customHeight="true" outlineLevel="0" collapsed="false">
      <c r="A350" s="63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</row>
    <row r="351" customFormat="false" ht="15.75" hidden="false" customHeight="true" outlineLevel="0" collapsed="false">
      <c r="A351" s="63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</row>
    <row r="352" customFormat="false" ht="15.75" hidden="false" customHeight="true" outlineLevel="0" collapsed="false">
      <c r="A352" s="63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</row>
    <row r="353" customFormat="false" ht="15.75" hidden="false" customHeight="true" outlineLevel="0" collapsed="false">
      <c r="A353" s="63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</row>
    <row r="354" customFormat="false" ht="15.75" hidden="false" customHeight="true" outlineLevel="0" collapsed="false">
      <c r="A354" s="63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</row>
    <row r="355" customFormat="false" ht="15.75" hidden="false" customHeight="true" outlineLevel="0" collapsed="false">
      <c r="A355" s="63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</row>
    <row r="356" customFormat="false" ht="15.75" hidden="false" customHeight="true" outlineLevel="0" collapsed="false">
      <c r="A356" s="63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</row>
    <row r="357" customFormat="false" ht="15.75" hidden="false" customHeight="true" outlineLevel="0" collapsed="false">
      <c r="A357" s="63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</row>
    <row r="358" customFormat="false" ht="15.75" hidden="false" customHeight="true" outlineLevel="0" collapsed="false">
      <c r="A358" s="63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</row>
    <row r="359" customFormat="false" ht="15.75" hidden="false" customHeight="true" outlineLevel="0" collapsed="false">
      <c r="A359" s="63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</row>
    <row r="360" customFormat="false" ht="15.75" hidden="false" customHeight="true" outlineLevel="0" collapsed="false">
      <c r="A360" s="63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</row>
    <row r="361" customFormat="false" ht="15.75" hidden="false" customHeight="true" outlineLevel="0" collapsed="false">
      <c r="A361" s="63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</row>
    <row r="362" customFormat="false" ht="15.75" hidden="false" customHeight="true" outlineLevel="0" collapsed="false">
      <c r="A362" s="63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</row>
    <row r="363" customFormat="false" ht="15.75" hidden="false" customHeight="true" outlineLevel="0" collapsed="false">
      <c r="A363" s="63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</row>
    <row r="364" customFormat="false" ht="15.75" hidden="false" customHeight="true" outlineLevel="0" collapsed="false">
      <c r="A364" s="63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</row>
    <row r="365" customFormat="false" ht="15.75" hidden="false" customHeight="true" outlineLevel="0" collapsed="false">
      <c r="A365" s="63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</row>
    <row r="366" customFormat="false" ht="15.75" hidden="false" customHeight="true" outlineLevel="0" collapsed="false">
      <c r="A366" s="63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</row>
    <row r="367" customFormat="false" ht="15.75" hidden="false" customHeight="true" outlineLevel="0" collapsed="false">
      <c r="A367" s="63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</row>
    <row r="368" customFormat="false" ht="15.75" hidden="false" customHeight="true" outlineLevel="0" collapsed="false">
      <c r="A368" s="63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</row>
    <row r="369" customFormat="false" ht="15.75" hidden="false" customHeight="true" outlineLevel="0" collapsed="false">
      <c r="A369" s="63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</row>
    <row r="370" customFormat="false" ht="15.75" hidden="false" customHeight="true" outlineLevel="0" collapsed="false">
      <c r="A370" s="63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</row>
    <row r="371" customFormat="false" ht="15.75" hidden="false" customHeight="true" outlineLevel="0" collapsed="false">
      <c r="A371" s="63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</row>
    <row r="372" customFormat="false" ht="15.75" hidden="false" customHeight="true" outlineLevel="0" collapsed="false">
      <c r="A372" s="63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</row>
    <row r="373" customFormat="false" ht="15.75" hidden="false" customHeight="true" outlineLevel="0" collapsed="false">
      <c r="A373" s="63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</row>
    <row r="374" customFormat="false" ht="15.75" hidden="false" customHeight="true" outlineLevel="0" collapsed="false">
      <c r="A374" s="63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</row>
    <row r="375" customFormat="false" ht="15.75" hidden="false" customHeight="true" outlineLevel="0" collapsed="false">
      <c r="A375" s="63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</row>
    <row r="376" customFormat="false" ht="15.75" hidden="false" customHeight="true" outlineLevel="0" collapsed="false">
      <c r="A376" s="63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</row>
    <row r="377" customFormat="false" ht="15.75" hidden="false" customHeight="true" outlineLevel="0" collapsed="false">
      <c r="A377" s="63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</row>
    <row r="378" customFormat="false" ht="15.75" hidden="false" customHeight="true" outlineLevel="0" collapsed="false">
      <c r="A378" s="63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</row>
    <row r="379" customFormat="false" ht="15.75" hidden="false" customHeight="true" outlineLevel="0" collapsed="false">
      <c r="A379" s="63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</row>
    <row r="380" customFormat="false" ht="15.75" hidden="false" customHeight="true" outlineLevel="0" collapsed="false">
      <c r="A380" s="63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</row>
    <row r="381" customFormat="false" ht="15.75" hidden="false" customHeight="true" outlineLevel="0" collapsed="false">
      <c r="A381" s="63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</row>
    <row r="382" customFormat="false" ht="15.75" hidden="false" customHeight="true" outlineLevel="0" collapsed="false">
      <c r="A382" s="63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</row>
    <row r="383" customFormat="false" ht="15.75" hidden="false" customHeight="true" outlineLevel="0" collapsed="false">
      <c r="A383" s="63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</row>
    <row r="384" customFormat="false" ht="15.75" hidden="false" customHeight="true" outlineLevel="0" collapsed="false">
      <c r="A384" s="63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</row>
    <row r="385" customFormat="false" ht="15.75" hidden="false" customHeight="true" outlineLevel="0" collapsed="false">
      <c r="A385" s="63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</row>
    <row r="386" customFormat="false" ht="15.75" hidden="false" customHeight="true" outlineLevel="0" collapsed="false">
      <c r="A386" s="63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</row>
    <row r="387" customFormat="false" ht="15.75" hidden="false" customHeight="true" outlineLevel="0" collapsed="false">
      <c r="A387" s="63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</row>
    <row r="388" customFormat="false" ht="15.75" hidden="false" customHeight="true" outlineLevel="0" collapsed="false">
      <c r="A388" s="63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</row>
    <row r="389" customFormat="false" ht="15.75" hidden="false" customHeight="true" outlineLevel="0" collapsed="false">
      <c r="A389" s="63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</row>
    <row r="390" customFormat="false" ht="15.75" hidden="false" customHeight="true" outlineLevel="0" collapsed="false">
      <c r="A390" s="63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</row>
    <row r="391" customFormat="false" ht="15.75" hidden="false" customHeight="true" outlineLevel="0" collapsed="false">
      <c r="A391" s="63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</row>
    <row r="392" customFormat="false" ht="15.75" hidden="false" customHeight="true" outlineLevel="0" collapsed="false">
      <c r="A392" s="63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</row>
    <row r="393" customFormat="false" ht="15.75" hidden="false" customHeight="true" outlineLevel="0" collapsed="false">
      <c r="A393" s="63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</row>
    <row r="394" customFormat="false" ht="15.75" hidden="false" customHeight="true" outlineLevel="0" collapsed="false">
      <c r="A394" s="63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</row>
    <row r="395" customFormat="false" ht="15.75" hidden="false" customHeight="true" outlineLevel="0" collapsed="false">
      <c r="A395" s="63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</row>
    <row r="396" customFormat="false" ht="15.75" hidden="false" customHeight="true" outlineLevel="0" collapsed="false">
      <c r="A396" s="63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</row>
    <row r="397" customFormat="false" ht="15.75" hidden="false" customHeight="true" outlineLevel="0" collapsed="false">
      <c r="A397" s="63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</row>
    <row r="398" customFormat="false" ht="15.75" hidden="false" customHeight="true" outlineLevel="0" collapsed="false">
      <c r="A398" s="63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</row>
    <row r="399" customFormat="false" ht="15.75" hidden="false" customHeight="true" outlineLevel="0" collapsed="false">
      <c r="A399" s="63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</row>
    <row r="400" customFormat="false" ht="15.75" hidden="false" customHeight="true" outlineLevel="0" collapsed="false">
      <c r="A400" s="63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</row>
    <row r="401" customFormat="false" ht="15.75" hidden="false" customHeight="true" outlineLevel="0" collapsed="false">
      <c r="A401" s="63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</row>
    <row r="402" customFormat="false" ht="15.75" hidden="false" customHeight="true" outlineLevel="0" collapsed="false">
      <c r="A402" s="63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</row>
    <row r="403" customFormat="false" ht="15.75" hidden="false" customHeight="true" outlineLevel="0" collapsed="false">
      <c r="A403" s="63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</row>
    <row r="404" customFormat="false" ht="15.75" hidden="false" customHeight="true" outlineLevel="0" collapsed="false">
      <c r="A404" s="63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</row>
    <row r="405" customFormat="false" ht="15.75" hidden="false" customHeight="true" outlineLevel="0" collapsed="false">
      <c r="A405" s="63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</row>
    <row r="406" customFormat="false" ht="15.75" hidden="false" customHeight="true" outlineLevel="0" collapsed="false">
      <c r="A406" s="63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</row>
    <row r="407" customFormat="false" ht="15.75" hidden="false" customHeight="true" outlineLevel="0" collapsed="false">
      <c r="A407" s="63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</row>
    <row r="408" customFormat="false" ht="15.75" hidden="false" customHeight="true" outlineLevel="0" collapsed="false">
      <c r="A408" s="63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</row>
    <row r="409" customFormat="false" ht="15.75" hidden="false" customHeight="true" outlineLevel="0" collapsed="false">
      <c r="A409" s="63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</row>
    <row r="410" customFormat="false" ht="15.75" hidden="false" customHeight="true" outlineLevel="0" collapsed="false">
      <c r="A410" s="63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</row>
    <row r="411" customFormat="false" ht="15.75" hidden="false" customHeight="true" outlineLevel="0" collapsed="false">
      <c r="A411" s="63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</row>
    <row r="412" customFormat="false" ht="15.75" hidden="false" customHeight="true" outlineLevel="0" collapsed="false">
      <c r="A412" s="63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</row>
    <row r="413" customFormat="false" ht="15.75" hidden="false" customHeight="true" outlineLevel="0" collapsed="false">
      <c r="A413" s="63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</row>
    <row r="414" customFormat="false" ht="15.75" hidden="false" customHeight="true" outlineLevel="0" collapsed="false">
      <c r="A414" s="63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</row>
    <row r="415" customFormat="false" ht="15.75" hidden="false" customHeight="true" outlineLevel="0" collapsed="false">
      <c r="A415" s="63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</row>
    <row r="416" customFormat="false" ht="15.75" hidden="false" customHeight="true" outlineLevel="0" collapsed="false">
      <c r="A416" s="63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</row>
    <row r="417" customFormat="false" ht="15.75" hidden="false" customHeight="true" outlineLevel="0" collapsed="false">
      <c r="A417" s="63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</row>
    <row r="418" customFormat="false" ht="15.75" hidden="false" customHeight="true" outlineLevel="0" collapsed="false">
      <c r="A418" s="63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</row>
    <row r="419" customFormat="false" ht="15.75" hidden="false" customHeight="true" outlineLevel="0" collapsed="false">
      <c r="A419" s="63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</row>
    <row r="420" customFormat="false" ht="15.75" hidden="false" customHeight="true" outlineLevel="0" collapsed="false">
      <c r="A420" s="63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</row>
    <row r="421" customFormat="false" ht="15.75" hidden="false" customHeight="true" outlineLevel="0" collapsed="false">
      <c r="A421" s="63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</row>
    <row r="422" customFormat="false" ht="15.75" hidden="false" customHeight="true" outlineLevel="0" collapsed="false">
      <c r="A422" s="63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</row>
    <row r="423" customFormat="false" ht="15.75" hidden="false" customHeight="true" outlineLevel="0" collapsed="false">
      <c r="A423" s="63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</row>
    <row r="424" customFormat="false" ht="15.75" hidden="false" customHeight="true" outlineLevel="0" collapsed="false">
      <c r="A424" s="63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</row>
    <row r="425" customFormat="false" ht="15.75" hidden="false" customHeight="true" outlineLevel="0" collapsed="false">
      <c r="A425" s="63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</row>
    <row r="426" customFormat="false" ht="15.75" hidden="false" customHeight="true" outlineLevel="0" collapsed="false">
      <c r="A426" s="63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</row>
    <row r="427" customFormat="false" ht="15.75" hidden="false" customHeight="true" outlineLevel="0" collapsed="false">
      <c r="A427" s="63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</row>
    <row r="428" customFormat="false" ht="15.75" hidden="false" customHeight="true" outlineLevel="0" collapsed="false">
      <c r="A428" s="63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</row>
    <row r="429" customFormat="false" ht="15.75" hidden="false" customHeight="true" outlineLevel="0" collapsed="false">
      <c r="A429" s="63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</row>
    <row r="430" customFormat="false" ht="15.75" hidden="false" customHeight="true" outlineLevel="0" collapsed="false">
      <c r="A430" s="63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</row>
    <row r="431" customFormat="false" ht="15.75" hidden="false" customHeight="true" outlineLevel="0" collapsed="false">
      <c r="A431" s="63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</row>
    <row r="432" customFormat="false" ht="15.75" hidden="false" customHeight="true" outlineLevel="0" collapsed="false">
      <c r="A432" s="63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</row>
    <row r="433" customFormat="false" ht="15.75" hidden="false" customHeight="true" outlineLevel="0" collapsed="false">
      <c r="A433" s="63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</row>
    <row r="434" customFormat="false" ht="15.75" hidden="false" customHeight="true" outlineLevel="0" collapsed="false">
      <c r="A434" s="63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</row>
    <row r="435" customFormat="false" ht="15.75" hidden="false" customHeight="true" outlineLevel="0" collapsed="false">
      <c r="A435" s="63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</row>
    <row r="436" customFormat="false" ht="15.75" hidden="false" customHeight="true" outlineLevel="0" collapsed="false">
      <c r="A436" s="63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</row>
    <row r="437" customFormat="false" ht="15.75" hidden="false" customHeight="true" outlineLevel="0" collapsed="false">
      <c r="A437" s="63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</row>
    <row r="438" customFormat="false" ht="15.75" hidden="false" customHeight="true" outlineLevel="0" collapsed="false">
      <c r="A438" s="63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</row>
    <row r="439" customFormat="false" ht="15.75" hidden="false" customHeight="true" outlineLevel="0" collapsed="false">
      <c r="A439" s="63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</row>
    <row r="440" customFormat="false" ht="15.75" hidden="false" customHeight="true" outlineLevel="0" collapsed="false">
      <c r="A440" s="63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</row>
    <row r="441" customFormat="false" ht="15.75" hidden="false" customHeight="true" outlineLevel="0" collapsed="false">
      <c r="A441" s="63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</row>
    <row r="442" customFormat="false" ht="15.75" hidden="false" customHeight="true" outlineLevel="0" collapsed="false">
      <c r="A442" s="63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</row>
    <row r="443" customFormat="false" ht="15.75" hidden="false" customHeight="true" outlineLevel="0" collapsed="false">
      <c r="A443" s="63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</row>
    <row r="444" customFormat="false" ht="15.75" hidden="false" customHeight="true" outlineLevel="0" collapsed="false">
      <c r="A444" s="63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</row>
    <row r="445" customFormat="false" ht="15.75" hidden="false" customHeight="true" outlineLevel="0" collapsed="false">
      <c r="A445" s="63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</row>
    <row r="446" customFormat="false" ht="15.75" hidden="false" customHeight="true" outlineLevel="0" collapsed="false">
      <c r="A446" s="63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</row>
    <row r="447" customFormat="false" ht="15.75" hidden="false" customHeight="true" outlineLevel="0" collapsed="false">
      <c r="A447" s="63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</row>
    <row r="448" customFormat="false" ht="15.75" hidden="false" customHeight="true" outlineLevel="0" collapsed="false">
      <c r="A448" s="63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</row>
    <row r="449" customFormat="false" ht="15.75" hidden="false" customHeight="true" outlineLevel="0" collapsed="false">
      <c r="A449" s="63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</row>
    <row r="450" customFormat="false" ht="15.75" hidden="false" customHeight="true" outlineLevel="0" collapsed="false">
      <c r="A450" s="63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</row>
    <row r="451" customFormat="false" ht="15.75" hidden="false" customHeight="true" outlineLevel="0" collapsed="false">
      <c r="A451" s="63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</row>
    <row r="452" customFormat="false" ht="15.75" hidden="false" customHeight="true" outlineLevel="0" collapsed="false">
      <c r="A452" s="63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</row>
    <row r="453" customFormat="false" ht="15.75" hidden="false" customHeight="true" outlineLevel="0" collapsed="false">
      <c r="A453" s="63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</row>
    <row r="454" customFormat="false" ht="15.75" hidden="false" customHeight="true" outlineLevel="0" collapsed="false">
      <c r="A454" s="63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</row>
    <row r="455" customFormat="false" ht="15.75" hidden="false" customHeight="true" outlineLevel="0" collapsed="false">
      <c r="A455" s="63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</row>
    <row r="456" customFormat="false" ht="15.75" hidden="false" customHeight="true" outlineLevel="0" collapsed="false">
      <c r="A456" s="63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</row>
    <row r="457" customFormat="false" ht="15.75" hidden="false" customHeight="true" outlineLevel="0" collapsed="false">
      <c r="A457" s="63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</row>
    <row r="458" customFormat="false" ht="15.75" hidden="false" customHeight="true" outlineLevel="0" collapsed="false">
      <c r="A458" s="63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</row>
    <row r="459" customFormat="false" ht="15.75" hidden="false" customHeight="true" outlineLevel="0" collapsed="false">
      <c r="A459" s="63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</row>
    <row r="460" customFormat="false" ht="15.75" hidden="false" customHeight="true" outlineLevel="0" collapsed="false">
      <c r="A460" s="63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</row>
    <row r="461" customFormat="false" ht="15.75" hidden="false" customHeight="true" outlineLevel="0" collapsed="false">
      <c r="A461" s="63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</row>
    <row r="462" customFormat="false" ht="15.75" hidden="false" customHeight="true" outlineLevel="0" collapsed="false">
      <c r="A462" s="63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</row>
    <row r="463" customFormat="false" ht="15.75" hidden="false" customHeight="true" outlineLevel="0" collapsed="false">
      <c r="A463" s="63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</row>
    <row r="464" customFormat="false" ht="15.75" hidden="false" customHeight="true" outlineLevel="0" collapsed="false">
      <c r="A464" s="63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</row>
    <row r="465" customFormat="false" ht="15.75" hidden="false" customHeight="true" outlineLevel="0" collapsed="false">
      <c r="A465" s="63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</row>
    <row r="466" customFormat="false" ht="15.75" hidden="false" customHeight="true" outlineLevel="0" collapsed="false">
      <c r="A466" s="63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</row>
    <row r="467" customFormat="false" ht="15.75" hidden="false" customHeight="true" outlineLevel="0" collapsed="false">
      <c r="A467" s="63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</row>
    <row r="468" customFormat="false" ht="15.75" hidden="false" customHeight="true" outlineLevel="0" collapsed="false">
      <c r="A468" s="63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</row>
    <row r="469" customFormat="false" ht="15.75" hidden="false" customHeight="true" outlineLevel="0" collapsed="false">
      <c r="A469" s="63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</row>
    <row r="470" customFormat="false" ht="15.75" hidden="false" customHeight="true" outlineLevel="0" collapsed="false">
      <c r="A470" s="63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</row>
    <row r="471" customFormat="false" ht="15.75" hidden="false" customHeight="true" outlineLevel="0" collapsed="false">
      <c r="A471" s="63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</row>
    <row r="472" customFormat="false" ht="15.75" hidden="false" customHeight="true" outlineLevel="0" collapsed="false">
      <c r="A472" s="63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</row>
    <row r="473" customFormat="false" ht="15.75" hidden="false" customHeight="true" outlineLevel="0" collapsed="false">
      <c r="A473" s="63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</row>
    <row r="474" customFormat="false" ht="15.75" hidden="false" customHeight="true" outlineLevel="0" collapsed="false">
      <c r="A474" s="63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</row>
    <row r="475" customFormat="false" ht="15.75" hidden="false" customHeight="true" outlineLevel="0" collapsed="false">
      <c r="A475" s="63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</row>
    <row r="476" customFormat="false" ht="15.75" hidden="false" customHeight="true" outlineLevel="0" collapsed="false">
      <c r="A476" s="63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</row>
    <row r="477" customFormat="false" ht="15.75" hidden="false" customHeight="true" outlineLevel="0" collapsed="false">
      <c r="A477" s="63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</row>
    <row r="478" customFormat="false" ht="15.75" hidden="false" customHeight="true" outlineLevel="0" collapsed="false">
      <c r="A478" s="63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</row>
    <row r="479" customFormat="false" ht="15.75" hidden="false" customHeight="true" outlineLevel="0" collapsed="false">
      <c r="A479" s="63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</row>
    <row r="480" customFormat="false" ht="15.75" hidden="false" customHeight="true" outlineLevel="0" collapsed="false">
      <c r="A480" s="63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</row>
    <row r="481" customFormat="false" ht="15.75" hidden="false" customHeight="true" outlineLevel="0" collapsed="false">
      <c r="A481" s="63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</row>
    <row r="482" customFormat="false" ht="15.75" hidden="false" customHeight="true" outlineLevel="0" collapsed="false">
      <c r="A482" s="63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</row>
    <row r="483" customFormat="false" ht="15.75" hidden="false" customHeight="true" outlineLevel="0" collapsed="false">
      <c r="A483" s="63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</row>
    <row r="484" customFormat="false" ht="15.75" hidden="false" customHeight="true" outlineLevel="0" collapsed="false">
      <c r="A484" s="63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</row>
    <row r="485" customFormat="false" ht="15.75" hidden="false" customHeight="true" outlineLevel="0" collapsed="false">
      <c r="A485" s="63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</row>
    <row r="486" customFormat="false" ht="15.75" hidden="false" customHeight="true" outlineLevel="0" collapsed="false">
      <c r="A486" s="63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</row>
    <row r="487" customFormat="false" ht="15.75" hidden="false" customHeight="true" outlineLevel="0" collapsed="false">
      <c r="A487" s="63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</row>
    <row r="488" customFormat="false" ht="15.75" hidden="false" customHeight="true" outlineLevel="0" collapsed="false">
      <c r="A488" s="63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</row>
    <row r="489" customFormat="false" ht="15.75" hidden="false" customHeight="true" outlineLevel="0" collapsed="false">
      <c r="A489" s="63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</row>
    <row r="490" customFormat="false" ht="15.75" hidden="false" customHeight="true" outlineLevel="0" collapsed="false">
      <c r="A490" s="63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</row>
    <row r="491" customFormat="false" ht="15.75" hidden="false" customHeight="true" outlineLevel="0" collapsed="false">
      <c r="A491" s="63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</row>
    <row r="492" customFormat="false" ht="15.75" hidden="false" customHeight="true" outlineLevel="0" collapsed="false">
      <c r="A492" s="63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</row>
    <row r="493" customFormat="false" ht="15.75" hidden="false" customHeight="true" outlineLevel="0" collapsed="false">
      <c r="A493" s="63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</row>
    <row r="494" customFormat="false" ht="15.75" hidden="false" customHeight="true" outlineLevel="0" collapsed="false">
      <c r="A494" s="63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</row>
    <row r="495" customFormat="false" ht="15.75" hidden="false" customHeight="true" outlineLevel="0" collapsed="false">
      <c r="A495" s="63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</row>
    <row r="496" customFormat="false" ht="15.75" hidden="false" customHeight="true" outlineLevel="0" collapsed="false">
      <c r="A496" s="63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</row>
    <row r="497" customFormat="false" ht="15.75" hidden="false" customHeight="true" outlineLevel="0" collapsed="false">
      <c r="A497" s="63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</row>
    <row r="498" customFormat="false" ht="15.75" hidden="false" customHeight="true" outlineLevel="0" collapsed="false">
      <c r="A498" s="63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</row>
    <row r="499" customFormat="false" ht="15.75" hidden="false" customHeight="true" outlineLevel="0" collapsed="false">
      <c r="A499" s="63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</row>
    <row r="500" customFormat="false" ht="15.75" hidden="false" customHeight="true" outlineLevel="0" collapsed="false">
      <c r="A500" s="63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</row>
    <row r="501" customFormat="false" ht="15.75" hidden="false" customHeight="true" outlineLevel="0" collapsed="false">
      <c r="A501" s="63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</row>
    <row r="502" customFormat="false" ht="15.75" hidden="false" customHeight="true" outlineLevel="0" collapsed="false">
      <c r="A502" s="63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</row>
    <row r="503" customFormat="false" ht="15.75" hidden="false" customHeight="true" outlineLevel="0" collapsed="false">
      <c r="A503" s="63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</row>
    <row r="504" customFormat="false" ht="15.75" hidden="false" customHeight="true" outlineLevel="0" collapsed="false">
      <c r="A504" s="63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</row>
    <row r="505" customFormat="false" ht="15.75" hidden="false" customHeight="true" outlineLevel="0" collapsed="false">
      <c r="A505" s="63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</row>
    <row r="506" customFormat="false" ht="15.75" hidden="false" customHeight="true" outlineLevel="0" collapsed="false">
      <c r="A506" s="63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</row>
    <row r="507" customFormat="false" ht="15.75" hidden="false" customHeight="true" outlineLevel="0" collapsed="false">
      <c r="A507" s="63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</row>
    <row r="508" customFormat="false" ht="15.75" hidden="false" customHeight="true" outlineLevel="0" collapsed="false">
      <c r="A508" s="63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</row>
    <row r="509" customFormat="false" ht="15.75" hidden="false" customHeight="true" outlineLevel="0" collapsed="false">
      <c r="A509" s="63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</row>
    <row r="510" customFormat="false" ht="15.75" hidden="false" customHeight="true" outlineLevel="0" collapsed="false">
      <c r="A510" s="63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</row>
    <row r="511" customFormat="false" ht="15.75" hidden="false" customHeight="true" outlineLevel="0" collapsed="false">
      <c r="A511" s="63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</row>
    <row r="512" customFormat="false" ht="15.75" hidden="false" customHeight="true" outlineLevel="0" collapsed="false">
      <c r="A512" s="63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</row>
    <row r="513" customFormat="false" ht="15.75" hidden="false" customHeight="true" outlineLevel="0" collapsed="false">
      <c r="A513" s="63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</row>
    <row r="514" customFormat="false" ht="15.75" hidden="false" customHeight="true" outlineLevel="0" collapsed="false">
      <c r="A514" s="63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</row>
    <row r="515" customFormat="false" ht="15.75" hidden="false" customHeight="true" outlineLevel="0" collapsed="false">
      <c r="A515" s="63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</row>
    <row r="516" customFormat="false" ht="15.75" hidden="false" customHeight="true" outlineLevel="0" collapsed="false">
      <c r="A516" s="63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</row>
    <row r="517" customFormat="false" ht="15.75" hidden="false" customHeight="true" outlineLevel="0" collapsed="false">
      <c r="A517" s="63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</row>
    <row r="518" customFormat="false" ht="15.75" hidden="false" customHeight="true" outlineLevel="0" collapsed="false">
      <c r="A518" s="63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</row>
    <row r="519" customFormat="false" ht="15.75" hidden="false" customHeight="true" outlineLevel="0" collapsed="false">
      <c r="A519" s="63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</row>
    <row r="520" customFormat="false" ht="15.75" hidden="false" customHeight="true" outlineLevel="0" collapsed="false">
      <c r="A520" s="63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</row>
    <row r="521" customFormat="false" ht="15.75" hidden="false" customHeight="true" outlineLevel="0" collapsed="false">
      <c r="A521" s="63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</row>
    <row r="522" customFormat="false" ht="15.75" hidden="false" customHeight="true" outlineLevel="0" collapsed="false">
      <c r="A522" s="63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</row>
    <row r="523" customFormat="false" ht="15.75" hidden="false" customHeight="true" outlineLevel="0" collapsed="false">
      <c r="A523" s="63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</row>
    <row r="524" customFormat="false" ht="15.75" hidden="false" customHeight="true" outlineLevel="0" collapsed="false">
      <c r="A524" s="63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</row>
    <row r="525" customFormat="false" ht="15.75" hidden="false" customHeight="true" outlineLevel="0" collapsed="false">
      <c r="A525" s="63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</row>
    <row r="526" customFormat="false" ht="15.75" hidden="false" customHeight="true" outlineLevel="0" collapsed="false">
      <c r="A526" s="63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</row>
    <row r="527" customFormat="false" ht="15.75" hidden="false" customHeight="true" outlineLevel="0" collapsed="false">
      <c r="A527" s="63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</row>
    <row r="528" customFormat="false" ht="15.75" hidden="false" customHeight="true" outlineLevel="0" collapsed="false">
      <c r="A528" s="63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</row>
    <row r="529" customFormat="false" ht="15.75" hidden="false" customHeight="true" outlineLevel="0" collapsed="false">
      <c r="A529" s="63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</row>
    <row r="530" customFormat="false" ht="15.75" hidden="false" customHeight="true" outlineLevel="0" collapsed="false">
      <c r="A530" s="63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</row>
    <row r="531" customFormat="false" ht="15.75" hidden="false" customHeight="true" outlineLevel="0" collapsed="false">
      <c r="A531" s="63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</row>
    <row r="532" customFormat="false" ht="15.75" hidden="false" customHeight="true" outlineLevel="0" collapsed="false">
      <c r="A532" s="63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</row>
    <row r="533" customFormat="false" ht="15.75" hidden="false" customHeight="true" outlineLevel="0" collapsed="false">
      <c r="A533" s="63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</row>
    <row r="534" customFormat="false" ht="15.75" hidden="false" customHeight="true" outlineLevel="0" collapsed="false">
      <c r="A534" s="63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</row>
    <row r="535" customFormat="false" ht="15.75" hidden="false" customHeight="true" outlineLevel="0" collapsed="false">
      <c r="A535" s="63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</row>
    <row r="536" customFormat="false" ht="15.75" hidden="false" customHeight="true" outlineLevel="0" collapsed="false">
      <c r="A536" s="63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</row>
    <row r="537" customFormat="false" ht="15.75" hidden="false" customHeight="true" outlineLevel="0" collapsed="false">
      <c r="A537" s="63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</row>
    <row r="538" customFormat="false" ht="15.75" hidden="false" customHeight="true" outlineLevel="0" collapsed="false">
      <c r="A538" s="63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</row>
    <row r="539" customFormat="false" ht="15.75" hidden="false" customHeight="true" outlineLevel="0" collapsed="false">
      <c r="A539" s="63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</row>
    <row r="540" customFormat="false" ht="15.75" hidden="false" customHeight="true" outlineLevel="0" collapsed="false">
      <c r="A540" s="63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</row>
    <row r="541" customFormat="false" ht="15.75" hidden="false" customHeight="true" outlineLevel="0" collapsed="false">
      <c r="A541" s="63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</row>
    <row r="542" customFormat="false" ht="15.75" hidden="false" customHeight="true" outlineLevel="0" collapsed="false">
      <c r="A542" s="63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</row>
    <row r="543" customFormat="false" ht="15.75" hidden="false" customHeight="true" outlineLevel="0" collapsed="false">
      <c r="A543" s="63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</row>
    <row r="544" customFormat="false" ht="15.75" hidden="false" customHeight="true" outlineLevel="0" collapsed="false">
      <c r="A544" s="63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</row>
    <row r="545" customFormat="false" ht="15.75" hidden="false" customHeight="true" outlineLevel="0" collapsed="false">
      <c r="A545" s="63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</row>
    <row r="546" customFormat="false" ht="15.75" hidden="false" customHeight="true" outlineLevel="0" collapsed="false">
      <c r="A546" s="63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</row>
    <row r="547" customFormat="false" ht="15.75" hidden="false" customHeight="true" outlineLevel="0" collapsed="false">
      <c r="A547" s="63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</row>
    <row r="548" customFormat="false" ht="15.75" hidden="false" customHeight="true" outlineLevel="0" collapsed="false">
      <c r="A548" s="63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</row>
    <row r="549" customFormat="false" ht="15.75" hidden="false" customHeight="true" outlineLevel="0" collapsed="false">
      <c r="A549" s="63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</row>
    <row r="550" customFormat="false" ht="15.75" hidden="false" customHeight="true" outlineLevel="0" collapsed="false">
      <c r="A550" s="63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</row>
    <row r="551" customFormat="false" ht="15.75" hidden="false" customHeight="true" outlineLevel="0" collapsed="false">
      <c r="A551" s="63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</row>
    <row r="552" customFormat="false" ht="15.75" hidden="false" customHeight="true" outlineLevel="0" collapsed="false">
      <c r="A552" s="63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</row>
    <row r="553" customFormat="false" ht="15.75" hidden="false" customHeight="true" outlineLevel="0" collapsed="false">
      <c r="A553" s="63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</row>
    <row r="554" customFormat="false" ht="15.75" hidden="false" customHeight="true" outlineLevel="0" collapsed="false">
      <c r="A554" s="63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</row>
    <row r="555" customFormat="false" ht="15.75" hidden="false" customHeight="true" outlineLevel="0" collapsed="false">
      <c r="A555" s="63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</row>
    <row r="556" customFormat="false" ht="15.75" hidden="false" customHeight="true" outlineLevel="0" collapsed="false">
      <c r="A556" s="63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</row>
    <row r="557" customFormat="false" ht="15.75" hidden="false" customHeight="true" outlineLevel="0" collapsed="false">
      <c r="A557" s="63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</row>
    <row r="558" customFormat="false" ht="15.75" hidden="false" customHeight="true" outlineLevel="0" collapsed="false">
      <c r="A558" s="63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</row>
    <row r="559" customFormat="false" ht="15.75" hidden="false" customHeight="true" outlineLevel="0" collapsed="false">
      <c r="A559" s="63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</row>
    <row r="560" customFormat="false" ht="15.75" hidden="false" customHeight="true" outlineLevel="0" collapsed="false">
      <c r="A560" s="63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</row>
    <row r="561" customFormat="false" ht="15.75" hidden="false" customHeight="true" outlineLevel="0" collapsed="false">
      <c r="A561" s="63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</row>
    <row r="562" customFormat="false" ht="15.75" hidden="false" customHeight="true" outlineLevel="0" collapsed="false">
      <c r="A562" s="63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</row>
    <row r="563" customFormat="false" ht="15.75" hidden="false" customHeight="true" outlineLevel="0" collapsed="false">
      <c r="A563" s="63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</row>
    <row r="564" customFormat="false" ht="15.75" hidden="false" customHeight="true" outlineLevel="0" collapsed="false">
      <c r="A564" s="63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</row>
    <row r="565" customFormat="false" ht="15.75" hidden="false" customHeight="true" outlineLevel="0" collapsed="false">
      <c r="A565" s="63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</row>
    <row r="566" customFormat="false" ht="15.75" hidden="false" customHeight="true" outlineLevel="0" collapsed="false">
      <c r="A566" s="63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</row>
    <row r="567" customFormat="false" ht="15.75" hidden="false" customHeight="true" outlineLevel="0" collapsed="false">
      <c r="A567" s="63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</row>
    <row r="568" customFormat="false" ht="15.75" hidden="false" customHeight="true" outlineLevel="0" collapsed="false">
      <c r="A568" s="63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</row>
    <row r="569" customFormat="false" ht="15.75" hidden="false" customHeight="true" outlineLevel="0" collapsed="false">
      <c r="A569" s="63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</row>
    <row r="570" customFormat="false" ht="15.75" hidden="false" customHeight="true" outlineLevel="0" collapsed="false">
      <c r="A570" s="63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</row>
    <row r="571" customFormat="false" ht="15.75" hidden="false" customHeight="true" outlineLevel="0" collapsed="false">
      <c r="A571" s="63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</row>
    <row r="572" customFormat="false" ht="15.75" hidden="false" customHeight="true" outlineLevel="0" collapsed="false">
      <c r="A572" s="63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</row>
    <row r="573" customFormat="false" ht="15.75" hidden="false" customHeight="true" outlineLevel="0" collapsed="false">
      <c r="A573" s="63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</row>
    <row r="574" customFormat="false" ht="15.75" hidden="false" customHeight="true" outlineLevel="0" collapsed="false">
      <c r="A574" s="63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</row>
    <row r="575" customFormat="false" ht="15.75" hidden="false" customHeight="true" outlineLevel="0" collapsed="false">
      <c r="A575" s="63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</row>
    <row r="576" customFormat="false" ht="15.75" hidden="false" customHeight="true" outlineLevel="0" collapsed="false">
      <c r="A576" s="63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</row>
    <row r="577" customFormat="false" ht="15.75" hidden="false" customHeight="true" outlineLevel="0" collapsed="false">
      <c r="A577" s="63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</row>
    <row r="578" customFormat="false" ht="15.75" hidden="false" customHeight="true" outlineLevel="0" collapsed="false">
      <c r="A578" s="63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</row>
    <row r="579" customFormat="false" ht="15.75" hidden="false" customHeight="true" outlineLevel="0" collapsed="false">
      <c r="A579" s="63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</row>
    <row r="580" customFormat="false" ht="15.75" hidden="false" customHeight="true" outlineLevel="0" collapsed="false">
      <c r="A580" s="63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</row>
    <row r="581" customFormat="false" ht="15.75" hidden="false" customHeight="true" outlineLevel="0" collapsed="false">
      <c r="A581" s="63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</row>
    <row r="582" customFormat="false" ht="15.75" hidden="false" customHeight="true" outlineLevel="0" collapsed="false">
      <c r="A582" s="63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</row>
    <row r="583" customFormat="false" ht="15.75" hidden="false" customHeight="true" outlineLevel="0" collapsed="false">
      <c r="A583" s="63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</row>
    <row r="584" customFormat="false" ht="15.75" hidden="false" customHeight="true" outlineLevel="0" collapsed="false">
      <c r="A584" s="63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</row>
    <row r="585" customFormat="false" ht="15.75" hidden="false" customHeight="true" outlineLevel="0" collapsed="false">
      <c r="A585" s="63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</row>
    <row r="586" customFormat="false" ht="15.75" hidden="false" customHeight="true" outlineLevel="0" collapsed="false">
      <c r="A586" s="63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</row>
    <row r="587" customFormat="false" ht="15.75" hidden="false" customHeight="true" outlineLevel="0" collapsed="false">
      <c r="A587" s="63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</row>
    <row r="588" customFormat="false" ht="15.75" hidden="false" customHeight="true" outlineLevel="0" collapsed="false">
      <c r="A588" s="63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</row>
    <row r="589" customFormat="false" ht="15.75" hidden="false" customHeight="true" outlineLevel="0" collapsed="false">
      <c r="A589" s="63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</row>
    <row r="590" customFormat="false" ht="15.75" hidden="false" customHeight="true" outlineLevel="0" collapsed="false">
      <c r="A590" s="63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</row>
    <row r="591" customFormat="false" ht="15.75" hidden="false" customHeight="true" outlineLevel="0" collapsed="false">
      <c r="A591" s="63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</row>
    <row r="592" customFormat="false" ht="15.75" hidden="false" customHeight="true" outlineLevel="0" collapsed="false">
      <c r="A592" s="63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</row>
    <row r="593" customFormat="false" ht="15.75" hidden="false" customHeight="true" outlineLevel="0" collapsed="false">
      <c r="A593" s="63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</row>
    <row r="594" customFormat="false" ht="15.75" hidden="false" customHeight="true" outlineLevel="0" collapsed="false">
      <c r="A594" s="63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</row>
    <row r="595" customFormat="false" ht="15.75" hidden="false" customHeight="true" outlineLevel="0" collapsed="false">
      <c r="A595" s="63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</row>
    <row r="596" customFormat="false" ht="15.75" hidden="false" customHeight="true" outlineLevel="0" collapsed="false">
      <c r="A596" s="63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</row>
    <row r="597" customFormat="false" ht="15.75" hidden="false" customHeight="true" outlineLevel="0" collapsed="false">
      <c r="A597" s="63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</row>
    <row r="598" customFormat="false" ht="15.75" hidden="false" customHeight="true" outlineLevel="0" collapsed="false">
      <c r="A598" s="63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</row>
    <row r="599" customFormat="false" ht="15.75" hidden="false" customHeight="true" outlineLevel="0" collapsed="false">
      <c r="A599" s="63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</row>
    <row r="600" customFormat="false" ht="15.75" hidden="false" customHeight="true" outlineLevel="0" collapsed="false">
      <c r="A600" s="63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</row>
    <row r="601" customFormat="false" ht="15.75" hidden="false" customHeight="true" outlineLevel="0" collapsed="false">
      <c r="A601" s="63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</row>
    <row r="602" customFormat="false" ht="15.75" hidden="false" customHeight="true" outlineLevel="0" collapsed="false">
      <c r="A602" s="63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</row>
    <row r="603" customFormat="false" ht="15.75" hidden="false" customHeight="true" outlineLevel="0" collapsed="false">
      <c r="A603" s="63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</row>
    <row r="604" customFormat="false" ht="15.75" hidden="false" customHeight="true" outlineLevel="0" collapsed="false">
      <c r="A604" s="63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</row>
    <row r="605" customFormat="false" ht="15.75" hidden="false" customHeight="true" outlineLevel="0" collapsed="false">
      <c r="A605" s="63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</row>
    <row r="606" customFormat="false" ht="15.75" hidden="false" customHeight="true" outlineLevel="0" collapsed="false">
      <c r="A606" s="63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</row>
    <row r="607" customFormat="false" ht="15.75" hidden="false" customHeight="true" outlineLevel="0" collapsed="false">
      <c r="A607" s="63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</row>
    <row r="608" customFormat="false" ht="15.75" hidden="false" customHeight="true" outlineLevel="0" collapsed="false">
      <c r="A608" s="63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</row>
    <row r="609" customFormat="false" ht="15.75" hidden="false" customHeight="true" outlineLevel="0" collapsed="false">
      <c r="A609" s="63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</row>
    <row r="610" customFormat="false" ht="15.75" hidden="false" customHeight="true" outlineLevel="0" collapsed="false">
      <c r="A610" s="63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</row>
    <row r="611" customFormat="false" ht="15.75" hidden="false" customHeight="true" outlineLevel="0" collapsed="false">
      <c r="A611" s="63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</row>
    <row r="612" customFormat="false" ht="15.75" hidden="false" customHeight="true" outlineLevel="0" collapsed="false">
      <c r="A612" s="63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</row>
    <row r="613" customFormat="false" ht="15.75" hidden="false" customHeight="true" outlineLevel="0" collapsed="false">
      <c r="A613" s="63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</row>
    <row r="614" customFormat="false" ht="15.75" hidden="false" customHeight="true" outlineLevel="0" collapsed="false">
      <c r="A614" s="63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</row>
    <row r="615" customFormat="false" ht="15.75" hidden="false" customHeight="true" outlineLevel="0" collapsed="false">
      <c r="A615" s="63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</row>
    <row r="616" customFormat="false" ht="15.75" hidden="false" customHeight="true" outlineLevel="0" collapsed="false">
      <c r="A616" s="63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</row>
    <row r="617" customFormat="false" ht="15.75" hidden="false" customHeight="true" outlineLevel="0" collapsed="false">
      <c r="A617" s="63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</row>
    <row r="618" customFormat="false" ht="15.75" hidden="false" customHeight="true" outlineLevel="0" collapsed="false">
      <c r="A618" s="63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</row>
    <row r="619" customFormat="false" ht="15.75" hidden="false" customHeight="true" outlineLevel="0" collapsed="false">
      <c r="A619" s="63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</row>
    <row r="620" customFormat="false" ht="15.75" hidden="false" customHeight="true" outlineLevel="0" collapsed="false">
      <c r="A620" s="63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</row>
    <row r="621" customFormat="false" ht="15.75" hidden="false" customHeight="true" outlineLevel="0" collapsed="false">
      <c r="A621" s="63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</row>
    <row r="622" customFormat="false" ht="15.75" hidden="false" customHeight="true" outlineLevel="0" collapsed="false">
      <c r="A622" s="63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</row>
    <row r="623" customFormat="false" ht="15.75" hidden="false" customHeight="true" outlineLevel="0" collapsed="false">
      <c r="A623" s="63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</row>
    <row r="624" customFormat="false" ht="15.75" hidden="false" customHeight="true" outlineLevel="0" collapsed="false">
      <c r="A624" s="63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</row>
    <row r="625" customFormat="false" ht="15.75" hidden="false" customHeight="true" outlineLevel="0" collapsed="false">
      <c r="A625" s="63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</row>
    <row r="626" customFormat="false" ht="15.75" hidden="false" customHeight="true" outlineLevel="0" collapsed="false">
      <c r="A626" s="63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</row>
    <row r="627" customFormat="false" ht="15.75" hidden="false" customHeight="true" outlineLevel="0" collapsed="false">
      <c r="A627" s="63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</row>
    <row r="628" customFormat="false" ht="15.75" hidden="false" customHeight="true" outlineLevel="0" collapsed="false">
      <c r="A628" s="63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</row>
    <row r="629" customFormat="false" ht="15.75" hidden="false" customHeight="true" outlineLevel="0" collapsed="false">
      <c r="A629" s="63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</row>
    <row r="630" customFormat="false" ht="15.75" hidden="false" customHeight="true" outlineLevel="0" collapsed="false">
      <c r="A630" s="63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</row>
    <row r="631" customFormat="false" ht="15.75" hidden="false" customHeight="true" outlineLevel="0" collapsed="false">
      <c r="A631" s="63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</row>
    <row r="632" customFormat="false" ht="15.75" hidden="false" customHeight="true" outlineLevel="0" collapsed="false">
      <c r="A632" s="63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</row>
    <row r="633" customFormat="false" ht="15.75" hidden="false" customHeight="true" outlineLevel="0" collapsed="false">
      <c r="A633" s="63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</row>
    <row r="634" customFormat="false" ht="15.75" hidden="false" customHeight="true" outlineLevel="0" collapsed="false">
      <c r="A634" s="63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</row>
    <row r="635" customFormat="false" ht="15.75" hidden="false" customHeight="true" outlineLevel="0" collapsed="false">
      <c r="A635" s="63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</row>
    <row r="636" customFormat="false" ht="15.75" hidden="false" customHeight="true" outlineLevel="0" collapsed="false">
      <c r="A636" s="63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</row>
    <row r="637" customFormat="false" ht="15.75" hidden="false" customHeight="true" outlineLevel="0" collapsed="false">
      <c r="A637" s="63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</row>
    <row r="638" customFormat="false" ht="15.75" hidden="false" customHeight="true" outlineLevel="0" collapsed="false">
      <c r="A638" s="63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</row>
    <row r="639" customFormat="false" ht="15.75" hidden="false" customHeight="true" outlineLevel="0" collapsed="false">
      <c r="A639" s="63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</row>
    <row r="640" customFormat="false" ht="15.75" hidden="false" customHeight="true" outlineLevel="0" collapsed="false">
      <c r="A640" s="63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</row>
    <row r="641" customFormat="false" ht="15.75" hidden="false" customHeight="true" outlineLevel="0" collapsed="false">
      <c r="A641" s="63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</row>
    <row r="642" customFormat="false" ht="15.75" hidden="false" customHeight="true" outlineLevel="0" collapsed="false">
      <c r="A642" s="63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</row>
    <row r="643" customFormat="false" ht="15.75" hidden="false" customHeight="true" outlineLevel="0" collapsed="false">
      <c r="A643" s="63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</row>
    <row r="644" customFormat="false" ht="15.75" hidden="false" customHeight="true" outlineLevel="0" collapsed="false">
      <c r="A644" s="63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</row>
    <row r="645" customFormat="false" ht="15.75" hidden="false" customHeight="true" outlineLevel="0" collapsed="false">
      <c r="A645" s="63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</row>
    <row r="646" customFormat="false" ht="15.75" hidden="false" customHeight="true" outlineLevel="0" collapsed="false">
      <c r="A646" s="63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</row>
    <row r="647" customFormat="false" ht="15.75" hidden="false" customHeight="true" outlineLevel="0" collapsed="false">
      <c r="A647" s="63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</row>
    <row r="648" customFormat="false" ht="15.75" hidden="false" customHeight="true" outlineLevel="0" collapsed="false">
      <c r="A648" s="63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</row>
    <row r="649" customFormat="false" ht="15.75" hidden="false" customHeight="true" outlineLevel="0" collapsed="false">
      <c r="A649" s="63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</row>
    <row r="650" customFormat="false" ht="15.75" hidden="false" customHeight="true" outlineLevel="0" collapsed="false">
      <c r="A650" s="63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</row>
    <row r="651" customFormat="false" ht="15.75" hidden="false" customHeight="true" outlineLevel="0" collapsed="false">
      <c r="A651" s="63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</row>
    <row r="652" customFormat="false" ht="15.75" hidden="false" customHeight="true" outlineLevel="0" collapsed="false">
      <c r="A652" s="63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</row>
    <row r="653" customFormat="false" ht="15.75" hidden="false" customHeight="true" outlineLevel="0" collapsed="false">
      <c r="A653" s="63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</row>
    <row r="654" customFormat="false" ht="15.75" hidden="false" customHeight="true" outlineLevel="0" collapsed="false">
      <c r="A654" s="63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</row>
    <row r="655" customFormat="false" ht="15.75" hidden="false" customHeight="true" outlineLevel="0" collapsed="false">
      <c r="A655" s="63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</row>
    <row r="656" customFormat="false" ht="15.75" hidden="false" customHeight="true" outlineLevel="0" collapsed="false">
      <c r="A656" s="63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</row>
    <row r="657" customFormat="false" ht="15.75" hidden="false" customHeight="true" outlineLevel="0" collapsed="false">
      <c r="A657" s="63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</row>
    <row r="658" customFormat="false" ht="15.75" hidden="false" customHeight="true" outlineLevel="0" collapsed="false">
      <c r="A658" s="63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</row>
    <row r="659" customFormat="false" ht="15.75" hidden="false" customHeight="true" outlineLevel="0" collapsed="false">
      <c r="A659" s="63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</row>
    <row r="660" customFormat="false" ht="15.75" hidden="false" customHeight="true" outlineLevel="0" collapsed="false">
      <c r="A660" s="63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</row>
    <row r="661" customFormat="false" ht="15.75" hidden="false" customHeight="true" outlineLevel="0" collapsed="false">
      <c r="A661" s="63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</row>
    <row r="662" customFormat="false" ht="15.75" hidden="false" customHeight="true" outlineLevel="0" collapsed="false">
      <c r="A662" s="63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</row>
    <row r="663" customFormat="false" ht="15.75" hidden="false" customHeight="true" outlineLevel="0" collapsed="false">
      <c r="A663" s="63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</row>
    <row r="664" customFormat="false" ht="15.75" hidden="false" customHeight="true" outlineLevel="0" collapsed="false">
      <c r="A664" s="63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</row>
    <row r="665" customFormat="false" ht="15.75" hidden="false" customHeight="true" outlineLevel="0" collapsed="false">
      <c r="A665" s="63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</row>
    <row r="666" customFormat="false" ht="15.75" hidden="false" customHeight="true" outlineLevel="0" collapsed="false">
      <c r="A666" s="63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</row>
    <row r="667" customFormat="false" ht="15.75" hidden="false" customHeight="true" outlineLevel="0" collapsed="false">
      <c r="A667" s="63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</row>
    <row r="668" customFormat="false" ht="15.75" hidden="false" customHeight="true" outlineLevel="0" collapsed="false">
      <c r="A668" s="63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</row>
    <row r="669" customFormat="false" ht="15.75" hidden="false" customHeight="true" outlineLevel="0" collapsed="false">
      <c r="A669" s="63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</row>
    <row r="670" customFormat="false" ht="15.75" hidden="false" customHeight="true" outlineLevel="0" collapsed="false">
      <c r="A670" s="63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</row>
    <row r="671" customFormat="false" ht="15.75" hidden="false" customHeight="true" outlineLevel="0" collapsed="false">
      <c r="A671" s="63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</row>
    <row r="672" customFormat="false" ht="15.75" hidden="false" customHeight="true" outlineLevel="0" collapsed="false">
      <c r="A672" s="63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</row>
    <row r="673" customFormat="false" ht="15.75" hidden="false" customHeight="true" outlineLevel="0" collapsed="false">
      <c r="A673" s="63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</row>
    <row r="674" customFormat="false" ht="15.75" hidden="false" customHeight="true" outlineLevel="0" collapsed="false">
      <c r="A674" s="63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</row>
    <row r="675" customFormat="false" ht="15.75" hidden="false" customHeight="true" outlineLevel="0" collapsed="false">
      <c r="A675" s="63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</row>
    <row r="676" customFormat="false" ht="15.75" hidden="false" customHeight="true" outlineLevel="0" collapsed="false">
      <c r="A676" s="63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</row>
    <row r="677" customFormat="false" ht="15.75" hidden="false" customHeight="true" outlineLevel="0" collapsed="false">
      <c r="A677" s="63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</row>
    <row r="678" customFormat="false" ht="15.75" hidden="false" customHeight="true" outlineLevel="0" collapsed="false">
      <c r="A678" s="63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</row>
    <row r="679" customFormat="false" ht="15.75" hidden="false" customHeight="true" outlineLevel="0" collapsed="false">
      <c r="A679" s="63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</row>
    <row r="680" customFormat="false" ht="15.75" hidden="false" customHeight="true" outlineLevel="0" collapsed="false">
      <c r="A680" s="63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</row>
    <row r="681" customFormat="false" ht="15.75" hidden="false" customHeight="true" outlineLevel="0" collapsed="false">
      <c r="A681" s="63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</row>
    <row r="682" customFormat="false" ht="15.75" hidden="false" customHeight="true" outlineLevel="0" collapsed="false">
      <c r="A682" s="63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</row>
    <row r="683" customFormat="false" ht="15.75" hidden="false" customHeight="true" outlineLevel="0" collapsed="false">
      <c r="A683" s="63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</row>
    <row r="684" customFormat="false" ht="15.75" hidden="false" customHeight="true" outlineLevel="0" collapsed="false">
      <c r="A684" s="63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</row>
    <row r="685" customFormat="false" ht="15.75" hidden="false" customHeight="true" outlineLevel="0" collapsed="false">
      <c r="A685" s="63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</row>
    <row r="686" customFormat="false" ht="15.75" hidden="false" customHeight="true" outlineLevel="0" collapsed="false">
      <c r="A686" s="63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</row>
    <row r="687" customFormat="false" ht="15.75" hidden="false" customHeight="true" outlineLevel="0" collapsed="false">
      <c r="A687" s="63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</row>
    <row r="688" customFormat="false" ht="15.75" hidden="false" customHeight="true" outlineLevel="0" collapsed="false">
      <c r="A688" s="63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</row>
    <row r="689" customFormat="false" ht="15.75" hidden="false" customHeight="true" outlineLevel="0" collapsed="false">
      <c r="A689" s="63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</row>
    <row r="690" customFormat="false" ht="15.75" hidden="false" customHeight="true" outlineLevel="0" collapsed="false">
      <c r="A690" s="63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</row>
    <row r="691" customFormat="false" ht="15.75" hidden="false" customHeight="true" outlineLevel="0" collapsed="false">
      <c r="A691" s="63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</row>
    <row r="692" customFormat="false" ht="15.75" hidden="false" customHeight="true" outlineLevel="0" collapsed="false">
      <c r="A692" s="63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</row>
    <row r="693" customFormat="false" ht="15.75" hidden="false" customHeight="true" outlineLevel="0" collapsed="false">
      <c r="A693" s="63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</row>
    <row r="694" customFormat="false" ht="15.75" hidden="false" customHeight="true" outlineLevel="0" collapsed="false">
      <c r="A694" s="63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</row>
    <row r="695" customFormat="false" ht="15.75" hidden="false" customHeight="true" outlineLevel="0" collapsed="false">
      <c r="A695" s="63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</row>
    <row r="696" customFormat="false" ht="15.75" hidden="false" customHeight="true" outlineLevel="0" collapsed="false">
      <c r="A696" s="63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</row>
    <row r="697" customFormat="false" ht="15.75" hidden="false" customHeight="true" outlineLevel="0" collapsed="false">
      <c r="A697" s="63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</row>
    <row r="698" customFormat="false" ht="15.75" hidden="false" customHeight="true" outlineLevel="0" collapsed="false">
      <c r="A698" s="63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</row>
    <row r="699" customFormat="false" ht="15.75" hidden="false" customHeight="true" outlineLevel="0" collapsed="false">
      <c r="A699" s="63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</row>
    <row r="700" customFormat="false" ht="15.75" hidden="false" customHeight="true" outlineLevel="0" collapsed="false">
      <c r="A700" s="63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</row>
    <row r="701" customFormat="false" ht="15.75" hidden="false" customHeight="true" outlineLevel="0" collapsed="false">
      <c r="A701" s="63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</row>
    <row r="702" customFormat="false" ht="15.75" hidden="false" customHeight="true" outlineLevel="0" collapsed="false">
      <c r="A702" s="63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</row>
    <row r="703" customFormat="false" ht="15.75" hidden="false" customHeight="true" outlineLevel="0" collapsed="false">
      <c r="A703" s="63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</row>
    <row r="704" customFormat="false" ht="15.75" hidden="false" customHeight="true" outlineLevel="0" collapsed="false">
      <c r="A704" s="63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</row>
    <row r="705" customFormat="false" ht="15.75" hidden="false" customHeight="true" outlineLevel="0" collapsed="false">
      <c r="A705" s="63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</row>
    <row r="706" customFormat="false" ht="15.75" hidden="false" customHeight="true" outlineLevel="0" collapsed="false">
      <c r="A706" s="63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</row>
    <row r="707" customFormat="false" ht="15.75" hidden="false" customHeight="true" outlineLevel="0" collapsed="false">
      <c r="A707" s="63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</row>
    <row r="708" customFormat="false" ht="15.75" hidden="false" customHeight="true" outlineLevel="0" collapsed="false">
      <c r="A708" s="63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</row>
    <row r="709" customFormat="false" ht="15.75" hidden="false" customHeight="true" outlineLevel="0" collapsed="false">
      <c r="A709" s="63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</row>
    <row r="710" customFormat="false" ht="15.75" hidden="false" customHeight="true" outlineLevel="0" collapsed="false">
      <c r="A710" s="63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</row>
    <row r="711" customFormat="false" ht="15.75" hidden="false" customHeight="true" outlineLevel="0" collapsed="false">
      <c r="A711" s="63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</row>
    <row r="712" customFormat="false" ht="15.75" hidden="false" customHeight="true" outlineLevel="0" collapsed="false">
      <c r="A712" s="63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</row>
    <row r="713" customFormat="false" ht="15.75" hidden="false" customHeight="true" outlineLevel="0" collapsed="false">
      <c r="A713" s="63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</row>
    <row r="714" customFormat="false" ht="15.75" hidden="false" customHeight="true" outlineLevel="0" collapsed="false">
      <c r="A714" s="63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</row>
    <row r="715" customFormat="false" ht="15.75" hidden="false" customHeight="true" outlineLevel="0" collapsed="false">
      <c r="A715" s="63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</row>
    <row r="716" customFormat="false" ht="15.75" hidden="false" customHeight="true" outlineLevel="0" collapsed="false">
      <c r="A716" s="63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</row>
    <row r="717" customFormat="false" ht="15.75" hidden="false" customHeight="true" outlineLevel="0" collapsed="false">
      <c r="A717" s="63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</row>
    <row r="718" customFormat="false" ht="15.75" hidden="false" customHeight="true" outlineLevel="0" collapsed="false">
      <c r="A718" s="63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</row>
    <row r="719" customFormat="false" ht="15.75" hidden="false" customHeight="true" outlineLevel="0" collapsed="false">
      <c r="A719" s="63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</row>
    <row r="720" customFormat="false" ht="15.75" hidden="false" customHeight="true" outlineLevel="0" collapsed="false">
      <c r="A720" s="63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</row>
    <row r="721" customFormat="false" ht="15.75" hidden="false" customHeight="true" outlineLevel="0" collapsed="false">
      <c r="A721" s="63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</row>
    <row r="722" customFormat="false" ht="15.75" hidden="false" customHeight="true" outlineLevel="0" collapsed="false">
      <c r="A722" s="63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</row>
    <row r="723" customFormat="false" ht="15.75" hidden="false" customHeight="true" outlineLevel="0" collapsed="false">
      <c r="A723" s="63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</row>
    <row r="724" customFormat="false" ht="15.75" hidden="false" customHeight="true" outlineLevel="0" collapsed="false">
      <c r="A724" s="63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</row>
    <row r="725" customFormat="false" ht="15.75" hidden="false" customHeight="true" outlineLevel="0" collapsed="false">
      <c r="A725" s="63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</row>
    <row r="726" customFormat="false" ht="15.75" hidden="false" customHeight="true" outlineLevel="0" collapsed="false">
      <c r="A726" s="63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</row>
    <row r="727" customFormat="false" ht="15.75" hidden="false" customHeight="true" outlineLevel="0" collapsed="false">
      <c r="A727" s="63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</row>
    <row r="728" customFormat="false" ht="15.75" hidden="false" customHeight="true" outlineLevel="0" collapsed="false">
      <c r="A728" s="63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</row>
    <row r="729" customFormat="false" ht="15.75" hidden="false" customHeight="true" outlineLevel="0" collapsed="false">
      <c r="A729" s="63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</row>
    <row r="730" customFormat="false" ht="15.75" hidden="false" customHeight="true" outlineLevel="0" collapsed="false">
      <c r="A730" s="63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</row>
    <row r="731" customFormat="false" ht="15.75" hidden="false" customHeight="true" outlineLevel="0" collapsed="false">
      <c r="A731" s="63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</row>
    <row r="732" customFormat="false" ht="15.75" hidden="false" customHeight="true" outlineLevel="0" collapsed="false">
      <c r="A732" s="63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</row>
    <row r="733" customFormat="false" ht="15.75" hidden="false" customHeight="true" outlineLevel="0" collapsed="false">
      <c r="A733" s="63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</row>
    <row r="734" customFormat="false" ht="15.75" hidden="false" customHeight="true" outlineLevel="0" collapsed="false">
      <c r="A734" s="63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</row>
    <row r="735" customFormat="false" ht="15.75" hidden="false" customHeight="true" outlineLevel="0" collapsed="false">
      <c r="A735" s="63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</row>
    <row r="736" customFormat="false" ht="15.75" hidden="false" customHeight="true" outlineLevel="0" collapsed="false">
      <c r="A736" s="63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</row>
    <row r="737" customFormat="false" ht="15.75" hidden="false" customHeight="true" outlineLevel="0" collapsed="false">
      <c r="A737" s="63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</row>
    <row r="738" customFormat="false" ht="15.75" hidden="false" customHeight="true" outlineLevel="0" collapsed="false">
      <c r="A738" s="63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</row>
    <row r="739" customFormat="false" ht="15.75" hidden="false" customHeight="true" outlineLevel="0" collapsed="false">
      <c r="A739" s="63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</row>
    <row r="740" customFormat="false" ht="15.75" hidden="false" customHeight="true" outlineLevel="0" collapsed="false">
      <c r="A740" s="63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</row>
    <row r="741" customFormat="false" ht="15.75" hidden="false" customHeight="true" outlineLevel="0" collapsed="false">
      <c r="A741" s="63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</row>
    <row r="742" customFormat="false" ht="15.75" hidden="false" customHeight="true" outlineLevel="0" collapsed="false">
      <c r="A742" s="63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</row>
    <row r="743" customFormat="false" ht="15.75" hidden="false" customHeight="true" outlineLevel="0" collapsed="false">
      <c r="A743" s="63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</row>
    <row r="744" customFormat="false" ht="15.75" hidden="false" customHeight="true" outlineLevel="0" collapsed="false">
      <c r="A744" s="63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</row>
    <row r="745" customFormat="false" ht="15.75" hidden="false" customHeight="true" outlineLevel="0" collapsed="false">
      <c r="A745" s="63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</row>
    <row r="746" customFormat="false" ht="15.75" hidden="false" customHeight="true" outlineLevel="0" collapsed="false">
      <c r="A746" s="63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</row>
    <row r="747" customFormat="false" ht="15.75" hidden="false" customHeight="true" outlineLevel="0" collapsed="false">
      <c r="A747" s="63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</row>
    <row r="748" customFormat="false" ht="15.75" hidden="false" customHeight="true" outlineLevel="0" collapsed="false">
      <c r="A748" s="63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</row>
    <row r="749" customFormat="false" ht="15.75" hidden="false" customHeight="true" outlineLevel="0" collapsed="false">
      <c r="A749" s="63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</row>
    <row r="750" customFormat="false" ht="15.75" hidden="false" customHeight="true" outlineLevel="0" collapsed="false">
      <c r="A750" s="63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</row>
    <row r="751" customFormat="false" ht="15.75" hidden="false" customHeight="true" outlineLevel="0" collapsed="false">
      <c r="A751" s="63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</row>
    <row r="752" customFormat="false" ht="15.75" hidden="false" customHeight="true" outlineLevel="0" collapsed="false">
      <c r="A752" s="63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</row>
    <row r="753" customFormat="false" ht="15.75" hidden="false" customHeight="true" outlineLevel="0" collapsed="false">
      <c r="A753" s="63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</row>
    <row r="754" customFormat="false" ht="15.75" hidden="false" customHeight="true" outlineLevel="0" collapsed="false">
      <c r="A754" s="63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</row>
    <row r="755" customFormat="false" ht="15.75" hidden="false" customHeight="true" outlineLevel="0" collapsed="false">
      <c r="A755" s="63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</row>
    <row r="756" customFormat="false" ht="15.75" hidden="false" customHeight="true" outlineLevel="0" collapsed="false">
      <c r="A756" s="63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</row>
    <row r="757" customFormat="false" ht="15.75" hidden="false" customHeight="true" outlineLevel="0" collapsed="false">
      <c r="A757" s="63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</row>
    <row r="758" customFormat="false" ht="15.75" hidden="false" customHeight="true" outlineLevel="0" collapsed="false">
      <c r="A758" s="63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</row>
    <row r="759" customFormat="false" ht="15.75" hidden="false" customHeight="true" outlineLevel="0" collapsed="false">
      <c r="A759" s="63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</row>
    <row r="760" customFormat="false" ht="15.75" hidden="false" customHeight="true" outlineLevel="0" collapsed="false">
      <c r="A760" s="63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</row>
    <row r="761" customFormat="false" ht="15.75" hidden="false" customHeight="true" outlineLevel="0" collapsed="false">
      <c r="A761" s="63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</row>
    <row r="762" customFormat="false" ht="15.75" hidden="false" customHeight="true" outlineLevel="0" collapsed="false">
      <c r="A762" s="63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</row>
    <row r="763" customFormat="false" ht="15.75" hidden="false" customHeight="true" outlineLevel="0" collapsed="false">
      <c r="A763" s="63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</row>
    <row r="764" customFormat="false" ht="15.75" hidden="false" customHeight="true" outlineLevel="0" collapsed="false">
      <c r="A764" s="63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</row>
    <row r="765" customFormat="false" ht="15.75" hidden="false" customHeight="true" outlineLevel="0" collapsed="false">
      <c r="A765" s="63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</row>
    <row r="766" customFormat="false" ht="15.75" hidden="false" customHeight="true" outlineLevel="0" collapsed="false">
      <c r="A766" s="63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</row>
    <row r="767" customFormat="false" ht="15.75" hidden="false" customHeight="true" outlineLevel="0" collapsed="false">
      <c r="A767" s="63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</row>
    <row r="768" customFormat="false" ht="15.75" hidden="false" customHeight="true" outlineLevel="0" collapsed="false">
      <c r="A768" s="63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</row>
    <row r="769" customFormat="false" ht="15.75" hidden="false" customHeight="true" outlineLevel="0" collapsed="false">
      <c r="A769" s="63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</row>
    <row r="770" customFormat="false" ht="15.75" hidden="false" customHeight="true" outlineLevel="0" collapsed="false">
      <c r="A770" s="63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</row>
    <row r="771" customFormat="false" ht="15.75" hidden="false" customHeight="true" outlineLevel="0" collapsed="false">
      <c r="A771" s="63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</row>
    <row r="772" customFormat="false" ht="15.75" hidden="false" customHeight="true" outlineLevel="0" collapsed="false">
      <c r="A772" s="63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</row>
    <row r="773" customFormat="false" ht="15.75" hidden="false" customHeight="true" outlineLevel="0" collapsed="false">
      <c r="A773" s="63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</row>
    <row r="774" customFormat="false" ht="15.75" hidden="false" customHeight="true" outlineLevel="0" collapsed="false">
      <c r="A774" s="63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</row>
    <row r="775" customFormat="false" ht="15.75" hidden="false" customHeight="true" outlineLevel="0" collapsed="false">
      <c r="A775" s="63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</row>
    <row r="776" customFormat="false" ht="15.75" hidden="false" customHeight="true" outlineLevel="0" collapsed="false">
      <c r="A776" s="63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</row>
    <row r="777" customFormat="false" ht="15.75" hidden="false" customHeight="true" outlineLevel="0" collapsed="false">
      <c r="A777" s="63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</row>
    <row r="778" customFormat="false" ht="15.75" hidden="false" customHeight="true" outlineLevel="0" collapsed="false">
      <c r="A778" s="63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</row>
    <row r="779" customFormat="false" ht="15.75" hidden="false" customHeight="true" outlineLevel="0" collapsed="false">
      <c r="A779" s="63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</row>
    <row r="780" customFormat="false" ht="15.75" hidden="false" customHeight="true" outlineLevel="0" collapsed="false">
      <c r="A780" s="63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</row>
    <row r="781" customFormat="false" ht="15.75" hidden="false" customHeight="true" outlineLevel="0" collapsed="false">
      <c r="A781" s="63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</row>
    <row r="782" customFormat="false" ht="15.75" hidden="false" customHeight="true" outlineLevel="0" collapsed="false">
      <c r="A782" s="63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</row>
    <row r="783" customFormat="false" ht="15.75" hidden="false" customHeight="true" outlineLevel="0" collapsed="false">
      <c r="A783" s="63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</row>
    <row r="784" customFormat="false" ht="15.75" hidden="false" customHeight="true" outlineLevel="0" collapsed="false">
      <c r="A784" s="63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</row>
    <row r="785" customFormat="false" ht="15.75" hidden="false" customHeight="true" outlineLevel="0" collapsed="false">
      <c r="A785" s="63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</row>
    <row r="786" customFormat="false" ht="15.75" hidden="false" customHeight="true" outlineLevel="0" collapsed="false">
      <c r="A786" s="63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</row>
    <row r="787" customFormat="false" ht="15.75" hidden="false" customHeight="true" outlineLevel="0" collapsed="false">
      <c r="A787" s="63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</row>
    <row r="788" customFormat="false" ht="15.75" hidden="false" customHeight="true" outlineLevel="0" collapsed="false">
      <c r="A788" s="63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</row>
    <row r="789" customFormat="false" ht="15.75" hidden="false" customHeight="true" outlineLevel="0" collapsed="false">
      <c r="A789" s="63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</row>
    <row r="790" customFormat="false" ht="15.75" hidden="false" customHeight="true" outlineLevel="0" collapsed="false">
      <c r="A790" s="63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</row>
    <row r="791" customFormat="false" ht="15.75" hidden="false" customHeight="true" outlineLevel="0" collapsed="false">
      <c r="A791" s="63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</row>
    <row r="792" customFormat="false" ht="15.75" hidden="false" customHeight="true" outlineLevel="0" collapsed="false">
      <c r="A792" s="63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</row>
    <row r="793" customFormat="false" ht="15.75" hidden="false" customHeight="true" outlineLevel="0" collapsed="false">
      <c r="A793" s="63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</row>
    <row r="794" customFormat="false" ht="15.75" hidden="false" customHeight="true" outlineLevel="0" collapsed="false">
      <c r="A794" s="63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</row>
    <row r="795" customFormat="false" ht="15.75" hidden="false" customHeight="true" outlineLevel="0" collapsed="false">
      <c r="A795" s="63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</row>
    <row r="796" customFormat="false" ht="15.75" hidden="false" customHeight="true" outlineLevel="0" collapsed="false">
      <c r="A796" s="63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</row>
    <row r="797" customFormat="false" ht="15.75" hidden="false" customHeight="true" outlineLevel="0" collapsed="false">
      <c r="A797" s="63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</row>
    <row r="798" customFormat="false" ht="15.75" hidden="false" customHeight="true" outlineLevel="0" collapsed="false">
      <c r="A798" s="63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</row>
    <row r="799" customFormat="false" ht="15.75" hidden="false" customHeight="true" outlineLevel="0" collapsed="false">
      <c r="A799" s="63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</row>
    <row r="800" customFormat="false" ht="15.75" hidden="false" customHeight="true" outlineLevel="0" collapsed="false">
      <c r="A800" s="63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</row>
    <row r="801" customFormat="false" ht="15.75" hidden="false" customHeight="true" outlineLevel="0" collapsed="false">
      <c r="A801" s="63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</row>
    <row r="802" customFormat="false" ht="15.75" hidden="false" customHeight="true" outlineLevel="0" collapsed="false">
      <c r="A802" s="63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</row>
    <row r="803" customFormat="false" ht="15.75" hidden="false" customHeight="true" outlineLevel="0" collapsed="false">
      <c r="A803" s="63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</row>
    <row r="804" customFormat="false" ht="15.75" hidden="false" customHeight="true" outlineLevel="0" collapsed="false">
      <c r="A804" s="63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</row>
    <row r="805" customFormat="false" ht="15.75" hidden="false" customHeight="true" outlineLevel="0" collapsed="false">
      <c r="A805" s="63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</row>
    <row r="806" customFormat="false" ht="15.75" hidden="false" customHeight="true" outlineLevel="0" collapsed="false">
      <c r="A806" s="63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</row>
    <row r="807" customFormat="false" ht="15.75" hidden="false" customHeight="true" outlineLevel="0" collapsed="false">
      <c r="A807" s="63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</row>
    <row r="808" customFormat="false" ht="15.75" hidden="false" customHeight="true" outlineLevel="0" collapsed="false">
      <c r="A808" s="63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</row>
    <row r="809" customFormat="false" ht="15.75" hidden="false" customHeight="true" outlineLevel="0" collapsed="false">
      <c r="A809" s="63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</row>
    <row r="810" customFormat="false" ht="15.75" hidden="false" customHeight="true" outlineLevel="0" collapsed="false">
      <c r="A810" s="63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</row>
    <row r="811" customFormat="false" ht="15.75" hidden="false" customHeight="true" outlineLevel="0" collapsed="false">
      <c r="A811" s="63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</row>
    <row r="812" customFormat="false" ht="15.75" hidden="false" customHeight="true" outlineLevel="0" collapsed="false">
      <c r="A812" s="63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</row>
    <row r="813" customFormat="false" ht="15.75" hidden="false" customHeight="true" outlineLevel="0" collapsed="false">
      <c r="A813" s="63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</row>
    <row r="814" customFormat="false" ht="15.75" hidden="false" customHeight="true" outlineLevel="0" collapsed="false">
      <c r="A814" s="63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</row>
    <row r="815" customFormat="false" ht="15.75" hidden="false" customHeight="true" outlineLevel="0" collapsed="false">
      <c r="A815" s="63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</row>
    <row r="816" customFormat="false" ht="15.75" hidden="false" customHeight="true" outlineLevel="0" collapsed="false">
      <c r="A816" s="63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</row>
    <row r="817" customFormat="false" ht="15.75" hidden="false" customHeight="true" outlineLevel="0" collapsed="false">
      <c r="A817" s="63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</row>
    <row r="818" customFormat="false" ht="15.75" hidden="false" customHeight="true" outlineLevel="0" collapsed="false">
      <c r="A818" s="63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</row>
    <row r="819" customFormat="false" ht="15.75" hidden="false" customHeight="true" outlineLevel="0" collapsed="false">
      <c r="A819" s="63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</row>
    <row r="820" customFormat="false" ht="15.75" hidden="false" customHeight="true" outlineLevel="0" collapsed="false">
      <c r="A820" s="63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</row>
    <row r="821" customFormat="false" ht="15.75" hidden="false" customHeight="true" outlineLevel="0" collapsed="false">
      <c r="A821" s="63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</row>
    <row r="822" customFormat="false" ht="15.75" hidden="false" customHeight="true" outlineLevel="0" collapsed="false">
      <c r="A822" s="63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</row>
    <row r="823" customFormat="false" ht="15.75" hidden="false" customHeight="true" outlineLevel="0" collapsed="false">
      <c r="A823" s="63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</row>
    <row r="824" customFormat="false" ht="15.75" hidden="false" customHeight="true" outlineLevel="0" collapsed="false">
      <c r="A824" s="63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</row>
    <row r="825" customFormat="false" ht="15.75" hidden="false" customHeight="true" outlineLevel="0" collapsed="false">
      <c r="A825" s="63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</row>
    <row r="826" customFormat="false" ht="15.75" hidden="false" customHeight="true" outlineLevel="0" collapsed="false">
      <c r="A826" s="63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</row>
    <row r="827" customFormat="false" ht="15.75" hidden="false" customHeight="true" outlineLevel="0" collapsed="false">
      <c r="A827" s="63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</row>
    <row r="828" customFormat="false" ht="15.75" hidden="false" customHeight="true" outlineLevel="0" collapsed="false">
      <c r="A828" s="63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</row>
    <row r="829" customFormat="false" ht="15.75" hidden="false" customHeight="true" outlineLevel="0" collapsed="false">
      <c r="A829" s="63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</row>
    <row r="830" customFormat="false" ht="15.75" hidden="false" customHeight="true" outlineLevel="0" collapsed="false">
      <c r="A830" s="63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</row>
    <row r="831" customFormat="false" ht="15.75" hidden="false" customHeight="true" outlineLevel="0" collapsed="false">
      <c r="A831" s="63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</row>
    <row r="832" customFormat="false" ht="15.75" hidden="false" customHeight="true" outlineLevel="0" collapsed="false">
      <c r="A832" s="63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</row>
    <row r="833" customFormat="false" ht="15.75" hidden="false" customHeight="true" outlineLevel="0" collapsed="false">
      <c r="A833" s="63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</row>
    <row r="834" customFormat="false" ht="15.75" hidden="false" customHeight="true" outlineLevel="0" collapsed="false">
      <c r="A834" s="63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</row>
    <row r="835" customFormat="false" ht="15.75" hidden="false" customHeight="true" outlineLevel="0" collapsed="false">
      <c r="A835" s="63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</row>
    <row r="836" customFormat="false" ht="15.75" hidden="false" customHeight="true" outlineLevel="0" collapsed="false">
      <c r="A836" s="63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</row>
    <row r="837" customFormat="false" ht="15.75" hidden="false" customHeight="true" outlineLevel="0" collapsed="false">
      <c r="A837" s="63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</row>
    <row r="838" customFormat="false" ht="15.75" hidden="false" customHeight="true" outlineLevel="0" collapsed="false">
      <c r="A838" s="63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</row>
    <row r="839" customFormat="false" ht="15.75" hidden="false" customHeight="true" outlineLevel="0" collapsed="false">
      <c r="A839" s="63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</row>
    <row r="840" customFormat="false" ht="15.75" hidden="false" customHeight="true" outlineLevel="0" collapsed="false">
      <c r="A840" s="63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</row>
    <row r="841" customFormat="false" ht="15.75" hidden="false" customHeight="true" outlineLevel="0" collapsed="false">
      <c r="A841" s="63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</row>
    <row r="842" customFormat="false" ht="15.75" hidden="false" customHeight="true" outlineLevel="0" collapsed="false">
      <c r="A842" s="63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</row>
    <row r="843" customFormat="false" ht="15.75" hidden="false" customHeight="true" outlineLevel="0" collapsed="false">
      <c r="A843" s="63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</row>
    <row r="844" customFormat="false" ht="15.75" hidden="false" customHeight="true" outlineLevel="0" collapsed="false">
      <c r="A844" s="63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</row>
    <row r="845" customFormat="false" ht="15.75" hidden="false" customHeight="true" outlineLevel="0" collapsed="false">
      <c r="A845" s="63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</row>
    <row r="846" customFormat="false" ht="15.75" hidden="false" customHeight="true" outlineLevel="0" collapsed="false">
      <c r="A846" s="63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</row>
    <row r="847" customFormat="false" ht="15.75" hidden="false" customHeight="true" outlineLevel="0" collapsed="false">
      <c r="A847" s="63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</row>
    <row r="848" customFormat="false" ht="15.75" hidden="false" customHeight="true" outlineLevel="0" collapsed="false">
      <c r="A848" s="63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</row>
    <row r="849" customFormat="false" ht="15.75" hidden="false" customHeight="true" outlineLevel="0" collapsed="false">
      <c r="A849" s="63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</row>
    <row r="850" customFormat="false" ht="15.75" hidden="false" customHeight="true" outlineLevel="0" collapsed="false">
      <c r="A850" s="63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</row>
    <row r="851" customFormat="false" ht="15.75" hidden="false" customHeight="true" outlineLevel="0" collapsed="false">
      <c r="A851" s="63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</row>
    <row r="852" customFormat="false" ht="15.75" hidden="false" customHeight="true" outlineLevel="0" collapsed="false">
      <c r="A852" s="63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</row>
    <row r="853" customFormat="false" ht="15.75" hidden="false" customHeight="true" outlineLevel="0" collapsed="false">
      <c r="A853" s="63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</row>
    <row r="854" customFormat="false" ht="15.75" hidden="false" customHeight="true" outlineLevel="0" collapsed="false">
      <c r="A854" s="63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</row>
    <row r="855" customFormat="false" ht="15.75" hidden="false" customHeight="true" outlineLevel="0" collapsed="false">
      <c r="A855" s="63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</row>
    <row r="856" customFormat="false" ht="15.75" hidden="false" customHeight="true" outlineLevel="0" collapsed="false">
      <c r="A856" s="63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</row>
    <row r="857" customFormat="false" ht="15.75" hidden="false" customHeight="true" outlineLevel="0" collapsed="false">
      <c r="A857" s="63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</row>
    <row r="858" customFormat="false" ht="15.75" hidden="false" customHeight="true" outlineLevel="0" collapsed="false">
      <c r="A858" s="63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</row>
    <row r="859" customFormat="false" ht="15.75" hidden="false" customHeight="true" outlineLevel="0" collapsed="false">
      <c r="A859" s="63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</row>
    <row r="860" customFormat="false" ht="15.75" hidden="false" customHeight="true" outlineLevel="0" collapsed="false">
      <c r="A860" s="63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</row>
    <row r="861" customFormat="false" ht="15.75" hidden="false" customHeight="true" outlineLevel="0" collapsed="false">
      <c r="A861" s="63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</row>
    <row r="862" customFormat="false" ht="15.75" hidden="false" customHeight="true" outlineLevel="0" collapsed="false">
      <c r="A862" s="63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</row>
    <row r="863" customFormat="false" ht="15.75" hidden="false" customHeight="true" outlineLevel="0" collapsed="false">
      <c r="A863" s="63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</row>
    <row r="864" customFormat="false" ht="15.75" hidden="false" customHeight="true" outlineLevel="0" collapsed="false">
      <c r="A864" s="63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</row>
    <row r="865" customFormat="false" ht="15.75" hidden="false" customHeight="true" outlineLevel="0" collapsed="false">
      <c r="A865" s="63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</row>
    <row r="866" customFormat="false" ht="15.75" hidden="false" customHeight="true" outlineLevel="0" collapsed="false">
      <c r="A866" s="63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</row>
    <row r="867" customFormat="false" ht="15.75" hidden="false" customHeight="true" outlineLevel="0" collapsed="false">
      <c r="A867" s="63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</row>
    <row r="868" customFormat="false" ht="15.75" hidden="false" customHeight="true" outlineLevel="0" collapsed="false">
      <c r="A868" s="63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</row>
    <row r="869" customFormat="false" ht="15.75" hidden="false" customHeight="true" outlineLevel="0" collapsed="false">
      <c r="A869" s="63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</row>
    <row r="870" customFormat="false" ht="15.75" hidden="false" customHeight="true" outlineLevel="0" collapsed="false">
      <c r="A870" s="63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</row>
    <row r="871" customFormat="false" ht="15.75" hidden="false" customHeight="true" outlineLevel="0" collapsed="false">
      <c r="A871" s="63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</row>
    <row r="872" customFormat="false" ht="15.75" hidden="false" customHeight="true" outlineLevel="0" collapsed="false">
      <c r="A872" s="63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</row>
    <row r="873" customFormat="false" ht="15.75" hidden="false" customHeight="true" outlineLevel="0" collapsed="false">
      <c r="A873" s="63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</row>
    <row r="874" customFormat="false" ht="15.75" hidden="false" customHeight="true" outlineLevel="0" collapsed="false">
      <c r="A874" s="63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</row>
    <row r="875" customFormat="false" ht="15.75" hidden="false" customHeight="true" outlineLevel="0" collapsed="false">
      <c r="A875" s="63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</row>
    <row r="876" customFormat="false" ht="15.75" hidden="false" customHeight="true" outlineLevel="0" collapsed="false">
      <c r="A876" s="63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</row>
    <row r="877" customFormat="false" ht="15.75" hidden="false" customHeight="true" outlineLevel="0" collapsed="false">
      <c r="A877" s="63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</row>
    <row r="878" customFormat="false" ht="15.75" hidden="false" customHeight="true" outlineLevel="0" collapsed="false">
      <c r="A878" s="63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</row>
    <row r="879" customFormat="false" ht="15.75" hidden="false" customHeight="true" outlineLevel="0" collapsed="false">
      <c r="A879" s="63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</row>
    <row r="880" customFormat="false" ht="15.75" hidden="false" customHeight="true" outlineLevel="0" collapsed="false">
      <c r="A880" s="63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</row>
    <row r="881" customFormat="false" ht="15.75" hidden="false" customHeight="true" outlineLevel="0" collapsed="false">
      <c r="A881" s="63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</row>
    <row r="882" customFormat="false" ht="15.75" hidden="false" customHeight="true" outlineLevel="0" collapsed="false">
      <c r="A882" s="63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</row>
    <row r="883" customFormat="false" ht="15.75" hidden="false" customHeight="true" outlineLevel="0" collapsed="false">
      <c r="A883" s="63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</row>
    <row r="884" customFormat="false" ht="15.75" hidden="false" customHeight="true" outlineLevel="0" collapsed="false">
      <c r="A884" s="63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</row>
    <row r="885" customFormat="false" ht="15.75" hidden="false" customHeight="true" outlineLevel="0" collapsed="false">
      <c r="A885" s="63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</row>
    <row r="886" customFormat="false" ht="15.75" hidden="false" customHeight="true" outlineLevel="0" collapsed="false">
      <c r="A886" s="63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</row>
    <row r="887" customFormat="false" ht="15.75" hidden="false" customHeight="true" outlineLevel="0" collapsed="false">
      <c r="A887" s="63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</row>
    <row r="888" customFormat="false" ht="15.75" hidden="false" customHeight="true" outlineLevel="0" collapsed="false">
      <c r="A888" s="63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</row>
    <row r="889" customFormat="false" ht="15.75" hidden="false" customHeight="true" outlineLevel="0" collapsed="false">
      <c r="A889" s="63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</row>
    <row r="890" customFormat="false" ht="15.75" hidden="false" customHeight="true" outlineLevel="0" collapsed="false">
      <c r="A890" s="63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</row>
    <row r="891" customFormat="false" ht="15.75" hidden="false" customHeight="true" outlineLevel="0" collapsed="false">
      <c r="A891" s="63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</row>
    <row r="892" customFormat="false" ht="15.75" hidden="false" customHeight="true" outlineLevel="0" collapsed="false">
      <c r="A892" s="63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</row>
    <row r="893" customFormat="false" ht="15.75" hidden="false" customHeight="true" outlineLevel="0" collapsed="false">
      <c r="A893" s="63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</row>
    <row r="894" customFormat="false" ht="15.75" hidden="false" customHeight="true" outlineLevel="0" collapsed="false">
      <c r="A894" s="63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</row>
    <row r="895" customFormat="false" ht="15.75" hidden="false" customHeight="true" outlineLevel="0" collapsed="false">
      <c r="A895" s="63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</row>
    <row r="896" customFormat="false" ht="15.75" hidden="false" customHeight="true" outlineLevel="0" collapsed="false">
      <c r="A896" s="63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</row>
    <row r="897" customFormat="false" ht="15.75" hidden="false" customHeight="true" outlineLevel="0" collapsed="false">
      <c r="A897" s="63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</row>
    <row r="898" customFormat="false" ht="15.75" hidden="false" customHeight="true" outlineLevel="0" collapsed="false">
      <c r="A898" s="63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</row>
    <row r="899" customFormat="false" ht="15.75" hidden="false" customHeight="true" outlineLevel="0" collapsed="false">
      <c r="A899" s="63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</row>
    <row r="900" customFormat="false" ht="15.75" hidden="false" customHeight="true" outlineLevel="0" collapsed="false">
      <c r="A900" s="63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</row>
    <row r="901" customFormat="false" ht="15.75" hidden="false" customHeight="true" outlineLevel="0" collapsed="false">
      <c r="A901" s="63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</row>
    <row r="902" customFormat="false" ht="15.75" hidden="false" customHeight="true" outlineLevel="0" collapsed="false">
      <c r="A902" s="63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</row>
    <row r="903" customFormat="false" ht="15.75" hidden="false" customHeight="true" outlineLevel="0" collapsed="false">
      <c r="A903" s="63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</row>
    <row r="904" customFormat="false" ht="15.75" hidden="false" customHeight="true" outlineLevel="0" collapsed="false">
      <c r="A904" s="63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</row>
    <row r="905" customFormat="false" ht="15.75" hidden="false" customHeight="true" outlineLevel="0" collapsed="false">
      <c r="A905" s="63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</row>
    <row r="906" customFormat="false" ht="15.75" hidden="false" customHeight="true" outlineLevel="0" collapsed="false">
      <c r="A906" s="63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</row>
    <row r="907" customFormat="false" ht="15.75" hidden="false" customHeight="true" outlineLevel="0" collapsed="false">
      <c r="A907" s="63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</row>
    <row r="908" customFormat="false" ht="15.75" hidden="false" customHeight="true" outlineLevel="0" collapsed="false">
      <c r="A908" s="63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</row>
    <row r="909" customFormat="false" ht="15.75" hidden="false" customHeight="true" outlineLevel="0" collapsed="false">
      <c r="A909" s="63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</row>
    <row r="910" customFormat="false" ht="15.75" hidden="false" customHeight="true" outlineLevel="0" collapsed="false">
      <c r="A910" s="63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</row>
    <row r="911" customFormat="false" ht="15.75" hidden="false" customHeight="true" outlineLevel="0" collapsed="false">
      <c r="A911" s="63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</row>
    <row r="912" customFormat="false" ht="15.75" hidden="false" customHeight="true" outlineLevel="0" collapsed="false">
      <c r="A912" s="63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</row>
    <row r="913" customFormat="false" ht="15.75" hidden="false" customHeight="true" outlineLevel="0" collapsed="false">
      <c r="A913" s="63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</row>
    <row r="914" customFormat="false" ht="15.75" hidden="false" customHeight="true" outlineLevel="0" collapsed="false">
      <c r="A914" s="63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</row>
    <row r="915" customFormat="false" ht="15.75" hidden="false" customHeight="true" outlineLevel="0" collapsed="false">
      <c r="A915" s="63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</row>
    <row r="916" customFormat="false" ht="15.75" hidden="false" customHeight="true" outlineLevel="0" collapsed="false">
      <c r="A916" s="63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</row>
    <row r="917" customFormat="false" ht="15.75" hidden="false" customHeight="true" outlineLevel="0" collapsed="false">
      <c r="A917" s="63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</row>
  </sheetData>
  <mergeCells count="2">
    <mergeCell ref="A1:H1"/>
    <mergeCell ref="A7:H7"/>
  </mergeCells>
  <hyperlinks>
    <hyperlink ref="J3" r:id="rId2" display="Hogo P-02"/>
    <hyperlink ref="K3" r:id="rId3" display="Hogo V-05"/>
    <hyperlink ref="L3" r:id="rId4" display="Dircode T850"/>
    <hyperlink ref="I4" r:id="rId5" display="Face ID, Распознавание ладони, Отпечаток пальца, Пароль, IC карта, IC стикер, Механический ключ, Мобильное приложение Smart Life (Tuya) (Подключение к сети Wi-Fi); Язык озвучки: русский; Тип питания: аккумуляторная батарея 6000mAh; 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K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45.57"/>
    <col collapsed="false" customWidth="true" hidden="false" outlineLevel="0" max="2" min="2" style="0" width="23.86"/>
    <col collapsed="false" customWidth="true" hidden="false" outlineLevel="0" max="3" min="3" style="0" width="46.29"/>
    <col collapsed="false" customWidth="true" hidden="false" outlineLevel="0" max="4" min="4" style="0" width="23"/>
    <col collapsed="false" customWidth="true" hidden="false" outlineLevel="0" max="5" min="5" style="0" width="45.57"/>
    <col collapsed="false" customWidth="true" hidden="true" outlineLevel="0" max="6" min="6" style="0" width="26.43"/>
    <col collapsed="false" customWidth="false" hidden="true" outlineLevel="0" max="7" min="7" style="0" width="14.43"/>
    <col collapsed="false" customWidth="true" hidden="false" outlineLevel="0" max="8" min="8" style="0" width="51.57"/>
    <col collapsed="false" customWidth="true" hidden="false" outlineLevel="0" max="9" min="9" style="0" width="31.43"/>
    <col collapsed="false" customWidth="true" hidden="false" outlineLevel="0" max="10" min="10" style="0" width="72.71"/>
    <col collapsed="false" customWidth="true" hidden="true" outlineLevel="0" max="11" min="11" style="0" width="36.71"/>
  </cols>
  <sheetData>
    <row r="1" customFormat="false" ht="22.05" hidden="false" customHeight="false" outlineLevel="0" collapsed="false">
      <c r="A1" s="681" t="s">
        <v>695</v>
      </c>
      <c r="B1" s="681"/>
      <c r="C1" s="681"/>
      <c r="D1" s="681"/>
      <c r="E1" s="681"/>
      <c r="F1" s="681"/>
      <c r="G1" s="681"/>
      <c r="H1" s="681"/>
      <c r="I1" s="681"/>
      <c r="J1" s="681"/>
      <c r="K1" s="681"/>
    </row>
    <row r="2" customFormat="false" ht="19.7" hidden="false" customHeight="false" outlineLevel="0" collapsed="false">
      <c r="A2" s="682" t="s">
        <v>696</v>
      </c>
      <c r="B2" s="682"/>
      <c r="C2" s="682"/>
      <c r="D2" s="682"/>
      <c r="E2" s="682"/>
      <c r="F2" s="682"/>
      <c r="G2" s="682"/>
      <c r="H2" s="682" t="s">
        <v>697</v>
      </c>
      <c r="I2" s="682"/>
      <c r="J2" s="682"/>
      <c r="K2" s="682"/>
    </row>
    <row r="3" customFormat="false" ht="249" hidden="false" customHeight="true" outlineLevel="0" collapsed="false">
      <c r="A3" s="683"/>
      <c r="B3" s="684"/>
      <c r="C3" s="685"/>
      <c r="D3" s="685"/>
      <c r="E3" s="685"/>
      <c r="F3" s="685"/>
      <c r="G3" s="685"/>
      <c r="H3" s="685"/>
      <c r="I3" s="685"/>
      <c r="J3" s="685"/>
      <c r="K3" s="686"/>
    </row>
    <row r="4" customFormat="false" ht="17.35" hidden="false" customHeight="false" outlineLevel="0" collapsed="false">
      <c r="A4" s="687" t="s">
        <v>464</v>
      </c>
      <c r="B4" s="688" t="s">
        <v>698</v>
      </c>
      <c r="C4" s="688" t="s">
        <v>699</v>
      </c>
      <c r="D4" s="688" t="s">
        <v>699</v>
      </c>
      <c r="E4" s="688" t="s">
        <v>700</v>
      </c>
      <c r="F4" s="688" t="s">
        <v>700</v>
      </c>
      <c r="G4" s="688" t="s">
        <v>459</v>
      </c>
      <c r="H4" s="688" t="s">
        <v>504</v>
      </c>
      <c r="I4" s="688"/>
      <c r="J4" s="689" t="s">
        <v>701</v>
      </c>
      <c r="K4" s="689"/>
    </row>
    <row r="5" customFormat="false" ht="195.5" hidden="false" customHeight="true" outlineLevel="0" collapsed="false">
      <c r="A5" s="690" t="s">
        <v>702</v>
      </c>
      <c r="B5" s="690"/>
      <c r="C5" s="691" t="s">
        <v>703</v>
      </c>
      <c r="D5" s="691"/>
      <c r="E5" s="691" t="s">
        <v>704</v>
      </c>
      <c r="F5" s="691"/>
      <c r="G5" s="691"/>
      <c r="H5" s="691" t="s">
        <v>703</v>
      </c>
      <c r="I5" s="691"/>
      <c r="J5" s="692" t="s">
        <v>705</v>
      </c>
      <c r="K5" s="692"/>
    </row>
    <row r="6" customFormat="false" ht="15" hidden="true" customHeight="false" outlineLevel="0" collapsed="false">
      <c r="A6" s="693" t="n">
        <v>290</v>
      </c>
      <c r="B6" s="693"/>
      <c r="C6" s="694" t="n">
        <v>822</v>
      </c>
      <c r="D6" s="694"/>
      <c r="E6" s="694" t="n">
        <v>3690</v>
      </c>
      <c r="F6" s="694"/>
      <c r="G6" s="694"/>
      <c r="H6" s="694" t="n">
        <v>822</v>
      </c>
      <c r="I6" s="694"/>
      <c r="J6" s="695" t="n">
        <v>1298</v>
      </c>
      <c r="K6" s="695"/>
    </row>
    <row r="7" customFormat="false" ht="15" hidden="true" customHeight="false" outlineLevel="0" collapsed="false"/>
    <row r="8" customFormat="false" ht="15" hidden="true" customHeight="false" outlineLevel="0" collapsed="false"/>
    <row r="9" customFormat="false" ht="22.05" hidden="true" customHeight="false" outlineLevel="0" collapsed="false">
      <c r="A9" s="696" t="s">
        <v>706</v>
      </c>
    </row>
    <row r="10" customFormat="false" ht="17.35" hidden="true" customHeight="false" outlineLevel="0" collapsed="false">
      <c r="A10" s="80" t="s">
        <v>707</v>
      </c>
      <c r="B10" s="688" t="e">
        <f aca="false">IF(OR(Квартирная!A32="Сувальдный",Квартирная!A32="Электронный"),"Цилиндр не нужен","DWF Profi")</f>
        <v>#NAME?</v>
      </c>
      <c r="C10" s="688" t="e">
        <f aca="false">IF(OR(Квартирная!A32="Сувальдный",Квартирная!A32="Электронный"),"Цилиндр не нужен","Fuaro D-Pro 507")</f>
        <v>#NAME?</v>
      </c>
      <c r="D10" s="688" t="e">
        <f aca="false">IF(OR(Квартирная!A32="Сувальдный",Квартирная!A32="Электронный"),"Цилиндр не нужен","Secureme K-2")</f>
        <v>#NAME?</v>
      </c>
      <c r="I10" s="697" t="e">
        <f aca="false">IF(OR(Термо!A28="Сувальдный",Термо!A28="Электронный"),"Цилиндр не нужен","Fuaro D-Proterm 507")</f>
        <v>#NAME?</v>
      </c>
      <c r="J10" s="698" t="e">
        <f aca="false">IF(OR(Термо!A28="Сувальдный",Термо!A28="Электронный"),"Цилиндр не нужен","Guardian GS Termo")</f>
        <v>#NAME?</v>
      </c>
      <c r="K10" s="699"/>
    </row>
    <row r="11" customFormat="false" ht="17.35" hidden="true" customHeight="false" outlineLevel="0" collapsed="false">
      <c r="A11" s="80" t="s">
        <v>708</v>
      </c>
      <c r="B11" s="688" t="e">
        <f aca="false">IF(OR(Квартирная!A34="Сувальдный",Квартирная!A34="Без дополнительного замка"),"Цилиндр не нужен","DWF Profi")</f>
        <v>#NAME?</v>
      </c>
      <c r="C11" s="688" t="e">
        <f aca="false">IF(OR(Квартирная!A34="Сувальдный",Квартирная!A34="Без дополнительного замка"),"Цилиндр не нужен","Fuaro D-Pro 507")</f>
        <v>#NAME?</v>
      </c>
      <c r="D11" s="688" t="e">
        <f aca="false">IF(OR(Квартирная!A34="Сувальдный",Квартирная!A34="Без дополнительного замка"),"Цилиндр не нужен","Secureme K-2")</f>
        <v>#NAME?</v>
      </c>
      <c r="E11" s="6" t="s">
        <v>459</v>
      </c>
      <c r="I11" s="700" t="e">
        <f aca="false">IF(OR(Термо!A30="Сувальдный",Термо!A30="Электронный",Термо!A30="Без дополнительного замка"),"Цилиндр не нужен","Fuaro D-Proterm 507")</f>
        <v>#NAME?</v>
      </c>
      <c r="J11" s="700" t="e">
        <f aca="false">IF(OR(Термо!A30="Сувальдный",Термо!A30="Электронный",Термо!A30="Без дополнительного замка"),"Цилиндр не нужен","Guardian GS Termo")</f>
        <v>#NAME?</v>
      </c>
      <c r="K11" s="700"/>
    </row>
    <row r="12" customFormat="false" ht="15" hidden="true" customHeight="false" outlineLevel="0" collapsed="false"/>
    <row r="13" customFormat="false" ht="15" hidden="true" customHeight="false" outlineLevel="0" collapsed="false"/>
    <row r="14" customFormat="false" ht="15" hidden="true" customHeight="false" outlineLevel="0" collapsed="false"/>
    <row r="15" customFormat="false" ht="15" hidden="true" customHeight="false" outlineLevel="0" collapsed="false">
      <c r="A15" s="701" t="s">
        <v>709</v>
      </c>
      <c r="B15" s="571"/>
      <c r="C15" s="571"/>
    </row>
    <row r="16" customFormat="false" ht="15" hidden="true" customHeight="false" outlineLevel="0" collapsed="false">
      <c r="A16" s="80" t="s">
        <v>710</v>
      </c>
      <c r="B16" s="571"/>
      <c r="C16" s="571"/>
    </row>
    <row r="17" customFormat="false" ht="15" hidden="true" customHeight="false" outlineLevel="0" collapsed="false">
      <c r="A17" s="80" t="s">
        <v>711</v>
      </c>
      <c r="B17" s="571"/>
      <c r="C17" s="571"/>
    </row>
    <row r="18" customFormat="false" ht="16.15" hidden="true" customHeight="false" outlineLevel="0" collapsed="false">
      <c r="A18" s="702" t="s">
        <v>564</v>
      </c>
      <c r="B18" s="571"/>
      <c r="C18" s="571"/>
    </row>
    <row r="19" customFormat="false" ht="15" hidden="true" customHeight="false" outlineLevel="0" collapsed="false">
      <c r="A19" s="80" t="s">
        <v>712</v>
      </c>
      <c r="B19" s="571"/>
      <c r="C19" s="571"/>
    </row>
    <row r="20" customFormat="false" ht="15" hidden="true" customHeight="false" outlineLevel="0" collapsed="false"/>
    <row r="21" customFormat="false" ht="15" hidden="true" customHeight="false" outlineLevel="0" collapsed="false"/>
    <row r="22" customFormat="false" ht="15" hidden="true" customHeight="false" outlineLevel="0" collapsed="false"/>
  </sheetData>
  <mergeCells count="15">
    <mergeCell ref="A1:K1"/>
    <mergeCell ref="A2:F2"/>
    <mergeCell ref="H2:K2"/>
    <mergeCell ref="H4:I4"/>
    <mergeCell ref="J4:K4"/>
    <mergeCell ref="A5:B5"/>
    <mergeCell ref="C5:D5"/>
    <mergeCell ref="E5:F5"/>
    <mergeCell ref="H5:I5"/>
    <mergeCell ref="J5:K5"/>
    <mergeCell ref="A6:B6"/>
    <mergeCell ref="C6:D6"/>
    <mergeCell ref="E6:F6"/>
    <mergeCell ref="H6:I6"/>
    <mergeCell ref="J6:K6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Z9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33.57"/>
    <col collapsed="false" customWidth="true" hidden="false" outlineLevel="0" max="3" min="3" style="0" width="41.3"/>
    <col collapsed="false" customWidth="true" hidden="false" outlineLevel="0" max="4" min="4" style="0" width="39.15"/>
    <col collapsed="false" customWidth="true" hidden="false" outlineLevel="0" max="5" min="5" style="0" width="24.71"/>
    <col collapsed="false" customWidth="true" hidden="false" outlineLevel="0" max="6" min="6" style="0" width="29.14"/>
    <col collapsed="false" customWidth="true" hidden="false" outlineLevel="0" max="7" min="7" style="0" width="28.29"/>
    <col collapsed="false" customWidth="false" hidden="true" outlineLevel="0" max="26" min="8" style="0" width="14.43"/>
  </cols>
  <sheetData>
    <row r="1" customFormat="false" ht="39" hidden="false" customHeight="true" outlineLevel="0" collapsed="false">
      <c r="A1" s="703" t="s">
        <v>45</v>
      </c>
      <c r="B1" s="703"/>
      <c r="C1" s="703"/>
      <c r="D1" s="703"/>
      <c r="E1" s="703"/>
      <c r="F1" s="703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customFormat="false" ht="17.35" hidden="false" customHeight="false" outlineLevel="0" collapsed="false">
      <c r="A2" s="704" t="s">
        <v>713</v>
      </c>
      <c r="B2" s="704"/>
      <c r="C2" s="704"/>
      <c r="D2" s="704"/>
      <c r="E2" s="704"/>
      <c r="F2" s="704"/>
      <c r="G2" s="70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customFormat="false" ht="35.8" hidden="false" customHeight="false" outlineLevel="0" collapsed="false">
      <c r="A3" s="643"/>
      <c r="B3" s="626" t="s">
        <v>472</v>
      </c>
      <c r="C3" s="626" t="s">
        <v>714</v>
      </c>
      <c r="D3" s="626" t="s">
        <v>715</v>
      </c>
      <c r="E3" s="626" t="s">
        <v>716</v>
      </c>
      <c r="F3" s="626" t="s">
        <v>717</v>
      </c>
      <c r="G3" s="554" t="s">
        <v>718</v>
      </c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customFormat="false" ht="149.25" hidden="false" customHeight="true" outlineLevel="0" collapsed="false">
      <c r="A4" s="598" t="s">
        <v>719</v>
      </c>
      <c r="B4" s="598"/>
      <c r="C4" s="598"/>
      <c r="D4" s="598"/>
      <c r="E4" s="598"/>
      <c r="F4" s="598"/>
      <c r="G4" s="598"/>
      <c r="H4" s="64" t="s">
        <v>720</v>
      </c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customFormat="false" ht="31.3" hidden="false" customHeight="false" outlineLevel="0" collapsed="false">
      <c r="A5" s="598" t="s">
        <v>721</v>
      </c>
      <c r="B5" s="554" t="s">
        <v>156</v>
      </c>
      <c r="C5" s="705" t="s">
        <v>722</v>
      </c>
      <c r="D5" s="705" t="s">
        <v>175</v>
      </c>
      <c r="E5" s="705" t="s">
        <v>186</v>
      </c>
      <c r="F5" s="706" t="s">
        <v>194</v>
      </c>
      <c r="G5" s="554" t="s">
        <v>283</v>
      </c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customFormat="false" ht="16.4" hidden="true" customHeight="false" outlineLevel="0" collapsed="false">
      <c r="A6" s="598" t="s">
        <v>26</v>
      </c>
      <c r="B6" s="554" t="n">
        <v>500</v>
      </c>
      <c r="C6" s="705" t="s">
        <v>723</v>
      </c>
      <c r="D6" s="705" t="n">
        <v>200</v>
      </c>
      <c r="E6" s="707" t="n">
        <v>170</v>
      </c>
      <c r="F6" s="708" t="n">
        <v>160</v>
      </c>
      <c r="G6" s="598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customFormat="false" ht="35.8" hidden="false" customHeight="false" outlineLevel="0" collapsed="false">
      <c r="A7" s="598"/>
      <c r="B7" s="626" t="s">
        <v>472</v>
      </c>
      <c r="C7" s="626" t="s">
        <v>724</v>
      </c>
      <c r="D7" s="626" t="s">
        <v>725</v>
      </c>
      <c r="E7" s="626" t="s">
        <v>716</v>
      </c>
      <c r="F7" s="626" t="s">
        <v>717</v>
      </c>
      <c r="G7" s="598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customFormat="false" ht="147" hidden="false" customHeight="true" outlineLevel="0" collapsed="false">
      <c r="A8" s="598" t="s">
        <v>726</v>
      </c>
      <c r="B8" s="598"/>
      <c r="C8" s="598"/>
      <c r="D8" s="598"/>
      <c r="E8" s="598"/>
      <c r="F8" s="598"/>
      <c r="G8" s="598"/>
      <c r="H8" s="64" t="s">
        <v>727</v>
      </c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customFormat="false" ht="46.25" hidden="false" customHeight="false" outlineLevel="0" collapsed="false">
      <c r="A9" s="598" t="s">
        <v>721</v>
      </c>
      <c r="B9" s="705" t="s">
        <v>157</v>
      </c>
      <c r="C9" s="705" t="s">
        <v>728</v>
      </c>
      <c r="D9" s="705" t="s">
        <v>729</v>
      </c>
      <c r="E9" s="554" t="s">
        <v>187</v>
      </c>
      <c r="F9" s="554" t="s">
        <v>195</v>
      </c>
      <c r="G9" s="554" t="s">
        <v>284</v>
      </c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customFormat="false" ht="16.4" hidden="true" customHeight="false" outlineLevel="0" collapsed="false">
      <c r="A10" s="598" t="s">
        <v>26</v>
      </c>
      <c r="B10" s="707" t="n">
        <v>420</v>
      </c>
      <c r="C10" s="707" t="s">
        <v>730</v>
      </c>
      <c r="D10" s="707" t="s">
        <v>731</v>
      </c>
      <c r="E10" s="554" t="n">
        <v>137</v>
      </c>
      <c r="F10" s="705" t="n">
        <v>110</v>
      </c>
      <c r="G10" s="598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customFormat="false" ht="35.8" hidden="false" customHeight="false" outlineLevel="0" collapsed="false">
      <c r="A11" s="598"/>
      <c r="B11" s="626" t="s">
        <v>472</v>
      </c>
      <c r="C11" s="626" t="s">
        <v>724</v>
      </c>
      <c r="D11" s="626" t="s">
        <v>725</v>
      </c>
      <c r="E11" s="626" t="s">
        <v>716</v>
      </c>
      <c r="F11" s="626" t="s">
        <v>717</v>
      </c>
      <c r="G11" s="598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customFormat="false" ht="137.25" hidden="false" customHeight="true" outlineLevel="0" collapsed="false">
      <c r="A12" s="598" t="s">
        <v>338</v>
      </c>
      <c r="B12" s="598"/>
      <c r="C12" s="598"/>
      <c r="D12" s="598"/>
      <c r="E12" s="598"/>
      <c r="F12" s="598"/>
      <c r="G12" s="598"/>
      <c r="H12" s="64" t="s">
        <v>732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customFormat="false" ht="46.25" hidden="false" customHeight="false" outlineLevel="0" collapsed="false">
      <c r="A13" s="598" t="s">
        <v>721</v>
      </c>
      <c r="B13" s="554" t="s">
        <v>158</v>
      </c>
      <c r="C13" s="705" t="s">
        <v>733</v>
      </c>
      <c r="D13" s="705" t="s">
        <v>734</v>
      </c>
      <c r="E13" s="554" t="s">
        <v>188</v>
      </c>
      <c r="F13" s="554" t="s">
        <v>196</v>
      </c>
      <c r="G13" s="554" t="s">
        <v>285</v>
      </c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customFormat="false" ht="16.4" hidden="true" customHeight="false" outlineLevel="0" collapsed="false">
      <c r="A14" s="598" t="s">
        <v>26</v>
      </c>
      <c r="B14" s="705" t="n">
        <v>390</v>
      </c>
      <c r="C14" s="706" t="s">
        <v>735</v>
      </c>
      <c r="D14" s="706" t="s">
        <v>731</v>
      </c>
      <c r="E14" s="706" t="n">
        <v>170</v>
      </c>
      <c r="F14" s="706" t="n">
        <v>110</v>
      </c>
      <c r="G14" s="598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customFormat="false" ht="17.35" hidden="false" customHeight="false" outlineLevel="0" collapsed="false">
      <c r="A15" s="709" t="s">
        <v>736</v>
      </c>
      <c r="B15" s="709"/>
      <c r="C15" s="709"/>
      <c r="D15" s="709"/>
      <c r="E15" s="709"/>
      <c r="F15" s="709"/>
      <c r="G15" s="709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customFormat="false" ht="35.8" hidden="false" customHeight="false" outlineLevel="0" collapsed="false">
      <c r="A16" s="598"/>
      <c r="B16" s="626" t="s">
        <v>472</v>
      </c>
      <c r="C16" s="626" t="s">
        <v>724</v>
      </c>
      <c r="D16" s="626" t="s">
        <v>725</v>
      </c>
      <c r="E16" s="626" t="s">
        <v>716</v>
      </c>
      <c r="F16" s="626" t="s">
        <v>717</v>
      </c>
      <c r="G16" s="554" t="s">
        <v>737</v>
      </c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customFormat="false" ht="147.75" hidden="false" customHeight="true" outlineLevel="0" collapsed="false">
      <c r="A17" s="598" t="s">
        <v>418</v>
      </c>
      <c r="B17" s="598"/>
      <c r="C17" s="598"/>
      <c r="D17" s="598"/>
      <c r="E17" s="598"/>
      <c r="F17" s="598"/>
      <c r="G17" s="598"/>
      <c r="H17" s="64" t="s">
        <v>720</v>
      </c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customFormat="false" ht="46.25" hidden="false" customHeight="false" outlineLevel="0" collapsed="false">
      <c r="A18" s="598" t="s">
        <v>721</v>
      </c>
      <c r="B18" s="554" t="s">
        <v>159</v>
      </c>
      <c r="C18" s="554" t="s">
        <v>738</v>
      </c>
      <c r="D18" s="554" t="s">
        <v>739</v>
      </c>
      <c r="E18" s="705" t="s">
        <v>740</v>
      </c>
      <c r="F18" s="705" t="s">
        <v>197</v>
      </c>
      <c r="G18" s="554" t="s">
        <v>286</v>
      </c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customFormat="false" ht="16.4" hidden="true" customHeight="false" outlineLevel="0" collapsed="false">
      <c r="A19" s="598" t="s">
        <v>26</v>
      </c>
      <c r="B19" s="705" t="n">
        <v>277.1</v>
      </c>
      <c r="C19" s="706" t="s">
        <v>741</v>
      </c>
      <c r="D19" s="706" t="s">
        <v>742</v>
      </c>
      <c r="E19" s="706" t="s">
        <v>743</v>
      </c>
      <c r="F19" s="706" t="n">
        <v>145</v>
      </c>
      <c r="G19" s="598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customFormat="false" ht="35.8" hidden="false" customHeight="false" outlineLevel="0" collapsed="false">
      <c r="A20" s="598"/>
      <c r="B20" s="626" t="s">
        <v>472</v>
      </c>
      <c r="C20" s="626" t="s">
        <v>724</v>
      </c>
      <c r="D20" s="626" t="s">
        <v>725</v>
      </c>
      <c r="E20" s="626" t="s">
        <v>716</v>
      </c>
      <c r="F20" s="626" t="s">
        <v>717</v>
      </c>
      <c r="G20" s="598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customFormat="false" ht="152.25" hidden="false" customHeight="true" outlineLevel="0" collapsed="false">
      <c r="A21" s="598" t="s">
        <v>726</v>
      </c>
      <c r="B21" s="598"/>
      <c r="C21" s="598"/>
      <c r="D21" s="598"/>
      <c r="E21" s="598"/>
      <c r="F21" s="598"/>
      <c r="G21" s="598" t="n">
        <f aca="false">G8</f>
        <v>0</v>
      </c>
      <c r="H21" s="64" t="s">
        <v>727</v>
      </c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customFormat="false" ht="31.3" hidden="false" customHeight="false" outlineLevel="0" collapsed="false">
      <c r="A22" s="598" t="s">
        <v>721</v>
      </c>
      <c r="B22" s="705" t="s">
        <v>160</v>
      </c>
      <c r="C22" s="554" t="s">
        <v>744</v>
      </c>
      <c r="D22" s="554" t="s">
        <v>745</v>
      </c>
      <c r="E22" s="705" t="s">
        <v>191</v>
      </c>
      <c r="F22" s="705" t="s">
        <v>198</v>
      </c>
      <c r="G22" s="554" t="s">
        <v>284</v>
      </c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customFormat="false" ht="15" hidden="true" customHeight="false" outlineLevel="0" collapsed="false">
      <c r="A23" s="598" t="s">
        <v>26</v>
      </c>
      <c r="B23" s="710" t="n">
        <v>240</v>
      </c>
      <c r="C23" s="711" t="s">
        <v>746</v>
      </c>
      <c r="D23" s="711" t="s">
        <v>747</v>
      </c>
      <c r="E23" s="711" t="n">
        <v>90</v>
      </c>
      <c r="F23" s="711" t="n">
        <v>100</v>
      </c>
      <c r="G23" s="598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customFormat="false" ht="35.8" hidden="false" customHeight="false" outlineLevel="0" collapsed="false">
      <c r="A24" s="598"/>
      <c r="B24" s="626" t="s">
        <v>472</v>
      </c>
      <c r="C24" s="626" t="s">
        <v>724</v>
      </c>
      <c r="D24" s="626" t="s">
        <v>725</v>
      </c>
      <c r="E24" s="626" t="s">
        <v>716</v>
      </c>
      <c r="F24" s="626" t="s">
        <v>717</v>
      </c>
      <c r="G24" s="598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customFormat="false" ht="153.75" hidden="false" customHeight="true" outlineLevel="0" collapsed="false">
      <c r="A25" s="598" t="s">
        <v>338</v>
      </c>
      <c r="B25" s="598"/>
      <c r="C25" s="598"/>
      <c r="D25" s="598"/>
      <c r="E25" s="598"/>
      <c r="F25" s="598"/>
      <c r="G25" s="598"/>
      <c r="H25" s="64" t="s">
        <v>748</v>
      </c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customFormat="false" ht="46.25" hidden="false" customHeight="false" outlineLevel="0" collapsed="false">
      <c r="A26" s="598" t="s">
        <v>721</v>
      </c>
      <c r="B26" s="705" t="s">
        <v>161</v>
      </c>
      <c r="C26" s="705" t="s">
        <v>749</v>
      </c>
      <c r="D26" s="705" t="s">
        <v>750</v>
      </c>
      <c r="E26" s="705" t="s">
        <v>192</v>
      </c>
      <c r="F26" s="705" t="s">
        <v>751</v>
      </c>
      <c r="G26" s="554" t="s">
        <v>752</v>
      </c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customFormat="false" ht="13.5" hidden="true" customHeight="true" outlineLevel="0" collapsed="false">
      <c r="A27" s="598" t="s">
        <v>26</v>
      </c>
      <c r="B27" s="710" t="n">
        <v>221.85</v>
      </c>
      <c r="C27" s="711" t="s">
        <v>753</v>
      </c>
      <c r="D27" s="711" t="s">
        <v>754</v>
      </c>
      <c r="E27" s="711" t="n">
        <v>73</v>
      </c>
      <c r="F27" s="711" t="n">
        <v>64</v>
      </c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customFormat="false" ht="15" hidden="true" customHeight="false" outlineLevel="0" collapsed="false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customFormat="false" ht="15" hidden="true" customHeight="false" outlineLevel="0" collapsed="false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customFormat="false" ht="15" hidden="true" customHeight="false" outlineLevel="0" collapsed="false">
      <c r="A30" s="712" t="s">
        <v>755</v>
      </c>
      <c r="B30" s="712" t="s">
        <v>755</v>
      </c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customFormat="false" ht="15" hidden="true" customHeight="false" outlineLevel="0" collapsed="false">
      <c r="A31" s="713" t="str">
        <f aca="false">IF(Квартирная!C41="Квадратное","Золото"," ")</f>
        <v>Золото</v>
      </c>
      <c r="B31" s="713" t="str">
        <f aca="false">IF(Термо!C37="Квадратное","Золото"," ")</f>
        <v>Золото</v>
      </c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customFormat="false" ht="15" hidden="true" customHeight="false" outlineLevel="0" collapsed="false">
      <c r="A32" s="713" t="s">
        <v>422</v>
      </c>
      <c r="B32" s="713" t="s">
        <v>422</v>
      </c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customFormat="false" ht="15" hidden="true" customHeight="false" outlineLevel="0" collapsed="false">
      <c r="A33" s="713" t="s">
        <v>470</v>
      </c>
      <c r="B33" s="713" t="s">
        <v>470</v>
      </c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customFormat="false" ht="15" hidden="true" customHeight="false" outlineLevel="0" collapsed="false">
      <c r="A34" s="713" t="str">
        <f aca="false">IF(Квартирная!C41="Овальное","Бронза"," ")</f>
        <v> </v>
      </c>
      <c r="B34" s="713" t="str">
        <f aca="false">IF(Термо!C37="Овальное","Бронза"," ")</f>
        <v> </v>
      </c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customFormat="false" ht="15" hidden="true" customHeight="false" outlineLevel="0" collapsed="false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customFormat="false" ht="15" hidden="true" customHeight="false" outlineLevel="0" collapsed="false">
      <c r="A36" s="64"/>
      <c r="B36" s="714"/>
      <c r="C36" s="715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customFormat="false" ht="15" hidden="true" customHeight="false" outlineLevel="0" collapsed="false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customFormat="false" ht="15" hidden="true" customHeight="false" outlineLevel="0" collapsed="false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customFormat="false" ht="15" hidden="true" customHeight="false" outlineLevel="0" collapsed="false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customFormat="false" ht="15" hidden="true" customHeight="false" outlineLevel="0" collapsed="false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customFormat="false" ht="15" hidden="true" customHeight="false" outlineLevel="0" collapsed="false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customFormat="false" ht="15" hidden="true" customHeight="false" outlineLevel="0" collapsed="false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customFormat="false" ht="292.5" hidden="false" customHeight="true" outlineLevel="0" collapsed="false">
      <c r="A43" s="64"/>
      <c r="B43" s="716"/>
      <c r="C43" s="717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customFormat="false" ht="31.3" hidden="false" customHeight="false" outlineLevel="0" collapsed="false">
      <c r="A44" s="64"/>
      <c r="B44" s="505" t="s">
        <v>756</v>
      </c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customFormat="false" ht="15" hidden="true" customHeight="false" outlineLevel="0" collapsed="false">
      <c r="A45" s="64" t="s">
        <v>757</v>
      </c>
      <c r="B45" s="6" t="n">
        <v>10000</v>
      </c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customFormat="false" ht="15" hidden="true" customHeight="false" outlineLevel="0" collapsed="false">
      <c r="A46" s="64" t="s">
        <v>758</v>
      </c>
      <c r="B46" s="6" t="n">
        <v>11000</v>
      </c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customFormat="false" ht="15" hidden="false" customHeight="false" outlineLevel="0" collapsed="false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customFormat="false" ht="15" hidden="false" customHeight="false" outlineLevel="0" collapsed="false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customFormat="false" ht="15" hidden="false" customHeight="false" outlineLevel="0" collapsed="false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customFormat="false" ht="15" hidden="false" customHeight="false" outlineLevel="0" collapsed="false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customFormat="false" ht="15" hidden="false" customHeight="false" outlineLevel="0" collapsed="false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customFormat="false" ht="15" hidden="false" customHeight="false" outlineLevel="0" collapsed="false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customFormat="false" ht="15" hidden="false" customHeight="false" outlineLevel="0" collapsed="false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customFormat="false" ht="15" hidden="false" customHeight="false" outlineLevel="0" collapsed="false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customFormat="false" ht="15" hidden="false" customHeight="false" outlineLevel="0" collapsed="false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customFormat="false" ht="15" hidden="false" customHeight="false" outlineLevel="0" collapsed="false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customFormat="false" ht="15" hidden="false" customHeight="false" outlineLevel="0" collapsed="false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customFormat="false" ht="15" hidden="false" customHeight="false" outlineLevel="0" collapsed="false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customFormat="false" ht="15" hidden="false" customHeight="false" outlineLevel="0" collapsed="false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customFormat="false" ht="15" hidden="false" customHeight="false" outlineLevel="0" collapsed="false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customFormat="false" ht="15" hidden="false" customHeight="false" outlineLevel="0" collapsed="false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customFormat="false" ht="15" hidden="false" customHeight="false" outlineLevel="0" collapsed="false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customFormat="false" ht="15" hidden="false" customHeight="false" outlineLevel="0" collapsed="false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customFormat="false" ht="15" hidden="false" customHeight="false" outlineLevel="0" collapsed="false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customFormat="false" ht="15" hidden="false" customHeight="false" outlineLevel="0" collapsed="false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customFormat="false" ht="15" hidden="false" customHeight="false" outlineLevel="0" collapsed="false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customFormat="false" ht="15" hidden="false" customHeight="false" outlineLevel="0" collapsed="false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customFormat="false" ht="15" hidden="false" customHeight="false" outlineLevel="0" collapsed="false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customFormat="false" ht="15" hidden="false" customHeight="false" outlineLevel="0" collapsed="false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customFormat="false" ht="15" hidden="false" customHeight="false" outlineLevel="0" collapsed="false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customFormat="false" ht="15" hidden="false" customHeight="false" outlineLevel="0" collapsed="false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customFormat="false" ht="15" hidden="false" customHeight="false" outlineLevel="0" collapsed="false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customFormat="false" ht="15" hidden="false" customHeight="false" outlineLevel="0" collapsed="false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customFormat="false" ht="15" hidden="false" customHeight="false" outlineLevel="0" collapsed="false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customFormat="false" ht="15" hidden="false" customHeight="false" outlineLevel="0" collapsed="false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customFormat="false" ht="15" hidden="false" customHeight="false" outlineLevel="0" collapsed="false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customFormat="false" ht="15" hidden="false" customHeight="false" outlineLevel="0" collapsed="false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customFormat="false" ht="15" hidden="false" customHeight="false" outlineLevel="0" collapsed="false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customFormat="false" ht="15" hidden="false" customHeight="false" outlineLevel="0" collapsed="false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customFormat="false" ht="15" hidden="false" customHeight="false" outlineLevel="0" collapsed="false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customFormat="false" ht="15" hidden="false" customHeight="false" outlineLevel="0" collapsed="false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customFormat="false" ht="15" hidden="false" customHeight="false" outlineLevel="0" collapsed="false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customFormat="false" ht="15" hidden="false" customHeight="false" outlineLevel="0" collapsed="false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customFormat="false" ht="15" hidden="false" customHeight="false" outlineLevel="0" collapsed="false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customFormat="false" ht="15" hidden="false" customHeight="false" outlineLevel="0" collapsed="false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customFormat="false" ht="15" hidden="false" customHeight="false" outlineLevel="0" collapsed="false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customFormat="false" ht="15" hidden="false" customHeight="false" outlineLevel="0" collapsed="false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customFormat="false" ht="15" hidden="false" customHeight="false" outlineLevel="0" collapsed="false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customFormat="false" ht="15" hidden="false" customHeight="false" outlineLevel="0" collapsed="false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customFormat="false" ht="15" hidden="false" customHeight="false" outlineLevel="0" collapsed="false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customFormat="false" ht="15" hidden="false" customHeight="false" outlineLevel="0" collapsed="false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customFormat="false" ht="15" hidden="false" customHeight="false" outlineLevel="0" collapsed="false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customFormat="false" ht="15" hidden="false" customHeight="false" outlineLevel="0" collapsed="false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customFormat="false" ht="15" hidden="false" customHeight="false" outlineLevel="0" collapsed="false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customFormat="false" ht="15" hidden="false" customHeight="false" outlineLevel="0" collapsed="false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customFormat="false" ht="15" hidden="false" customHeight="false" outlineLevel="0" collapsed="false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customFormat="false" ht="15" hidden="false" customHeight="false" outlineLevel="0" collapsed="false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customFormat="false" ht="15" hidden="false" customHeight="false" outlineLevel="0" collapsed="false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customFormat="false" ht="15" hidden="false" customHeight="false" outlineLevel="0" collapsed="false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customFormat="false" ht="15" hidden="false" customHeight="false" outlineLevel="0" collapsed="false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customFormat="false" ht="15" hidden="false" customHeight="false" outlineLevel="0" collapsed="false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customFormat="false" ht="15" hidden="false" customHeight="false" outlineLevel="0" collapsed="false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customFormat="false" ht="15" hidden="false" customHeight="false" outlineLevel="0" collapsed="false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customFormat="false" ht="15" hidden="false" customHeight="false" outlineLevel="0" collapsed="false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customFormat="false" ht="15" hidden="false" customHeight="false" outlineLevel="0" collapsed="false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customFormat="false" ht="15" hidden="false" customHeight="false" outlineLevel="0" collapsed="false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customFormat="false" ht="15" hidden="false" customHeight="false" outlineLevel="0" collapsed="false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customFormat="false" ht="15" hidden="false" customHeight="false" outlineLevel="0" collapsed="false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customFormat="false" ht="15" hidden="false" customHeight="false" outlineLevel="0" collapsed="false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customFormat="false" ht="15" hidden="false" customHeight="false" outlineLevel="0" collapsed="false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customFormat="false" ht="15" hidden="false" customHeight="false" outlineLevel="0" collapsed="false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customFormat="false" ht="15" hidden="false" customHeight="false" outlineLevel="0" collapsed="false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customFormat="false" ht="15" hidden="false" customHeight="false" outlineLevel="0" collapsed="false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customFormat="false" ht="15" hidden="false" customHeight="false" outlineLevel="0" collapsed="false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customFormat="false" ht="15" hidden="false" customHeight="false" outlineLevel="0" collapsed="false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customFormat="false" ht="15" hidden="false" customHeight="false" outlineLevel="0" collapsed="false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customFormat="false" ht="15" hidden="false" customHeight="false" outlineLevel="0" collapsed="false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customFormat="false" ht="15" hidden="false" customHeight="false" outlineLevel="0" collapsed="false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customFormat="false" ht="15" hidden="false" customHeight="false" outlineLevel="0" collapsed="false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customFormat="false" ht="15" hidden="false" customHeight="false" outlineLevel="0" collapsed="false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customFormat="false" ht="15" hidden="false" customHeight="false" outlineLevel="0" collapsed="false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customFormat="false" ht="15" hidden="false" customHeight="false" outlineLevel="0" collapsed="false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customFormat="false" ht="15" hidden="false" customHeight="false" outlineLevel="0" collapsed="false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customFormat="false" ht="15" hidden="false" customHeight="false" outlineLevel="0" collapsed="false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customFormat="false" ht="15" hidden="false" customHeight="false" outlineLevel="0" collapsed="false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customFormat="false" ht="15" hidden="false" customHeight="false" outlineLevel="0" collapsed="false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customFormat="false" ht="15" hidden="false" customHeight="false" outlineLevel="0" collapsed="false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customFormat="false" ht="15" hidden="false" customHeight="false" outlineLevel="0" collapsed="false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customFormat="false" ht="15" hidden="false" customHeight="false" outlineLevel="0" collapsed="false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customFormat="false" ht="15" hidden="false" customHeight="false" outlineLevel="0" collapsed="false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customFormat="false" ht="15" hidden="false" customHeight="false" outlineLevel="0" collapsed="false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customFormat="false" ht="15" hidden="false" customHeight="false" outlineLevel="0" collapsed="false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customFormat="false" ht="15" hidden="false" customHeight="false" outlineLevel="0" collapsed="false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customFormat="false" ht="15" hidden="false" customHeight="false" outlineLevel="0" collapsed="false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customFormat="false" ht="15" hidden="false" customHeight="false" outlineLevel="0" collapsed="false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customFormat="false" ht="15" hidden="false" customHeight="false" outlineLevel="0" collapsed="false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customFormat="false" ht="15" hidden="false" customHeight="false" outlineLevel="0" collapsed="false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customFormat="false" ht="15" hidden="false" customHeight="false" outlineLevel="0" collapsed="false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customFormat="false" ht="15" hidden="false" customHeight="false" outlineLevel="0" collapsed="false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customFormat="false" ht="15" hidden="false" customHeight="false" outlineLevel="0" collapsed="false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customFormat="false" ht="15" hidden="false" customHeight="false" outlineLevel="0" collapsed="false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customFormat="false" ht="15" hidden="false" customHeight="false" outlineLevel="0" collapsed="false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customFormat="false" ht="15" hidden="false" customHeight="false" outlineLevel="0" collapsed="false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customFormat="false" ht="15" hidden="false" customHeight="false" outlineLevel="0" collapsed="false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customFormat="false" ht="15" hidden="false" customHeight="false" outlineLevel="0" collapsed="false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customFormat="false" ht="15" hidden="false" customHeight="false" outlineLevel="0" collapsed="false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customFormat="false" ht="15" hidden="false" customHeight="false" outlineLevel="0" collapsed="false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customFormat="false" ht="15" hidden="false" customHeight="false" outlineLevel="0" collapsed="false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customFormat="false" ht="15" hidden="false" customHeight="false" outlineLevel="0" collapsed="false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customFormat="false" ht="15" hidden="false" customHeight="false" outlineLevel="0" collapsed="false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customFormat="false" ht="15" hidden="false" customHeight="false" outlineLevel="0" collapsed="false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customFormat="false" ht="15" hidden="false" customHeight="false" outlineLevel="0" collapsed="false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customFormat="false" ht="15" hidden="false" customHeight="false" outlineLevel="0" collapsed="false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customFormat="false" ht="15" hidden="false" customHeight="false" outlineLevel="0" collapsed="false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customFormat="false" ht="15" hidden="false" customHeight="false" outlineLevel="0" collapsed="false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customFormat="false" ht="15" hidden="false" customHeight="false" outlineLevel="0" collapsed="false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customFormat="false" ht="15" hidden="false" customHeight="false" outlineLevel="0" collapsed="false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customFormat="false" ht="15" hidden="false" customHeight="false" outlineLevel="0" collapsed="false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customFormat="false" ht="15" hidden="false" customHeight="false" outlineLevel="0" collapsed="false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customFormat="false" ht="15" hidden="false" customHeight="false" outlineLevel="0" collapsed="false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customFormat="false" ht="15" hidden="false" customHeight="false" outlineLevel="0" collapsed="false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customFormat="false" ht="15" hidden="false" customHeight="false" outlineLevel="0" collapsed="false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customFormat="false" ht="15" hidden="false" customHeight="false" outlineLevel="0" collapsed="false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customFormat="false" ht="15" hidden="false" customHeight="false" outlineLevel="0" collapsed="false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customFormat="false" ht="15" hidden="false" customHeight="false" outlineLevel="0" collapsed="false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customFormat="false" ht="15" hidden="false" customHeight="false" outlineLevel="0" collapsed="false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customFormat="false" ht="15" hidden="false" customHeight="false" outlineLevel="0" collapsed="false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customFormat="false" ht="15" hidden="false" customHeight="false" outlineLevel="0" collapsed="false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customFormat="false" ht="15" hidden="false" customHeight="false" outlineLevel="0" collapsed="false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customFormat="false" ht="15" hidden="false" customHeight="false" outlineLevel="0" collapsed="false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customFormat="false" ht="15" hidden="false" customHeight="false" outlineLevel="0" collapsed="false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customFormat="false" ht="15" hidden="false" customHeight="false" outlineLevel="0" collapsed="false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customFormat="false" ht="15" hidden="false" customHeight="false" outlineLevel="0" collapsed="false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customFormat="false" ht="15" hidden="false" customHeight="false" outlineLevel="0" collapsed="false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customFormat="false" ht="15" hidden="false" customHeight="false" outlineLevel="0" collapsed="false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customFormat="false" ht="15" hidden="false" customHeight="false" outlineLevel="0" collapsed="false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customFormat="false" ht="15" hidden="false" customHeight="false" outlineLevel="0" collapsed="false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customFormat="false" ht="15" hidden="false" customHeight="false" outlineLevel="0" collapsed="false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customFormat="false" ht="15" hidden="false" customHeight="false" outlineLevel="0" collapsed="false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customFormat="false" ht="15" hidden="false" customHeight="false" outlineLevel="0" collapsed="false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customFormat="false" ht="15" hidden="false" customHeight="false" outlineLevel="0" collapsed="false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customFormat="false" ht="15" hidden="false" customHeight="false" outlineLevel="0" collapsed="false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customFormat="false" ht="15" hidden="false" customHeight="false" outlineLevel="0" collapsed="false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customFormat="false" ht="15" hidden="false" customHeight="false" outlineLevel="0" collapsed="false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customFormat="false" ht="15" hidden="false" customHeight="false" outlineLevel="0" collapsed="false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customFormat="false" ht="15" hidden="false" customHeight="false" outlineLevel="0" collapsed="false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customFormat="false" ht="15" hidden="false" customHeight="false" outlineLevel="0" collapsed="false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customFormat="false" ht="15" hidden="false" customHeight="false" outlineLevel="0" collapsed="false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customFormat="false" ht="15" hidden="false" customHeight="false" outlineLevel="0" collapsed="false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customFormat="false" ht="15" hidden="false" customHeight="false" outlineLevel="0" collapsed="false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customFormat="false" ht="15" hidden="false" customHeight="false" outlineLevel="0" collapsed="false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customFormat="false" ht="15" hidden="false" customHeight="false" outlineLevel="0" collapsed="false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customFormat="false" ht="15" hidden="false" customHeight="false" outlineLevel="0" collapsed="false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customFormat="false" ht="15" hidden="false" customHeight="false" outlineLevel="0" collapsed="false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customFormat="false" ht="15" hidden="false" customHeight="false" outlineLevel="0" collapsed="false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customFormat="false" ht="15" hidden="false" customHeight="false" outlineLevel="0" collapsed="false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customFormat="false" ht="15" hidden="false" customHeight="false" outlineLevel="0" collapsed="false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customFormat="false" ht="15" hidden="false" customHeight="false" outlineLevel="0" collapsed="false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customFormat="false" ht="15" hidden="false" customHeight="false" outlineLevel="0" collapsed="false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customFormat="false" ht="15" hidden="false" customHeight="false" outlineLevel="0" collapsed="false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customFormat="false" ht="15" hidden="false" customHeight="false" outlineLevel="0" collapsed="false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customFormat="false" ht="15" hidden="false" customHeight="false" outlineLevel="0" collapsed="false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customFormat="false" ht="15" hidden="false" customHeight="false" outlineLevel="0" collapsed="false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customFormat="false" ht="15" hidden="false" customHeight="false" outlineLevel="0" collapsed="false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customFormat="false" ht="15" hidden="false" customHeight="false" outlineLevel="0" collapsed="false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customFormat="false" ht="15" hidden="false" customHeight="false" outlineLevel="0" collapsed="false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customFormat="false" ht="15" hidden="false" customHeight="false" outlineLevel="0" collapsed="false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customFormat="false" ht="15" hidden="false" customHeight="false" outlineLevel="0" collapsed="false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customFormat="false" ht="15" hidden="false" customHeight="false" outlineLevel="0" collapsed="false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customFormat="false" ht="15" hidden="false" customHeight="false" outlineLevel="0" collapsed="false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customFormat="false" ht="15" hidden="false" customHeight="false" outlineLevel="0" collapsed="false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customFormat="false" ht="15" hidden="false" customHeight="false" outlineLevel="0" collapsed="false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customFormat="false" ht="15" hidden="false" customHeight="false" outlineLevel="0" collapsed="false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customFormat="false" ht="15" hidden="false" customHeight="false" outlineLevel="0" collapsed="false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customFormat="false" ht="15" hidden="false" customHeight="false" outlineLevel="0" collapsed="false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customFormat="false" ht="15" hidden="false" customHeight="false" outlineLevel="0" collapsed="false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customFormat="false" ht="15" hidden="false" customHeight="false" outlineLevel="0" collapsed="false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customFormat="false" ht="15" hidden="false" customHeight="false" outlineLevel="0" collapsed="false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customFormat="false" ht="15" hidden="false" customHeight="false" outlineLevel="0" collapsed="false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customFormat="false" ht="15" hidden="false" customHeight="false" outlineLevel="0" collapsed="false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customFormat="false" ht="15" hidden="false" customHeight="false" outlineLevel="0" collapsed="false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customFormat="false" ht="15" hidden="false" customHeight="false" outlineLevel="0" collapsed="false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customFormat="false" ht="15" hidden="false" customHeight="false" outlineLevel="0" collapsed="false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customFormat="false" ht="15" hidden="false" customHeight="false" outlineLevel="0" collapsed="false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customFormat="false" ht="15" hidden="false" customHeight="false" outlineLevel="0" collapsed="false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customFormat="false" ht="15" hidden="false" customHeight="false" outlineLevel="0" collapsed="false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customFormat="false" ht="15" hidden="false" customHeight="false" outlineLevel="0" collapsed="false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customFormat="false" ht="15" hidden="false" customHeight="false" outlineLevel="0" collapsed="false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customFormat="false" ht="15" hidden="false" customHeight="false" outlineLevel="0" collapsed="false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customFormat="false" ht="15" hidden="false" customHeight="false" outlineLevel="0" collapsed="false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customFormat="false" ht="15" hidden="false" customHeight="false" outlineLevel="0" collapsed="false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customFormat="false" ht="15" hidden="false" customHeight="false" outlineLevel="0" collapsed="false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customFormat="false" ht="15" hidden="false" customHeight="false" outlineLevel="0" collapsed="false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customFormat="false" ht="15" hidden="false" customHeight="false" outlineLevel="0" collapsed="false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customFormat="false" ht="15" hidden="false" customHeight="false" outlineLevel="0" collapsed="false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customFormat="false" ht="15" hidden="false" customHeight="false" outlineLevel="0" collapsed="false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customFormat="false" ht="15" hidden="false" customHeight="false" outlineLevel="0" collapsed="false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customFormat="false" ht="15" hidden="false" customHeight="false" outlineLevel="0" collapsed="false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customFormat="false" ht="15" hidden="false" customHeight="false" outlineLevel="0" collapsed="false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customFormat="false" ht="15" hidden="false" customHeight="false" outlineLevel="0" collapsed="false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customFormat="false" ht="15" hidden="false" customHeight="false" outlineLevel="0" collapsed="false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customFormat="false" ht="15" hidden="false" customHeight="false" outlineLevel="0" collapsed="false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customFormat="false" ht="15" hidden="false" customHeight="false" outlineLevel="0" collapsed="false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customFormat="false" ht="15" hidden="false" customHeight="false" outlineLevel="0" collapsed="false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customFormat="false" ht="15" hidden="false" customHeight="false" outlineLevel="0" collapsed="false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customFormat="false" ht="15" hidden="false" customHeight="false" outlineLevel="0" collapsed="false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customFormat="false" ht="15" hidden="false" customHeight="false" outlineLevel="0" collapsed="false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customFormat="false" ht="15" hidden="false" customHeight="false" outlineLevel="0" collapsed="false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customFormat="false" ht="15" hidden="false" customHeight="false" outlineLevel="0" collapsed="false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customFormat="false" ht="15" hidden="false" customHeight="false" outlineLevel="0" collapsed="false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customFormat="false" ht="15" hidden="false" customHeight="false" outlineLevel="0" collapsed="false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customFormat="false" ht="15" hidden="false" customHeight="false" outlineLevel="0" collapsed="false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customFormat="false" ht="15" hidden="false" customHeight="false" outlineLevel="0" collapsed="false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customFormat="false" ht="15" hidden="false" customHeight="false" outlineLevel="0" collapsed="false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customFormat="false" ht="15" hidden="false" customHeight="false" outlineLevel="0" collapsed="false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customFormat="false" ht="15" hidden="false" customHeight="false" outlineLevel="0" collapsed="false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customFormat="false" ht="15" hidden="false" customHeight="false" outlineLevel="0" collapsed="false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customFormat="false" ht="15" hidden="false" customHeight="false" outlineLevel="0" collapsed="false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customFormat="false" ht="15" hidden="false" customHeight="false" outlineLevel="0" collapsed="false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customFormat="false" ht="15" hidden="false" customHeight="false" outlineLevel="0" collapsed="false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customFormat="false" ht="15" hidden="false" customHeight="false" outlineLevel="0" collapsed="false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customFormat="false" ht="15" hidden="false" customHeight="false" outlineLevel="0" collapsed="false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customFormat="false" ht="15" hidden="false" customHeight="false" outlineLevel="0" collapsed="false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customFormat="false" ht="15" hidden="false" customHeight="false" outlineLevel="0" collapsed="false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customFormat="false" ht="15" hidden="false" customHeight="false" outlineLevel="0" collapsed="false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customFormat="false" ht="15" hidden="false" customHeight="false" outlineLevel="0" collapsed="false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customFormat="false" ht="15" hidden="false" customHeight="false" outlineLevel="0" collapsed="false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customFormat="false" ht="15" hidden="false" customHeight="false" outlineLevel="0" collapsed="false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customFormat="false" ht="15" hidden="false" customHeight="false" outlineLevel="0" collapsed="false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customFormat="false" ht="15" hidden="false" customHeight="false" outlineLevel="0" collapsed="false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customFormat="false" ht="15" hidden="false" customHeight="false" outlineLevel="0" collapsed="false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customFormat="false" ht="15" hidden="false" customHeight="false" outlineLevel="0" collapsed="false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customFormat="false" ht="15" hidden="false" customHeight="false" outlineLevel="0" collapsed="false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customFormat="false" ht="15" hidden="false" customHeight="false" outlineLevel="0" collapsed="false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customFormat="false" ht="15" hidden="false" customHeight="false" outlineLevel="0" collapsed="false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customFormat="false" ht="15" hidden="false" customHeight="false" outlineLevel="0" collapsed="false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customFormat="false" ht="15" hidden="false" customHeight="false" outlineLevel="0" collapsed="false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customFormat="false" ht="15" hidden="false" customHeight="false" outlineLevel="0" collapsed="false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customFormat="false" ht="15" hidden="false" customHeight="false" outlineLevel="0" collapsed="false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customFormat="false" ht="15" hidden="false" customHeight="false" outlineLevel="0" collapsed="false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customFormat="false" ht="15" hidden="false" customHeight="false" outlineLevel="0" collapsed="false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customFormat="false" ht="15" hidden="false" customHeight="false" outlineLevel="0" collapsed="false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customFormat="false" ht="15" hidden="false" customHeight="false" outlineLevel="0" collapsed="false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customFormat="false" ht="15" hidden="false" customHeight="false" outlineLevel="0" collapsed="false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customFormat="false" ht="15" hidden="false" customHeight="false" outlineLevel="0" collapsed="false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customFormat="false" ht="15" hidden="false" customHeight="false" outlineLevel="0" collapsed="false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customFormat="false" ht="15" hidden="false" customHeight="false" outlineLevel="0" collapsed="false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customFormat="false" ht="15" hidden="false" customHeight="false" outlineLevel="0" collapsed="false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customFormat="false" ht="15" hidden="false" customHeight="false" outlineLevel="0" collapsed="false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customFormat="false" ht="15" hidden="false" customHeight="false" outlineLevel="0" collapsed="false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customFormat="false" ht="15" hidden="false" customHeight="false" outlineLevel="0" collapsed="false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customFormat="false" ht="15" hidden="false" customHeight="false" outlineLevel="0" collapsed="false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customFormat="false" ht="15" hidden="false" customHeight="false" outlineLevel="0" collapsed="false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customFormat="false" ht="15" hidden="false" customHeight="false" outlineLevel="0" collapsed="false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customFormat="false" ht="15" hidden="false" customHeight="false" outlineLevel="0" collapsed="false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customFormat="false" ht="15" hidden="false" customHeight="false" outlineLevel="0" collapsed="false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customFormat="false" ht="15" hidden="false" customHeight="false" outlineLevel="0" collapsed="false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customFormat="false" ht="15" hidden="false" customHeight="false" outlineLevel="0" collapsed="false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customFormat="false" ht="15" hidden="false" customHeight="false" outlineLevel="0" collapsed="false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customFormat="false" ht="15" hidden="false" customHeight="false" outlineLevel="0" collapsed="false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customFormat="false" ht="15" hidden="false" customHeight="false" outlineLevel="0" collapsed="false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customFormat="false" ht="15" hidden="false" customHeight="false" outlineLevel="0" collapsed="false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customFormat="false" ht="15" hidden="false" customHeight="false" outlineLevel="0" collapsed="false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customFormat="false" ht="15" hidden="false" customHeight="false" outlineLevel="0" collapsed="false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customFormat="false" ht="15" hidden="false" customHeight="false" outlineLevel="0" collapsed="false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customFormat="false" ht="15" hidden="false" customHeight="false" outlineLevel="0" collapsed="false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customFormat="false" ht="15" hidden="false" customHeight="false" outlineLevel="0" collapsed="false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customFormat="false" ht="15" hidden="false" customHeight="false" outlineLevel="0" collapsed="false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customFormat="false" ht="15" hidden="false" customHeight="false" outlineLevel="0" collapsed="false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customFormat="false" ht="15" hidden="false" customHeight="false" outlineLevel="0" collapsed="false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customFormat="false" ht="15" hidden="false" customHeight="false" outlineLevel="0" collapsed="false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customFormat="false" ht="15" hidden="false" customHeight="false" outlineLevel="0" collapsed="false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customFormat="false" ht="15" hidden="false" customHeight="false" outlineLevel="0" collapsed="false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customFormat="false" ht="15" hidden="false" customHeight="false" outlineLevel="0" collapsed="false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customFormat="false" ht="15" hidden="false" customHeight="false" outlineLevel="0" collapsed="false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customFormat="false" ht="15" hidden="false" customHeight="false" outlineLevel="0" collapsed="false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customFormat="false" ht="15" hidden="false" customHeight="false" outlineLevel="0" collapsed="false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customFormat="false" ht="15" hidden="false" customHeight="false" outlineLevel="0" collapsed="false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customFormat="false" ht="15" hidden="false" customHeight="false" outlineLevel="0" collapsed="false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customFormat="false" ht="15" hidden="false" customHeight="false" outlineLevel="0" collapsed="false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customFormat="false" ht="15" hidden="false" customHeight="false" outlineLevel="0" collapsed="false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customFormat="false" ht="15" hidden="false" customHeight="false" outlineLevel="0" collapsed="false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customFormat="false" ht="15" hidden="false" customHeight="false" outlineLevel="0" collapsed="false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customFormat="false" ht="15" hidden="false" customHeight="false" outlineLevel="0" collapsed="false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customFormat="false" ht="15" hidden="false" customHeight="false" outlineLevel="0" collapsed="false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customFormat="false" ht="15" hidden="false" customHeight="false" outlineLevel="0" collapsed="false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customFormat="false" ht="15" hidden="false" customHeight="false" outlineLevel="0" collapsed="false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customFormat="false" ht="15" hidden="false" customHeight="false" outlineLevel="0" collapsed="false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customFormat="false" ht="15" hidden="false" customHeight="false" outlineLevel="0" collapsed="false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customFormat="false" ht="15" hidden="false" customHeight="false" outlineLevel="0" collapsed="false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customFormat="false" ht="15" hidden="false" customHeight="false" outlineLevel="0" collapsed="false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customFormat="false" ht="15" hidden="false" customHeight="false" outlineLevel="0" collapsed="false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customFormat="false" ht="15" hidden="false" customHeight="false" outlineLevel="0" collapsed="false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customFormat="false" ht="15" hidden="false" customHeight="false" outlineLevel="0" collapsed="false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customFormat="false" ht="15" hidden="false" customHeight="false" outlineLevel="0" collapsed="false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customFormat="false" ht="15" hidden="false" customHeight="false" outlineLevel="0" collapsed="false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customFormat="false" ht="15" hidden="false" customHeight="false" outlineLevel="0" collapsed="false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customFormat="false" ht="15" hidden="false" customHeight="false" outlineLevel="0" collapsed="false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customFormat="false" ht="15" hidden="false" customHeight="false" outlineLevel="0" collapsed="false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customFormat="false" ht="15" hidden="false" customHeight="false" outlineLevel="0" collapsed="false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customFormat="false" ht="15" hidden="false" customHeight="false" outlineLevel="0" collapsed="false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customFormat="false" ht="15" hidden="false" customHeight="false" outlineLevel="0" collapsed="false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customFormat="false" ht="15" hidden="false" customHeight="false" outlineLevel="0" collapsed="false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customFormat="false" ht="15" hidden="false" customHeight="false" outlineLevel="0" collapsed="false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customFormat="false" ht="15" hidden="false" customHeight="false" outlineLevel="0" collapsed="false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customFormat="false" ht="15" hidden="false" customHeight="false" outlineLevel="0" collapsed="false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customFormat="false" ht="15" hidden="false" customHeight="false" outlineLevel="0" collapsed="false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customFormat="false" ht="15" hidden="false" customHeight="false" outlineLevel="0" collapsed="false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customFormat="false" ht="15" hidden="false" customHeight="false" outlineLevel="0" collapsed="false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customFormat="false" ht="15" hidden="false" customHeight="false" outlineLevel="0" collapsed="false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customFormat="false" ht="15" hidden="false" customHeight="false" outlineLevel="0" collapsed="false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customFormat="false" ht="15" hidden="false" customHeight="false" outlineLevel="0" collapsed="false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customFormat="false" ht="15" hidden="false" customHeight="false" outlineLevel="0" collapsed="false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customFormat="false" ht="15" hidden="false" customHeight="false" outlineLevel="0" collapsed="false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customFormat="false" ht="15" hidden="false" customHeight="false" outlineLevel="0" collapsed="false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customFormat="false" ht="15" hidden="false" customHeight="false" outlineLevel="0" collapsed="false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customFormat="false" ht="15" hidden="false" customHeight="false" outlineLevel="0" collapsed="false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customFormat="false" ht="15" hidden="false" customHeight="false" outlineLevel="0" collapsed="false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customFormat="false" ht="15" hidden="false" customHeight="false" outlineLevel="0" collapsed="false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customFormat="false" ht="15" hidden="false" customHeight="false" outlineLevel="0" collapsed="false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customFormat="false" ht="15" hidden="false" customHeight="false" outlineLevel="0" collapsed="false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customFormat="false" ht="15" hidden="false" customHeight="false" outlineLevel="0" collapsed="false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customFormat="false" ht="15" hidden="false" customHeight="false" outlineLevel="0" collapsed="false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customFormat="false" ht="15" hidden="false" customHeight="false" outlineLevel="0" collapsed="false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customFormat="false" ht="15" hidden="false" customHeight="false" outlineLevel="0" collapsed="false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customFormat="false" ht="15" hidden="false" customHeight="false" outlineLevel="0" collapsed="false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customFormat="false" ht="15" hidden="false" customHeight="false" outlineLevel="0" collapsed="false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customFormat="false" ht="15" hidden="false" customHeight="false" outlineLevel="0" collapsed="false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customFormat="false" ht="15" hidden="false" customHeight="false" outlineLevel="0" collapsed="false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customFormat="false" ht="15" hidden="false" customHeight="false" outlineLevel="0" collapsed="false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customFormat="false" ht="15" hidden="false" customHeight="false" outlineLevel="0" collapsed="false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customFormat="false" ht="15" hidden="false" customHeight="false" outlineLevel="0" collapsed="false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customFormat="false" ht="15" hidden="false" customHeight="false" outlineLevel="0" collapsed="false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customFormat="false" ht="15" hidden="false" customHeight="false" outlineLevel="0" collapsed="false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customFormat="false" ht="15" hidden="false" customHeight="false" outlineLevel="0" collapsed="false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customFormat="false" ht="15" hidden="false" customHeight="false" outlineLevel="0" collapsed="false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customFormat="false" ht="15" hidden="false" customHeight="false" outlineLevel="0" collapsed="false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customFormat="false" ht="15" hidden="false" customHeight="false" outlineLevel="0" collapsed="false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customFormat="false" ht="15" hidden="false" customHeight="false" outlineLevel="0" collapsed="false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customFormat="false" ht="15" hidden="false" customHeight="false" outlineLevel="0" collapsed="false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customFormat="false" ht="15" hidden="false" customHeight="false" outlineLevel="0" collapsed="false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customFormat="false" ht="15" hidden="false" customHeight="false" outlineLevel="0" collapsed="false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customFormat="false" ht="15" hidden="false" customHeight="false" outlineLevel="0" collapsed="false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customFormat="false" ht="15" hidden="false" customHeight="false" outlineLevel="0" collapsed="false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customFormat="false" ht="15" hidden="false" customHeight="false" outlineLevel="0" collapsed="false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customFormat="false" ht="15" hidden="false" customHeight="false" outlineLevel="0" collapsed="false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customFormat="false" ht="15" hidden="false" customHeight="false" outlineLevel="0" collapsed="false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customFormat="false" ht="15" hidden="false" customHeight="false" outlineLevel="0" collapsed="false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customFormat="false" ht="15" hidden="false" customHeight="false" outlineLevel="0" collapsed="false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customFormat="false" ht="15" hidden="false" customHeight="false" outlineLevel="0" collapsed="false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customFormat="false" ht="15" hidden="false" customHeight="false" outlineLevel="0" collapsed="false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customFormat="false" ht="15" hidden="false" customHeight="false" outlineLevel="0" collapsed="false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customFormat="false" ht="15" hidden="false" customHeight="false" outlineLevel="0" collapsed="false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customFormat="false" ht="15" hidden="false" customHeight="false" outlineLevel="0" collapsed="false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customFormat="false" ht="15" hidden="false" customHeight="false" outlineLevel="0" collapsed="false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customFormat="false" ht="15" hidden="false" customHeight="false" outlineLevel="0" collapsed="false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customFormat="false" ht="15" hidden="false" customHeight="false" outlineLevel="0" collapsed="false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customFormat="false" ht="15" hidden="false" customHeight="false" outlineLevel="0" collapsed="false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customFormat="false" ht="15" hidden="false" customHeight="false" outlineLevel="0" collapsed="false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customFormat="false" ht="15" hidden="false" customHeight="false" outlineLevel="0" collapsed="false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customFormat="false" ht="15" hidden="false" customHeight="false" outlineLevel="0" collapsed="false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customFormat="false" ht="15" hidden="false" customHeight="false" outlineLevel="0" collapsed="false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customFormat="false" ht="15" hidden="false" customHeight="false" outlineLevel="0" collapsed="false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customFormat="false" ht="15" hidden="false" customHeight="false" outlineLevel="0" collapsed="false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customFormat="false" ht="15" hidden="false" customHeight="false" outlineLevel="0" collapsed="false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customFormat="false" ht="15" hidden="false" customHeight="false" outlineLevel="0" collapsed="false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customFormat="false" ht="15" hidden="false" customHeight="false" outlineLevel="0" collapsed="false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customFormat="false" ht="15" hidden="false" customHeight="false" outlineLevel="0" collapsed="false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customFormat="false" ht="15" hidden="false" customHeight="false" outlineLevel="0" collapsed="false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customFormat="false" ht="15" hidden="false" customHeight="false" outlineLevel="0" collapsed="false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customFormat="false" ht="15" hidden="false" customHeight="false" outlineLevel="0" collapsed="false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customFormat="false" ht="15" hidden="false" customHeight="false" outlineLevel="0" collapsed="false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customFormat="false" ht="15" hidden="false" customHeight="false" outlineLevel="0" collapsed="false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customFormat="false" ht="15" hidden="false" customHeight="false" outlineLevel="0" collapsed="false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customFormat="false" ht="15" hidden="false" customHeight="false" outlineLevel="0" collapsed="false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customFormat="false" ht="15" hidden="false" customHeight="false" outlineLevel="0" collapsed="false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customFormat="false" ht="15" hidden="false" customHeight="false" outlineLevel="0" collapsed="false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customFormat="false" ht="15" hidden="false" customHeight="false" outlineLevel="0" collapsed="false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customFormat="false" ht="15" hidden="false" customHeight="false" outlineLevel="0" collapsed="false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customFormat="false" ht="15" hidden="false" customHeight="false" outlineLevel="0" collapsed="false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customFormat="false" ht="15" hidden="false" customHeight="false" outlineLevel="0" collapsed="false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customFormat="false" ht="15" hidden="false" customHeight="false" outlineLevel="0" collapsed="false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customFormat="false" ht="15" hidden="false" customHeight="false" outlineLevel="0" collapsed="false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customFormat="false" ht="15" hidden="false" customHeight="false" outlineLevel="0" collapsed="false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customFormat="false" ht="15" hidden="false" customHeight="false" outlineLevel="0" collapsed="false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customFormat="false" ht="15" hidden="false" customHeight="false" outlineLevel="0" collapsed="false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customFormat="false" ht="15" hidden="false" customHeight="false" outlineLevel="0" collapsed="false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customFormat="false" ht="15" hidden="false" customHeight="false" outlineLevel="0" collapsed="false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customFormat="false" ht="15" hidden="false" customHeight="false" outlineLevel="0" collapsed="false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customFormat="false" ht="15" hidden="false" customHeight="false" outlineLevel="0" collapsed="false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customFormat="false" ht="15" hidden="false" customHeight="false" outlineLevel="0" collapsed="false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customFormat="false" ht="15" hidden="false" customHeight="false" outlineLevel="0" collapsed="false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customFormat="false" ht="15" hidden="false" customHeight="false" outlineLevel="0" collapsed="false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customFormat="false" ht="15" hidden="false" customHeight="false" outlineLevel="0" collapsed="false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customFormat="false" ht="15" hidden="false" customHeight="false" outlineLevel="0" collapsed="false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customFormat="false" ht="15" hidden="false" customHeight="false" outlineLevel="0" collapsed="false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customFormat="false" ht="15" hidden="false" customHeight="false" outlineLevel="0" collapsed="false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customFormat="false" ht="15" hidden="false" customHeight="false" outlineLevel="0" collapsed="false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customFormat="false" ht="15" hidden="false" customHeight="false" outlineLevel="0" collapsed="false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customFormat="false" ht="15" hidden="false" customHeight="false" outlineLevel="0" collapsed="false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customFormat="false" ht="15" hidden="false" customHeight="false" outlineLevel="0" collapsed="false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customFormat="false" ht="15" hidden="false" customHeight="false" outlineLevel="0" collapsed="false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customFormat="false" ht="15" hidden="false" customHeight="false" outlineLevel="0" collapsed="false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customFormat="false" ht="15" hidden="false" customHeight="false" outlineLevel="0" collapsed="false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customFormat="false" ht="15" hidden="false" customHeight="false" outlineLevel="0" collapsed="false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customFormat="false" ht="15" hidden="false" customHeight="false" outlineLevel="0" collapsed="false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customFormat="false" ht="15" hidden="false" customHeight="false" outlineLevel="0" collapsed="false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customFormat="false" ht="15" hidden="false" customHeight="false" outlineLevel="0" collapsed="false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customFormat="false" ht="15" hidden="false" customHeight="false" outlineLevel="0" collapsed="false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customFormat="false" ht="15" hidden="false" customHeight="false" outlineLevel="0" collapsed="false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customFormat="false" ht="15" hidden="false" customHeight="false" outlineLevel="0" collapsed="false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customFormat="false" ht="15" hidden="false" customHeight="false" outlineLevel="0" collapsed="false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customFormat="false" ht="15" hidden="false" customHeight="false" outlineLevel="0" collapsed="false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customFormat="false" ht="15" hidden="false" customHeight="false" outlineLevel="0" collapsed="false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customFormat="false" ht="15" hidden="false" customHeight="false" outlineLevel="0" collapsed="false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customFormat="false" ht="15" hidden="false" customHeight="false" outlineLevel="0" collapsed="false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customFormat="false" ht="15" hidden="false" customHeight="false" outlineLevel="0" collapsed="false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customFormat="false" ht="15" hidden="false" customHeight="false" outlineLevel="0" collapsed="false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customFormat="false" ht="15" hidden="false" customHeight="false" outlineLevel="0" collapsed="false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customFormat="false" ht="15" hidden="false" customHeight="false" outlineLevel="0" collapsed="false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customFormat="false" ht="15" hidden="false" customHeight="false" outlineLevel="0" collapsed="false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customFormat="false" ht="15" hidden="false" customHeight="false" outlineLevel="0" collapsed="false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customFormat="false" ht="15" hidden="false" customHeight="false" outlineLevel="0" collapsed="false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customFormat="false" ht="15" hidden="false" customHeight="false" outlineLevel="0" collapsed="false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customFormat="false" ht="15" hidden="false" customHeight="false" outlineLevel="0" collapsed="false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customFormat="false" ht="15" hidden="false" customHeight="false" outlineLevel="0" collapsed="false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customFormat="false" ht="15" hidden="false" customHeight="false" outlineLevel="0" collapsed="false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customFormat="false" ht="15" hidden="false" customHeight="false" outlineLevel="0" collapsed="false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customFormat="false" ht="15" hidden="false" customHeight="false" outlineLevel="0" collapsed="false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customFormat="false" ht="15" hidden="false" customHeight="false" outlineLevel="0" collapsed="false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customFormat="false" ht="15" hidden="false" customHeight="false" outlineLevel="0" collapsed="false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customFormat="false" ht="15" hidden="false" customHeight="false" outlineLevel="0" collapsed="false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customFormat="false" ht="15" hidden="false" customHeight="false" outlineLevel="0" collapsed="false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customFormat="false" ht="15" hidden="false" customHeight="false" outlineLevel="0" collapsed="false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customFormat="false" ht="15" hidden="false" customHeight="false" outlineLevel="0" collapsed="false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customFormat="false" ht="15" hidden="false" customHeight="false" outlineLevel="0" collapsed="false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customFormat="false" ht="15" hidden="false" customHeight="false" outlineLevel="0" collapsed="false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customFormat="false" ht="15" hidden="false" customHeight="false" outlineLevel="0" collapsed="false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customFormat="false" ht="15" hidden="false" customHeight="false" outlineLevel="0" collapsed="false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customFormat="false" ht="15" hidden="false" customHeight="false" outlineLevel="0" collapsed="false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customFormat="false" ht="15" hidden="false" customHeight="false" outlineLevel="0" collapsed="false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customFormat="false" ht="15" hidden="false" customHeight="false" outlineLevel="0" collapsed="false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customFormat="false" ht="15" hidden="false" customHeight="false" outlineLevel="0" collapsed="false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customFormat="false" ht="15" hidden="false" customHeight="false" outlineLevel="0" collapsed="false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customFormat="false" ht="15" hidden="false" customHeight="false" outlineLevel="0" collapsed="false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customFormat="false" ht="15" hidden="false" customHeight="false" outlineLevel="0" collapsed="false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customFormat="false" ht="15" hidden="false" customHeight="false" outlineLevel="0" collapsed="false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customFormat="false" ht="15" hidden="false" customHeight="false" outlineLevel="0" collapsed="false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customFormat="false" ht="15" hidden="false" customHeight="false" outlineLevel="0" collapsed="false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customFormat="false" ht="15" hidden="false" customHeight="false" outlineLevel="0" collapsed="false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customFormat="false" ht="15" hidden="false" customHeight="false" outlineLevel="0" collapsed="false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customFormat="false" ht="15" hidden="false" customHeight="false" outlineLevel="0" collapsed="false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customFormat="false" ht="15" hidden="false" customHeight="false" outlineLevel="0" collapsed="false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customFormat="false" ht="15" hidden="false" customHeight="false" outlineLevel="0" collapsed="false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customFormat="false" ht="15" hidden="false" customHeight="false" outlineLevel="0" collapsed="false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customFormat="false" ht="15" hidden="false" customHeight="false" outlineLevel="0" collapsed="false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customFormat="false" ht="15" hidden="false" customHeight="false" outlineLevel="0" collapsed="false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customFormat="false" ht="15" hidden="false" customHeight="false" outlineLevel="0" collapsed="false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customFormat="false" ht="15" hidden="false" customHeight="false" outlineLevel="0" collapsed="false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customFormat="false" ht="15" hidden="false" customHeight="false" outlineLevel="0" collapsed="false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customFormat="false" ht="15" hidden="false" customHeight="false" outlineLevel="0" collapsed="false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customFormat="false" ht="15" hidden="false" customHeight="false" outlineLevel="0" collapsed="false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customFormat="false" ht="15" hidden="false" customHeight="false" outlineLevel="0" collapsed="false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customFormat="false" ht="15" hidden="false" customHeight="false" outlineLevel="0" collapsed="false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customFormat="false" ht="15" hidden="false" customHeight="false" outlineLevel="0" collapsed="false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customFormat="false" ht="15" hidden="false" customHeight="false" outlineLevel="0" collapsed="false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customFormat="false" ht="15" hidden="false" customHeight="false" outlineLevel="0" collapsed="false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customFormat="false" ht="15" hidden="false" customHeight="false" outlineLevel="0" collapsed="false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customFormat="false" ht="15" hidden="false" customHeight="false" outlineLevel="0" collapsed="false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customFormat="false" ht="15" hidden="false" customHeight="false" outlineLevel="0" collapsed="false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customFormat="false" ht="15" hidden="false" customHeight="false" outlineLevel="0" collapsed="false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customFormat="false" ht="15" hidden="false" customHeight="false" outlineLevel="0" collapsed="false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customFormat="false" ht="15" hidden="false" customHeight="false" outlineLevel="0" collapsed="false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customFormat="false" ht="15" hidden="false" customHeight="false" outlineLevel="0" collapsed="false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customFormat="false" ht="15" hidden="false" customHeight="false" outlineLevel="0" collapsed="false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customFormat="false" ht="15" hidden="false" customHeight="false" outlineLevel="0" collapsed="false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customFormat="false" ht="15" hidden="false" customHeight="false" outlineLevel="0" collapsed="false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customFormat="false" ht="15" hidden="false" customHeight="false" outlineLevel="0" collapsed="false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customFormat="false" ht="15" hidden="false" customHeight="false" outlineLevel="0" collapsed="false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customFormat="false" ht="15" hidden="false" customHeight="false" outlineLevel="0" collapsed="false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customFormat="false" ht="15" hidden="false" customHeight="false" outlineLevel="0" collapsed="false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customFormat="false" ht="15" hidden="false" customHeight="false" outlineLevel="0" collapsed="false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customFormat="false" ht="15" hidden="false" customHeight="false" outlineLevel="0" collapsed="false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customFormat="false" ht="15" hidden="false" customHeight="false" outlineLevel="0" collapsed="false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customFormat="false" ht="15" hidden="false" customHeight="false" outlineLevel="0" collapsed="false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customFormat="false" ht="15" hidden="false" customHeight="false" outlineLevel="0" collapsed="false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customFormat="false" ht="15" hidden="false" customHeight="false" outlineLevel="0" collapsed="false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customFormat="false" ht="15" hidden="false" customHeight="false" outlineLevel="0" collapsed="false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customFormat="false" ht="15" hidden="false" customHeight="false" outlineLevel="0" collapsed="false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customFormat="false" ht="15" hidden="false" customHeight="false" outlineLevel="0" collapsed="false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customFormat="false" ht="15" hidden="false" customHeight="false" outlineLevel="0" collapsed="false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customFormat="false" ht="15" hidden="false" customHeight="false" outlineLevel="0" collapsed="false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customFormat="false" ht="15" hidden="false" customHeight="false" outlineLevel="0" collapsed="false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customFormat="false" ht="15" hidden="false" customHeight="false" outlineLevel="0" collapsed="false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customFormat="false" ht="15" hidden="false" customHeight="false" outlineLevel="0" collapsed="false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customFormat="false" ht="15" hidden="false" customHeight="false" outlineLevel="0" collapsed="false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customFormat="false" ht="15" hidden="false" customHeight="false" outlineLevel="0" collapsed="false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customFormat="false" ht="15" hidden="false" customHeight="false" outlineLevel="0" collapsed="false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customFormat="false" ht="15" hidden="false" customHeight="false" outlineLevel="0" collapsed="false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customFormat="false" ht="15" hidden="false" customHeight="false" outlineLevel="0" collapsed="false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customFormat="false" ht="15" hidden="false" customHeight="false" outlineLevel="0" collapsed="false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customFormat="false" ht="15" hidden="false" customHeight="false" outlineLevel="0" collapsed="false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customFormat="false" ht="15" hidden="false" customHeight="false" outlineLevel="0" collapsed="false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customFormat="false" ht="15" hidden="false" customHeight="false" outlineLevel="0" collapsed="false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customFormat="false" ht="15" hidden="false" customHeight="false" outlineLevel="0" collapsed="false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customFormat="false" ht="15" hidden="false" customHeight="false" outlineLevel="0" collapsed="false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customFormat="false" ht="15" hidden="false" customHeight="false" outlineLevel="0" collapsed="false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customFormat="false" ht="15" hidden="false" customHeight="false" outlineLevel="0" collapsed="false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customFormat="false" ht="15" hidden="false" customHeight="false" outlineLevel="0" collapsed="false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customFormat="false" ht="15" hidden="false" customHeight="false" outlineLevel="0" collapsed="false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customFormat="false" ht="15" hidden="false" customHeight="false" outlineLevel="0" collapsed="false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customFormat="false" ht="15" hidden="false" customHeight="false" outlineLevel="0" collapsed="false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customFormat="false" ht="15" hidden="false" customHeight="false" outlineLevel="0" collapsed="false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customFormat="false" ht="15" hidden="false" customHeight="false" outlineLevel="0" collapsed="false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customFormat="false" ht="15" hidden="false" customHeight="false" outlineLevel="0" collapsed="false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customFormat="false" ht="15" hidden="false" customHeight="false" outlineLevel="0" collapsed="false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customFormat="false" ht="15" hidden="false" customHeight="false" outlineLevel="0" collapsed="false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customFormat="false" ht="15" hidden="false" customHeight="false" outlineLevel="0" collapsed="false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customFormat="false" ht="15" hidden="false" customHeight="false" outlineLevel="0" collapsed="false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customFormat="false" ht="15" hidden="false" customHeight="false" outlineLevel="0" collapsed="false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customFormat="false" ht="15" hidden="false" customHeight="false" outlineLevel="0" collapsed="false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customFormat="false" ht="15" hidden="false" customHeight="false" outlineLevel="0" collapsed="false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customFormat="false" ht="15" hidden="false" customHeight="false" outlineLevel="0" collapsed="false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customFormat="false" ht="15" hidden="false" customHeight="false" outlineLevel="0" collapsed="false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customFormat="false" ht="15" hidden="false" customHeight="false" outlineLevel="0" collapsed="false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customFormat="false" ht="15" hidden="false" customHeight="false" outlineLevel="0" collapsed="false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customFormat="false" ht="15" hidden="false" customHeight="false" outlineLevel="0" collapsed="false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customFormat="false" ht="15" hidden="false" customHeight="false" outlineLevel="0" collapsed="false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customFormat="false" ht="15" hidden="false" customHeight="false" outlineLevel="0" collapsed="false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customFormat="false" ht="15" hidden="false" customHeight="false" outlineLevel="0" collapsed="false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customFormat="false" ht="15" hidden="false" customHeight="false" outlineLevel="0" collapsed="false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customFormat="false" ht="15" hidden="false" customHeight="false" outlineLevel="0" collapsed="false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customFormat="false" ht="15" hidden="false" customHeight="false" outlineLevel="0" collapsed="false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customFormat="false" ht="15" hidden="false" customHeight="false" outlineLevel="0" collapsed="false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customFormat="false" ht="15" hidden="false" customHeight="false" outlineLevel="0" collapsed="false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customFormat="false" ht="15" hidden="false" customHeight="false" outlineLevel="0" collapsed="false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customFormat="false" ht="15" hidden="false" customHeight="false" outlineLevel="0" collapsed="false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customFormat="false" ht="15" hidden="false" customHeight="false" outlineLevel="0" collapsed="false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customFormat="false" ht="15" hidden="false" customHeight="false" outlineLevel="0" collapsed="false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customFormat="false" ht="15" hidden="false" customHeight="false" outlineLevel="0" collapsed="false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customFormat="false" ht="15" hidden="false" customHeight="false" outlineLevel="0" collapsed="false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customFormat="false" ht="15" hidden="false" customHeight="false" outlineLevel="0" collapsed="false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customFormat="false" ht="15" hidden="false" customHeight="false" outlineLevel="0" collapsed="false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customFormat="false" ht="15" hidden="false" customHeight="false" outlineLevel="0" collapsed="false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customFormat="false" ht="15" hidden="false" customHeight="false" outlineLevel="0" collapsed="false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customFormat="false" ht="15" hidden="false" customHeight="false" outlineLevel="0" collapsed="false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customFormat="false" ht="15" hidden="false" customHeight="false" outlineLevel="0" collapsed="false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customFormat="false" ht="15" hidden="false" customHeight="false" outlineLevel="0" collapsed="false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customFormat="false" ht="15" hidden="false" customHeight="false" outlineLevel="0" collapsed="false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customFormat="false" ht="15" hidden="false" customHeight="false" outlineLevel="0" collapsed="false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customFormat="false" ht="15" hidden="false" customHeight="false" outlineLevel="0" collapsed="false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customFormat="false" ht="15" hidden="false" customHeight="false" outlineLevel="0" collapsed="false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customFormat="false" ht="15" hidden="false" customHeight="false" outlineLevel="0" collapsed="false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customFormat="false" ht="15" hidden="false" customHeight="false" outlineLevel="0" collapsed="false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customFormat="false" ht="15" hidden="false" customHeight="false" outlineLevel="0" collapsed="false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customFormat="false" ht="15" hidden="false" customHeight="false" outlineLevel="0" collapsed="false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customFormat="false" ht="15" hidden="false" customHeight="false" outlineLevel="0" collapsed="false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customFormat="false" ht="15" hidden="false" customHeight="false" outlineLevel="0" collapsed="false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customFormat="false" ht="15" hidden="false" customHeight="false" outlineLevel="0" collapsed="false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customFormat="false" ht="15" hidden="false" customHeight="false" outlineLevel="0" collapsed="false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customFormat="false" ht="15" hidden="false" customHeight="false" outlineLevel="0" collapsed="false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customFormat="false" ht="15" hidden="false" customHeight="false" outlineLevel="0" collapsed="false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customFormat="false" ht="15" hidden="false" customHeight="false" outlineLevel="0" collapsed="false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customFormat="false" ht="15" hidden="false" customHeight="false" outlineLevel="0" collapsed="false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customFormat="false" ht="15" hidden="false" customHeight="false" outlineLevel="0" collapsed="false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customFormat="false" ht="15" hidden="false" customHeight="false" outlineLevel="0" collapsed="false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customFormat="false" ht="15" hidden="false" customHeight="false" outlineLevel="0" collapsed="false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customFormat="false" ht="15" hidden="false" customHeight="false" outlineLevel="0" collapsed="false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customFormat="false" ht="15" hidden="false" customHeight="false" outlineLevel="0" collapsed="false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customFormat="false" ht="15" hidden="false" customHeight="false" outlineLevel="0" collapsed="false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customFormat="false" ht="15" hidden="false" customHeight="false" outlineLevel="0" collapsed="false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customFormat="false" ht="15" hidden="false" customHeight="false" outlineLevel="0" collapsed="false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customFormat="false" ht="15" hidden="false" customHeight="false" outlineLevel="0" collapsed="false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customFormat="false" ht="15" hidden="false" customHeight="false" outlineLevel="0" collapsed="false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customFormat="false" ht="15" hidden="false" customHeight="false" outlineLevel="0" collapsed="false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customFormat="false" ht="15" hidden="false" customHeight="false" outlineLevel="0" collapsed="false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customFormat="false" ht="15" hidden="false" customHeight="false" outlineLevel="0" collapsed="false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customFormat="false" ht="15" hidden="false" customHeight="false" outlineLevel="0" collapsed="false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customFormat="false" ht="15" hidden="false" customHeight="false" outlineLevel="0" collapsed="false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customFormat="false" ht="15" hidden="false" customHeight="false" outlineLevel="0" collapsed="false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customFormat="false" ht="15" hidden="false" customHeight="false" outlineLevel="0" collapsed="false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customFormat="false" ht="15" hidden="false" customHeight="false" outlineLevel="0" collapsed="false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customFormat="false" ht="15" hidden="false" customHeight="false" outlineLevel="0" collapsed="false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customFormat="false" ht="15" hidden="false" customHeight="false" outlineLevel="0" collapsed="false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customFormat="false" ht="15" hidden="false" customHeight="false" outlineLevel="0" collapsed="false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customFormat="false" ht="15" hidden="false" customHeight="false" outlineLevel="0" collapsed="false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customFormat="false" ht="15" hidden="false" customHeight="false" outlineLevel="0" collapsed="false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customFormat="false" ht="15" hidden="false" customHeight="false" outlineLevel="0" collapsed="false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customFormat="false" ht="15" hidden="false" customHeight="false" outlineLevel="0" collapsed="false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customFormat="false" ht="15" hidden="false" customHeight="false" outlineLevel="0" collapsed="false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customFormat="false" ht="15" hidden="false" customHeight="false" outlineLevel="0" collapsed="false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customFormat="false" ht="15" hidden="false" customHeight="false" outlineLevel="0" collapsed="false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customFormat="false" ht="15" hidden="false" customHeight="false" outlineLevel="0" collapsed="false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customFormat="false" ht="15" hidden="false" customHeight="false" outlineLevel="0" collapsed="false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customFormat="false" ht="15" hidden="false" customHeight="false" outlineLevel="0" collapsed="false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customFormat="false" ht="15" hidden="false" customHeight="false" outlineLevel="0" collapsed="false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customFormat="false" ht="15" hidden="false" customHeight="false" outlineLevel="0" collapsed="false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customFormat="false" ht="15" hidden="false" customHeight="false" outlineLevel="0" collapsed="false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customFormat="false" ht="15" hidden="false" customHeight="false" outlineLevel="0" collapsed="false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customFormat="false" ht="15" hidden="false" customHeight="false" outlineLevel="0" collapsed="false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customFormat="false" ht="15" hidden="false" customHeight="false" outlineLevel="0" collapsed="false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customFormat="false" ht="15" hidden="false" customHeight="false" outlineLevel="0" collapsed="false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customFormat="false" ht="15" hidden="false" customHeight="false" outlineLevel="0" collapsed="false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customFormat="false" ht="15" hidden="false" customHeight="false" outlineLevel="0" collapsed="false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customFormat="false" ht="15" hidden="false" customHeight="false" outlineLevel="0" collapsed="false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customFormat="false" ht="15" hidden="false" customHeight="false" outlineLevel="0" collapsed="false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customFormat="false" ht="15" hidden="false" customHeight="false" outlineLevel="0" collapsed="false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customFormat="false" ht="15" hidden="false" customHeight="false" outlineLevel="0" collapsed="false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customFormat="false" ht="15" hidden="false" customHeight="false" outlineLevel="0" collapsed="false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customFormat="false" ht="15" hidden="false" customHeight="false" outlineLevel="0" collapsed="false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customFormat="false" ht="15" hidden="false" customHeight="false" outlineLevel="0" collapsed="false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customFormat="false" ht="15" hidden="false" customHeight="false" outlineLevel="0" collapsed="false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customFormat="false" ht="15" hidden="false" customHeight="false" outlineLevel="0" collapsed="false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customFormat="false" ht="15" hidden="false" customHeight="false" outlineLevel="0" collapsed="false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customFormat="false" ht="15" hidden="false" customHeight="false" outlineLevel="0" collapsed="false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customFormat="false" ht="15" hidden="false" customHeight="false" outlineLevel="0" collapsed="false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customFormat="false" ht="15" hidden="false" customHeight="false" outlineLevel="0" collapsed="false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customFormat="false" ht="15" hidden="false" customHeight="false" outlineLevel="0" collapsed="false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customFormat="false" ht="15" hidden="false" customHeight="false" outlineLevel="0" collapsed="false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customFormat="false" ht="15" hidden="false" customHeight="false" outlineLevel="0" collapsed="false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customFormat="false" ht="15" hidden="false" customHeight="false" outlineLevel="0" collapsed="false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customFormat="false" ht="15" hidden="false" customHeight="false" outlineLevel="0" collapsed="false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customFormat="false" ht="15" hidden="false" customHeight="false" outlineLevel="0" collapsed="false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customFormat="false" ht="15" hidden="false" customHeight="false" outlineLevel="0" collapsed="false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customFormat="false" ht="15" hidden="false" customHeight="false" outlineLevel="0" collapsed="false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customFormat="false" ht="15" hidden="false" customHeight="false" outlineLevel="0" collapsed="false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customFormat="false" ht="15" hidden="false" customHeight="false" outlineLevel="0" collapsed="false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customFormat="false" ht="15" hidden="false" customHeight="false" outlineLevel="0" collapsed="false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customFormat="false" ht="15" hidden="false" customHeight="false" outlineLevel="0" collapsed="false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customFormat="false" ht="15" hidden="false" customHeight="false" outlineLevel="0" collapsed="false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customFormat="false" ht="15" hidden="false" customHeight="false" outlineLevel="0" collapsed="false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customFormat="false" ht="15" hidden="false" customHeight="false" outlineLevel="0" collapsed="false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customFormat="false" ht="15" hidden="false" customHeight="false" outlineLevel="0" collapsed="false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customFormat="false" ht="15" hidden="false" customHeight="false" outlineLevel="0" collapsed="false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customFormat="false" ht="15" hidden="false" customHeight="false" outlineLevel="0" collapsed="false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customFormat="false" ht="15" hidden="false" customHeight="false" outlineLevel="0" collapsed="false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customFormat="false" ht="15" hidden="false" customHeight="false" outlineLevel="0" collapsed="false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customFormat="false" ht="15" hidden="false" customHeight="false" outlineLevel="0" collapsed="false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customFormat="false" ht="15" hidden="false" customHeight="false" outlineLevel="0" collapsed="false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customFormat="false" ht="15" hidden="false" customHeight="false" outlineLevel="0" collapsed="false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customFormat="false" ht="15" hidden="false" customHeight="false" outlineLevel="0" collapsed="false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customFormat="false" ht="15" hidden="false" customHeight="false" outlineLevel="0" collapsed="false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customFormat="false" ht="15" hidden="false" customHeight="false" outlineLevel="0" collapsed="false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customFormat="false" ht="15" hidden="false" customHeight="false" outlineLevel="0" collapsed="false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customFormat="false" ht="15" hidden="false" customHeight="false" outlineLevel="0" collapsed="false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customFormat="false" ht="15" hidden="false" customHeight="false" outlineLevel="0" collapsed="false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customFormat="false" ht="15" hidden="false" customHeight="false" outlineLevel="0" collapsed="false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customFormat="false" ht="15" hidden="false" customHeight="false" outlineLevel="0" collapsed="false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customFormat="false" ht="15" hidden="false" customHeight="false" outlineLevel="0" collapsed="false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customFormat="false" ht="15" hidden="false" customHeight="false" outlineLevel="0" collapsed="false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customFormat="false" ht="15" hidden="false" customHeight="false" outlineLevel="0" collapsed="false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customFormat="false" ht="15" hidden="false" customHeight="false" outlineLevel="0" collapsed="false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customFormat="false" ht="15" hidden="false" customHeight="false" outlineLevel="0" collapsed="false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customFormat="false" ht="15" hidden="false" customHeight="false" outlineLevel="0" collapsed="false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customFormat="false" ht="15" hidden="false" customHeight="false" outlineLevel="0" collapsed="false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customFormat="false" ht="15" hidden="false" customHeight="false" outlineLevel="0" collapsed="false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customFormat="false" ht="15" hidden="false" customHeight="false" outlineLevel="0" collapsed="false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customFormat="false" ht="15" hidden="false" customHeight="false" outlineLevel="0" collapsed="false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customFormat="false" ht="15" hidden="false" customHeight="false" outlineLevel="0" collapsed="false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customFormat="false" ht="15" hidden="false" customHeight="false" outlineLevel="0" collapsed="false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customFormat="false" ht="15" hidden="false" customHeight="false" outlineLevel="0" collapsed="false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customFormat="false" ht="15" hidden="false" customHeight="false" outlineLevel="0" collapsed="false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customFormat="false" ht="15" hidden="false" customHeight="false" outlineLevel="0" collapsed="false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customFormat="false" ht="15" hidden="false" customHeight="false" outlineLevel="0" collapsed="false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customFormat="false" ht="15" hidden="false" customHeight="false" outlineLevel="0" collapsed="false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customFormat="false" ht="15" hidden="false" customHeight="false" outlineLevel="0" collapsed="false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customFormat="false" ht="15" hidden="false" customHeight="false" outlineLevel="0" collapsed="false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customFormat="false" ht="15" hidden="false" customHeight="false" outlineLevel="0" collapsed="false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customFormat="false" ht="15" hidden="false" customHeight="false" outlineLevel="0" collapsed="false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customFormat="false" ht="15" hidden="false" customHeight="false" outlineLevel="0" collapsed="false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customFormat="false" ht="15" hidden="false" customHeight="false" outlineLevel="0" collapsed="false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customFormat="false" ht="15" hidden="false" customHeight="false" outlineLevel="0" collapsed="false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customFormat="false" ht="15" hidden="false" customHeight="false" outlineLevel="0" collapsed="false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customFormat="false" ht="15" hidden="false" customHeight="false" outlineLevel="0" collapsed="false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customFormat="false" ht="15" hidden="false" customHeight="false" outlineLevel="0" collapsed="false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customFormat="false" ht="15" hidden="false" customHeight="false" outlineLevel="0" collapsed="false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customFormat="false" ht="15" hidden="false" customHeight="false" outlineLevel="0" collapsed="false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customFormat="false" ht="15" hidden="false" customHeight="false" outlineLevel="0" collapsed="false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customFormat="false" ht="15" hidden="false" customHeight="false" outlineLevel="0" collapsed="false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customFormat="false" ht="15" hidden="false" customHeight="false" outlineLevel="0" collapsed="false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customFormat="false" ht="15" hidden="false" customHeight="false" outlineLevel="0" collapsed="false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customFormat="false" ht="15" hidden="false" customHeight="false" outlineLevel="0" collapsed="false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customFormat="false" ht="15" hidden="false" customHeight="false" outlineLevel="0" collapsed="false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customFormat="false" ht="15" hidden="false" customHeight="false" outlineLevel="0" collapsed="false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customFormat="false" ht="15" hidden="false" customHeight="false" outlineLevel="0" collapsed="false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customFormat="false" ht="15" hidden="false" customHeight="false" outlineLevel="0" collapsed="false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customFormat="false" ht="15" hidden="false" customHeight="false" outlineLevel="0" collapsed="false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customFormat="false" ht="15" hidden="false" customHeight="false" outlineLevel="0" collapsed="false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customFormat="false" ht="15" hidden="false" customHeight="false" outlineLevel="0" collapsed="false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customFormat="false" ht="15" hidden="false" customHeight="false" outlineLevel="0" collapsed="false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customFormat="false" ht="15" hidden="false" customHeight="false" outlineLevel="0" collapsed="false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customFormat="false" ht="15" hidden="false" customHeight="false" outlineLevel="0" collapsed="false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customFormat="false" ht="15" hidden="false" customHeight="false" outlineLevel="0" collapsed="false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customFormat="false" ht="15" hidden="false" customHeight="false" outlineLevel="0" collapsed="false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customFormat="false" ht="15" hidden="false" customHeight="false" outlineLevel="0" collapsed="false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customFormat="false" ht="15" hidden="false" customHeight="false" outlineLevel="0" collapsed="false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customFormat="false" ht="15" hidden="false" customHeight="false" outlineLevel="0" collapsed="false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customFormat="false" ht="15" hidden="false" customHeight="false" outlineLevel="0" collapsed="false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customFormat="false" ht="15" hidden="false" customHeight="false" outlineLevel="0" collapsed="false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customFormat="false" ht="15" hidden="false" customHeight="false" outlineLevel="0" collapsed="false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customFormat="false" ht="15" hidden="false" customHeight="false" outlineLevel="0" collapsed="false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customFormat="false" ht="15" hidden="false" customHeight="false" outlineLevel="0" collapsed="false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customFormat="false" ht="15" hidden="false" customHeight="false" outlineLevel="0" collapsed="false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customFormat="false" ht="15" hidden="false" customHeight="false" outlineLevel="0" collapsed="false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customFormat="false" ht="15" hidden="false" customHeight="false" outlineLevel="0" collapsed="false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customFormat="false" ht="15" hidden="false" customHeight="false" outlineLevel="0" collapsed="false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customFormat="false" ht="15" hidden="false" customHeight="false" outlineLevel="0" collapsed="false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customFormat="false" ht="15" hidden="false" customHeight="false" outlineLevel="0" collapsed="false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customFormat="false" ht="15" hidden="false" customHeight="false" outlineLevel="0" collapsed="false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customFormat="false" ht="15" hidden="false" customHeight="false" outlineLevel="0" collapsed="false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customFormat="false" ht="15" hidden="false" customHeight="false" outlineLevel="0" collapsed="false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customFormat="false" ht="15" hidden="false" customHeight="false" outlineLevel="0" collapsed="false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customFormat="false" ht="15" hidden="false" customHeight="false" outlineLevel="0" collapsed="false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customFormat="false" ht="15" hidden="false" customHeight="false" outlineLevel="0" collapsed="false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customFormat="false" ht="15" hidden="false" customHeight="false" outlineLevel="0" collapsed="false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customFormat="false" ht="15" hidden="false" customHeight="false" outlineLevel="0" collapsed="false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customFormat="false" ht="15" hidden="false" customHeight="false" outlineLevel="0" collapsed="false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customFormat="false" ht="15" hidden="false" customHeight="false" outlineLevel="0" collapsed="false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customFormat="false" ht="15" hidden="false" customHeight="false" outlineLevel="0" collapsed="false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customFormat="false" ht="15" hidden="false" customHeight="false" outlineLevel="0" collapsed="false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customFormat="false" ht="15" hidden="false" customHeight="false" outlineLevel="0" collapsed="false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customFormat="false" ht="15" hidden="false" customHeight="false" outlineLevel="0" collapsed="false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customFormat="false" ht="15" hidden="false" customHeight="false" outlineLevel="0" collapsed="false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customFormat="false" ht="15" hidden="false" customHeight="false" outlineLevel="0" collapsed="false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customFormat="false" ht="15" hidden="false" customHeight="false" outlineLevel="0" collapsed="false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customFormat="false" ht="15" hidden="false" customHeight="false" outlineLevel="0" collapsed="false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customFormat="false" ht="15" hidden="false" customHeight="false" outlineLevel="0" collapsed="false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customFormat="false" ht="15" hidden="false" customHeight="false" outlineLevel="0" collapsed="false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customFormat="false" ht="15" hidden="false" customHeight="false" outlineLevel="0" collapsed="false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customFormat="false" ht="15" hidden="false" customHeight="false" outlineLevel="0" collapsed="false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customFormat="false" ht="15" hidden="false" customHeight="false" outlineLevel="0" collapsed="false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customFormat="false" ht="15" hidden="false" customHeight="false" outlineLevel="0" collapsed="false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customFormat="false" ht="15" hidden="false" customHeight="false" outlineLevel="0" collapsed="false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customFormat="false" ht="15" hidden="false" customHeight="false" outlineLevel="0" collapsed="false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customFormat="false" ht="15" hidden="false" customHeight="false" outlineLevel="0" collapsed="false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customFormat="false" ht="15" hidden="false" customHeight="false" outlineLevel="0" collapsed="false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customFormat="false" ht="15" hidden="false" customHeight="false" outlineLevel="0" collapsed="false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customFormat="false" ht="15" hidden="false" customHeight="false" outlineLevel="0" collapsed="false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customFormat="false" ht="15" hidden="false" customHeight="false" outlineLevel="0" collapsed="false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customFormat="false" ht="15" hidden="false" customHeight="false" outlineLevel="0" collapsed="false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customFormat="false" ht="15" hidden="false" customHeight="false" outlineLevel="0" collapsed="false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customFormat="false" ht="15" hidden="false" customHeight="false" outlineLevel="0" collapsed="false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customFormat="false" ht="15" hidden="false" customHeight="false" outlineLevel="0" collapsed="false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customFormat="false" ht="15" hidden="false" customHeight="false" outlineLevel="0" collapsed="false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customFormat="false" ht="15" hidden="false" customHeight="false" outlineLevel="0" collapsed="false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customFormat="false" ht="15" hidden="false" customHeight="false" outlineLevel="0" collapsed="false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customFormat="false" ht="15" hidden="false" customHeight="false" outlineLevel="0" collapsed="false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customFormat="false" ht="15" hidden="false" customHeight="false" outlineLevel="0" collapsed="false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customFormat="false" ht="15" hidden="false" customHeight="false" outlineLevel="0" collapsed="false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customFormat="false" ht="15" hidden="false" customHeight="false" outlineLevel="0" collapsed="false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customFormat="false" ht="15" hidden="false" customHeight="false" outlineLevel="0" collapsed="false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customFormat="false" ht="15" hidden="false" customHeight="false" outlineLevel="0" collapsed="false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customFormat="false" ht="15" hidden="false" customHeight="false" outlineLevel="0" collapsed="false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customFormat="false" ht="15" hidden="false" customHeight="false" outlineLevel="0" collapsed="false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customFormat="false" ht="15" hidden="false" customHeight="false" outlineLevel="0" collapsed="false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customFormat="false" ht="15" hidden="false" customHeight="false" outlineLevel="0" collapsed="false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customFormat="false" ht="15" hidden="false" customHeight="false" outlineLevel="0" collapsed="false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customFormat="false" ht="15" hidden="false" customHeight="false" outlineLevel="0" collapsed="false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customFormat="false" ht="15" hidden="false" customHeight="false" outlineLevel="0" collapsed="false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customFormat="false" ht="15" hidden="false" customHeight="false" outlineLevel="0" collapsed="false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customFormat="false" ht="15" hidden="false" customHeight="false" outlineLevel="0" collapsed="false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customFormat="false" ht="15" hidden="false" customHeight="false" outlineLevel="0" collapsed="false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customFormat="false" ht="15" hidden="false" customHeight="false" outlineLevel="0" collapsed="false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customFormat="false" ht="15" hidden="false" customHeight="false" outlineLevel="0" collapsed="false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customFormat="false" ht="15" hidden="false" customHeight="false" outlineLevel="0" collapsed="false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customFormat="false" ht="15" hidden="false" customHeight="false" outlineLevel="0" collapsed="false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customFormat="false" ht="15" hidden="false" customHeight="false" outlineLevel="0" collapsed="false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customFormat="false" ht="15" hidden="false" customHeight="false" outlineLevel="0" collapsed="false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customFormat="false" ht="15" hidden="false" customHeight="false" outlineLevel="0" collapsed="false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customFormat="false" ht="15" hidden="false" customHeight="false" outlineLevel="0" collapsed="false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customFormat="false" ht="15" hidden="false" customHeight="false" outlineLevel="0" collapsed="false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customFormat="false" ht="15" hidden="false" customHeight="false" outlineLevel="0" collapsed="false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customFormat="false" ht="15" hidden="false" customHeight="false" outlineLevel="0" collapsed="false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customFormat="false" ht="15" hidden="false" customHeight="false" outlineLevel="0" collapsed="false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customFormat="false" ht="15" hidden="false" customHeight="false" outlineLevel="0" collapsed="false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customFormat="false" ht="15" hidden="false" customHeight="false" outlineLevel="0" collapsed="false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customFormat="false" ht="15" hidden="false" customHeight="false" outlineLevel="0" collapsed="false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customFormat="false" ht="15" hidden="false" customHeight="false" outlineLevel="0" collapsed="false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customFormat="false" ht="15" hidden="false" customHeight="false" outlineLevel="0" collapsed="false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customFormat="false" ht="15" hidden="false" customHeight="false" outlineLevel="0" collapsed="false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customFormat="false" ht="15" hidden="false" customHeight="false" outlineLevel="0" collapsed="false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customFormat="false" ht="15" hidden="false" customHeight="false" outlineLevel="0" collapsed="false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customFormat="false" ht="15" hidden="false" customHeight="false" outlineLevel="0" collapsed="false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customFormat="false" ht="15" hidden="false" customHeight="false" outlineLevel="0" collapsed="false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customFormat="false" ht="15" hidden="false" customHeight="false" outlineLevel="0" collapsed="false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customFormat="false" ht="15" hidden="false" customHeight="false" outlineLevel="0" collapsed="false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customFormat="false" ht="15" hidden="false" customHeight="false" outlineLevel="0" collapsed="false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customFormat="false" ht="15" hidden="false" customHeight="false" outlineLevel="0" collapsed="false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customFormat="false" ht="15" hidden="false" customHeight="false" outlineLevel="0" collapsed="false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customFormat="false" ht="15" hidden="false" customHeight="false" outlineLevel="0" collapsed="false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customFormat="false" ht="15" hidden="false" customHeight="false" outlineLevel="0" collapsed="false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customFormat="false" ht="15" hidden="false" customHeight="false" outlineLevel="0" collapsed="false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customFormat="false" ht="15" hidden="false" customHeight="false" outlineLevel="0" collapsed="false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customFormat="false" ht="15" hidden="false" customHeight="false" outlineLevel="0" collapsed="false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customFormat="false" ht="15" hidden="false" customHeight="false" outlineLevel="0" collapsed="false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customFormat="false" ht="15" hidden="false" customHeight="false" outlineLevel="0" collapsed="false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customFormat="false" ht="15" hidden="false" customHeight="false" outlineLevel="0" collapsed="false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customFormat="false" ht="15" hidden="false" customHeight="false" outlineLevel="0" collapsed="false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customFormat="false" ht="15" hidden="false" customHeight="false" outlineLevel="0" collapsed="false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customFormat="false" ht="15" hidden="false" customHeight="false" outlineLevel="0" collapsed="false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customFormat="false" ht="15" hidden="false" customHeight="false" outlineLevel="0" collapsed="false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customFormat="false" ht="15" hidden="false" customHeight="false" outlineLevel="0" collapsed="false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customFormat="false" ht="15" hidden="false" customHeight="false" outlineLevel="0" collapsed="false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customFormat="false" ht="15" hidden="false" customHeight="false" outlineLevel="0" collapsed="false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customFormat="false" ht="15" hidden="false" customHeight="false" outlineLevel="0" collapsed="false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customFormat="false" ht="15" hidden="false" customHeight="false" outlineLevel="0" collapsed="false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customFormat="false" ht="15" hidden="false" customHeight="false" outlineLevel="0" collapsed="false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customFormat="false" ht="15" hidden="false" customHeight="false" outlineLevel="0" collapsed="false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customFormat="false" ht="15" hidden="false" customHeight="false" outlineLevel="0" collapsed="false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customFormat="false" ht="15" hidden="false" customHeight="false" outlineLevel="0" collapsed="false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customFormat="false" ht="15" hidden="false" customHeight="false" outlineLevel="0" collapsed="false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customFormat="false" ht="15" hidden="false" customHeight="false" outlineLevel="0" collapsed="false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customFormat="false" ht="15" hidden="false" customHeight="false" outlineLevel="0" collapsed="false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customFormat="false" ht="15" hidden="false" customHeight="false" outlineLevel="0" collapsed="false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customFormat="false" ht="15" hidden="false" customHeight="false" outlineLevel="0" collapsed="false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customFormat="false" ht="15" hidden="false" customHeight="false" outlineLevel="0" collapsed="false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customFormat="false" ht="15" hidden="false" customHeight="false" outlineLevel="0" collapsed="false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customFormat="false" ht="15" hidden="false" customHeight="false" outlineLevel="0" collapsed="false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customFormat="false" ht="15" hidden="false" customHeight="false" outlineLevel="0" collapsed="false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customFormat="false" ht="15" hidden="false" customHeight="false" outlineLevel="0" collapsed="false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customFormat="false" ht="15" hidden="false" customHeight="false" outlineLevel="0" collapsed="false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customFormat="false" ht="15" hidden="false" customHeight="false" outlineLevel="0" collapsed="false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customFormat="false" ht="15" hidden="false" customHeight="false" outlineLevel="0" collapsed="false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customFormat="false" ht="15" hidden="false" customHeight="false" outlineLevel="0" collapsed="false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customFormat="false" ht="15" hidden="false" customHeight="false" outlineLevel="0" collapsed="false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customFormat="false" ht="15" hidden="false" customHeight="false" outlineLevel="0" collapsed="false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customFormat="false" ht="15" hidden="false" customHeight="false" outlineLevel="0" collapsed="false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customFormat="false" ht="15" hidden="false" customHeight="false" outlineLevel="0" collapsed="false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customFormat="false" ht="15" hidden="false" customHeight="false" outlineLevel="0" collapsed="false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customFormat="false" ht="15" hidden="false" customHeight="false" outlineLevel="0" collapsed="false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customFormat="false" ht="15" hidden="false" customHeight="false" outlineLevel="0" collapsed="false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customFormat="false" ht="15" hidden="false" customHeight="false" outlineLevel="0" collapsed="false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customFormat="false" ht="15" hidden="false" customHeight="false" outlineLevel="0" collapsed="false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customFormat="false" ht="15" hidden="false" customHeight="false" outlineLevel="0" collapsed="false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customFormat="false" ht="15" hidden="false" customHeight="false" outlineLevel="0" collapsed="false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customFormat="false" ht="15" hidden="false" customHeight="false" outlineLevel="0" collapsed="false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customFormat="false" ht="15" hidden="false" customHeight="false" outlineLevel="0" collapsed="false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customFormat="false" ht="15" hidden="false" customHeight="false" outlineLevel="0" collapsed="false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customFormat="false" ht="15" hidden="false" customHeight="false" outlineLevel="0" collapsed="false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customFormat="false" ht="15" hidden="false" customHeight="false" outlineLevel="0" collapsed="false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customFormat="false" ht="15" hidden="false" customHeight="false" outlineLevel="0" collapsed="false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customFormat="false" ht="15" hidden="false" customHeight="false" outlineLevel="0" collapsed="false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customFormat="false" ht="15" hidden="false" customHeight="false" outlineLevel="0" collapsed="false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customFormat="false" ht="15" hidden="false" customHeight="false" outlineLevel="0" collapsed="false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customFormat="false" ht="15" hidden="false" customHeight="false" outlineLevel="0" collapsed="false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customFormat="false" ht="15" hidden="false" customHeight="false" outlineLevel="0" collapsed="false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customFormat="false" ht="15" hidden="false" customHeight="false" outlineLevel="0" collapsed="false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customFormat="false" ht="15" hidden="false" customHeight="false" outlineLevel="0" collapsed="false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customFormat="false" ht="15" hidden="false" customHeight="false" outlineLevel="0" collapsed="false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customFormat="false" ht="15" hidden="false" customHeight="false" outlineLevel="0" collapsed="false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customFormat="false" ht="15" hidden="false" customHeight="false" outlineLevel="0" collapsed="false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customFormat="false" ht="15" hidden="false" customHeight="false" outlineLevel="0" collapsed="false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customFormat="false" ht="15" hidden="false" customHeight="false" outlineLevel="0" collapsed="false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customFormat="false" ht="15" hidden="false" customHeight="false" outlineLevel="0" collapsed="false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customFormat="false" ht="15" hidden="false" customHeight="false" outlineLevel="0" collapsed="false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customFormat="false" ht="15" hidden="false" customHeight="false" outlineLevel="0" collapsed="false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customFormat="false" ht="15" hidden="false" customHeight="false" outlineLevel="0" collapsed="false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customFormat="false" ht="15" hidden="false" customHeight="false" outlineLevel="0" collapsed="false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customFormat="false" ht="15" hidden="false" customHeight="false" outlineLevel="0" collapsed="false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customFormat="false" ht="15" hidden="false" customHeight="false" outlineLevel="0" collapsed="false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customFormat="false" ht="15" hidden="false" customHeight="false" outlineLevel="0" collapsed="false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customFormat="false" ht="15" hidden="false" customHeight="false" outlineLevel="0" collapsed="false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customFormat="false" ht="15" hidden="false" customHeight="false" outlineLevel="0" collapsed="false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customFormat="false" ht="15" hidden="false" customHeight="false" outlineLevel="0" collapsed="false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customFormat="false" ht="15" hidden="false" customHeight="false" outlineLevel="0" collapsed="false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customFormat="false" ht="15" hidden="false" customHeight="false" outlineLevel="0" collapsed="false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customFormat="false" ht="15" hidden="false" customHeight="false" outlineLevel="0" collapsed="false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customFormat="false" ht="15" hidden="false" customHeight="false" outlineLevel="0" collapsed="false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customFormat="false" ht="15" hidden="false" customHeight="false" outlineLevel="0" collapsed="false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customFormat="false" ht="15" hidden="false" customHeight="false" outlineLevel="0" collapsed="false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customFormat="false" ht="15" hidden="false" customHeight="false" outlineLevel="0" collapsed="false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customFormat="false" ht="15" hidden="false" customHeight="false" outlineLevel="0" collapsed="false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customFormat="false" ht="15" hidden="false" customHeight="false" outlineLevel="0" collapsed="false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customFormat="false" ht="15" hidden="false" customHeight="false" outlineLevel="0" collapsed="false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customFormat="false" ht="15" hidden="false" customHeight="false" outlineLevel="0" collapsed="false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customFormat="false" ht="15" hidden="false" customHeight="false" outlineLevel="0" collapsed="false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customFormat="false" ht="15" hidden="false" customHeight="false" outlineLevel="0" collapsed="false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customFormat="false" ht="15" hidden="false" customHeight="false" outlineLevel="0" collapsed="false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customFormat="false" ht="15" hidden="false" customHeight="false" outlineLevel="0" collapsed="false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customFormat="false" ht="15" hidden="false" customHeight="false" outlineLevel="0" collapsed="false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customFormat="false" ht="15" hidden="false" customHeight="false" outlineLevel="0" collapsed="false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customFormat="false" ht="15" hidden="false" customHeight="false" outlineLevel="0" collapsed="false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customFormat="false" ht="15" hidden="false" customHeight="false" outlineLevel="0" collapsed="false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customFormat="false" ht="15" hidden="false" customHeight="false" outlineLevel="0" collapsed="false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customFormat="false" ht="15" hidden="false" customHeight="false" outlineLevel="0" collapsed="false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customFormat="false" ht="15" hidden="false" customHeight="false" outlineLevel="0" collapsed="false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customFormat="false" ht="15" hidden="false" customHeight="false" outlineLevel="0" collapsed="false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customFormat="false" ht="15" hidden="false" customHeight="false" outlineLevel="0" collapsed="false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customFormat="false" ht="15" hidden="false" customHeight="false" outlineLevel="0" collapsed="false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customFormat="false" ht="15" hidden="false" customHeight="false" outlineLevel="0" collapsed="false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customFormat="false" ht="15" hidden="false" customHeight="false" outlineLevel="0" collapsed="false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customFormat="false" ht="15" hidden="false" customHeight="false" outlineLevel="0" collapsed="false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customFormat="false" ht="15" hidden="false" customHeight="false" outlineLevel="0" collapsed="false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customFormat="false" ht="15" hidden="false" customHeight="false" outlineLevel="0" collapsed="false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customFormat="false" ht="15" hidden="false" customHeight="false" outlineLevel="0" collapsed="false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customFormat="false" ht="15" hidden="false" customHeight="false" outlineLevel="0" collapsed="false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customFormat="false" ht="15" hidden="false" customHeight="false" outlineLevel="0" collapsed="false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customFormat="false" ht="15" hidden="false" customHeight="false" outlineLevel="0" collapsed="false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customFormat="false" ht="15" hidden="false" customHeight="false" outlineLevel="0" collapsed="false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customFormat="false" ht="15" hidden="false" customHeight="false" outlineLevel="0" collapsed="false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customFormat="false" ht="15" hidden="false" customHeight="false" outlineLevel="0" collapsed="false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customFormat="false" ht="15" hidden="false" customHeight="false" outlineLevel="0" collapsed="false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customFormat="false" ht="15" hidden="false" customHeight="false" outlineLevel="0" collapsed="false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customFormat="false" ht="15" hidden="false" customHeight="false" outlineLevel="0" collapsed="false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customFormat="false" ht="15" hidden="false" customHeight="false" outlineLevel="0" collapsed="false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customFormat="false" ht="15" hidden="false" customHeight="false" outlineLevel="0" collapsed="false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customFormat="false" ht="15" hidden="false" customHeight="false" outlineLevel="0" collapsed="false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customFormat="false" ht="15" hidden="false" customHeight="false" outlineLevel="0" collapsed="false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customFormat="false" ht="15" hidden="false" customHeight="false" outlineLevel="0" collapsed="false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customFormat="false" ht="15" hidden="false" customHeight="false" outlineLevel="0" collapsed="false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customFormat="false" ht="15" hidden="false" customHeight="false" outlineLevel="0" collapsed="false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customFormat="false" ht="15" hidden="false" customHeight="false" outlineLevel="0" collapsed="false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customFormat="false" ht="15" hidden="false" customHeight="false" outlineLevel="0" collapsed="false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customFormat="false" ht="15" hidden="false" customHeight="false" outlineLevel="0" collapsed="false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customFormat="false" ht="15" hidden="false" customHeight="false" outlineLevel="0" collapsed="false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customFormat="false" ht="15" hidden="false" customHeight="false" outlineLevel="0" collapsed="false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customFormat="false" ht="15" hidden="false" customHeight="false" outlineLevel="0" collapsed="false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customFormat="false" ht="15" hidden="false" customHeight="false" outlineLevel="0" collapsed="false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customFormat="false" ht="15" hidden="false" customHeight="false" outlineLevel="0" collapsed="false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customFormat="false" ht="15" hidden="false" customHeight="false" outlineLevel="0" collapsed="false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customFormat="false" ht="15" hidden="false" customHeight="false" outlineLevel="0" collapsed="false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customFormat="false" ht="15" hidden="false" customHeight="false" outlineLevel="0" collapsed="false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customFormat="false" ht="15" hidden="false" customHeight="false" outlineLevel="0" collapsed="false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customFormat="false" ht="15" hidden="false" customHeight="false" outlineLevel="0" collapsed="false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customFormat="false" ht="15" hidden="false" customHeight="false" outlineLevel="0" collapsed="false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customFormat="false" ht="15" hidden="false" customHeight="false" outlineLevel="0" collapsed="false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customFormat="false" ht="15" hidden="false" customHeight="false" outlineLevel="0" collapsed="false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customFormat="false" ht="15" hidden="false" customHeight="false" outlineLevel="0" collapsed="false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customFormat="false" ht="15" hidden="false" customHeight="false" outlineLevel="0" collapsed="false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customFormat="false" ht="15" hidden="false" customHeight="false" outlineLevel="0" collapsed="false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customFormat="false" ht="15" hidden="false" customHeight="false" outlineLevel="0" collapsed="false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customFormat="false" ht="15" hidden="false" customHeight="false" outlineLevel="0" collapsed="false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customFormat="false" ht="15" hidden="false" customHeight="false" outlineLevel="0" collapsed="false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customFormat="false" ht="15" hidden="false" customHeight="false" outlineLevel="0" collapsed="false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customFormat="false" ht="15" hidden="false" customHeight="false" outlineLevel="0" collapsed="false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customFormat="false" ht="15" hidden="false" customHeight="false" outlineLevel="0" collapsed="false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customFormat="false" ht="15" hidden="false" customHeight="false" outlineLevel="0" collapsed="false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customFormat="false" ht="15" hidden="false" customHeight="false" outlineLevel="0" collapsed="false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customFormat="false" ht="15" hidden="false" customHeight="false" outlineLevel="0" collapsed="false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customFormat="false" ht="15" hidden="false" customHeight="false" outlineLevel="0" collapsed="false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customFormat="false" ht="15" hidden="false" customHeight="false" outlineLevel="0" collapsed="false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customFormat="false" ht="15" hidden="false" customHeight="false" outlineLevel="0" collapsed="false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customFormat="false" ht="15" hidden="false" customHeight="false" outlineLevel="0" collapsed="false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customFormat="false" ht="15" hidden="false" customHeight="false" outlineLevel="0" collapsed="false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customFormat="false" ht="15" hidden="false" customHeight="false" outlineLevel="0" collapsed="false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</sheetData>
  <mergeCells count="3">
    <mergeCell ref="A1:F1"/>
    <mergeCell ref="A2:G2"/>
    <mergeCell ref="A15:G15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B3:H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9.3"/>
    <col collapsed="false" customWidth="true" hidden="false" outlineLevel="0" max="2" min="2" style="0" width="19.86"/>
    <col collapsed="false" customWidth="true" hidden="false" outlineLevel="0" max="3" min="3" style="0" width="55.86"/>
    <col collapsed="false" customWidth="true" hidden="false" outlineLevel="0" max="4" min="4" style="0" width="58.43"/>
    <col collapsed="false" customWidth="true" hidden="false" outlineLevel="0" max="5" min="5" style="0" width="27.15"/>
    <col collapsed="false" customWidth="true" hidden="false" outlineLevel="0" max="6" min="6" style="0" width="13"/>
    <col collapsed="false" customWidth="true" hidden="false" outlineLevel="0" max="8" min="8" style="0" width="31.15"/>
    <col collapsed="false" customWidth="true" hidden="false" outlineLevel="0" max="9" min="9" style="0" width="10.86"/>
  </cols>
  <sheetData>
    <row r="3" customFormat="false" ht="15.75" hidden="false" customHeight="true" outlineLevel="0" collapsed="false">
      <c r="B3" s="681" t="s">
        <v>759</v>
      </c>
      <c r="C3" s="681"/>
      <c r="D3" s="681"/>
      <c r="E3" s="718"/>
      <c r="F3" s="718"/>
      <c r="G3" s="718"/>
      <c r="H3" s="718"/>
    </row>
    <row r="4" customFormat="false" ht="144.75" hidden="false" customHeight="true" outlineLevel="0" collapsed="false">
      <c r="B4" s="598"/>
      <c r="C4" s="598"/>
      <c r="D4" s="598"/>
      <c r="E4" s="324"/>
      <c r="F4" s="324"/>
      <c r="G4" s="324"/>
      <c r="H4" s="324"/>
    </row>
    <row r="5" customFormat="false" ht="15.75" hidden="false" customHeight="true" outlineLevel="0" collapsed="false">
      <c r="B5" s="667" t="s">
        <v>760</v>
      </c>
      <c r="C5" s="719" t="s">
        <v>761</v>
      </c>
      <c r="D5" s="719" t="s">
        <v>762</v>
      </c>
      <c r="E5" s="65"/>
      <c r="F5" s="65"/>
      <c r="G5" s="65"/>
      <c r="H5" s="65"/>
    </row>
    <row r="6" customFormat="false" ht="16.4" hidden="false" customHeight="false" outlineLevel="0" collapsed="false">
      <c r="B6" s="667" t="s">
        <v>630</v>
      </c>
      <c r="C6" s="571"/>
      <c r="D6" s="571"/>
    </row>
  </sheetData>
  <mergeCells count="1">
    <mergeCell ref="B3:D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outlinePr summaryBelow="0"/>
    <pageSetUpPr fitToPage="false"/>
  </sheetPr>
  <dimension ref="A1:F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ColWidth="14.4296875" defaultRowHeight="15" customHeight="true" zeroHeight="false" outlineLevelRow="0" outlineLevelCol="0"/>
  <cols>
    <col collapsed="false" customWidth="true" hidden="false" outlineLevel="0" max="1" min="1" style="0" width="12.57"/>
    <col collapsed="false" customWidth="true" hidden="false" outlineLevel="0" max="3" min="2" style="0" width="20.71"/>
    <col collapsed="false" customWidth="true" hidden="false" outlineLevel="0" max="4" min="4" style="0" width="19.15"/>
    <col collapsed="false" customWidth="true" hidden="false" outlineLevel="0" max="6" min="5" style="0" width="20.71"/>
  </cols>
  <sheetData>
    <row r="1" customFormat="false" ht="22.05" hidden="false" customHeight="false" outlineLevel="0" collapsed="false">
      <c r="A1" s="638"/>
      <c r="B1" s="696" t="s">
        <v>763</v>
      </c>
    </row>
    <row r="2" customFormat="false" ht="17.35" hidden="false" customHeight="false" outlineLevel="0" collapsed="false">
      <c r="A2" s="638"/>
      <c r="B2" s="663"/>
    </row>
    <row r="3" customFormat="false" ht="105.75" hidden="false" customHeight="true" outlineLevel="0" collapsed="false">
      <c r="A3" s="644"/>
      <c r="B3" s="678"/>
      <c r="C3" s="64"/>
      <c r="D3" s="64"/>
      <c r="E3" s="64"/>
      <c r="F3" s="64"/>
    </row>
    <row r="4" customFormat="false" ht="16.4" hidden="false" customHeight="false" outlineLevel="0" collapsed="false">
      <c r="A4" s="667" t="s">
        <v>666</v>
      </c>
      <c r="B4" s="668" t="s">
        <v>764</v>
      </c>
      <c r="C4" s="668"/>
      <c r="D4" s="668"/>
      <c r="E4" s="668"/>
      <c r="F4" s="668"/>
    </row>
    <row r="5" customFormat="false" ht="16.4" hidden="false" customHeight="false" outlineLevel="0" collapsed="false">
      <c r="A5" s="667" t="s">
        <v>26</v>
      </c>
      <c r="B5" s="571"/>
      <c r="C5" s="571"/>
      <c r="D5" s="571"/>
      <c r="E5" s="571"/>
      <c r="F5" s="57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LibreOffice/25.8.1.1$Linux_X86_64 LibreOffice_project/580$Build-1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2025-11-29T00:37:52Z</dcterms:modified>
  <cp:revision>1</cp:revision>
  <dc:subject/>
  <dc:title/>
</cp:coreProperties>
</file>