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
    </mc:Choice>
  </mc:AlternateContent>
  <bookViews>
    <workbookView xWindow="0" yWindow="0" windowWidth="21570" windowHeight="6315"/>
  </bookViews>
  <sheets>
    <sheet name="Sheet1" sheetId="1" r:id="rId1"/>
  </sheets>
  <definedNames>
    <definedName name="_xlnm._FilterDatabase" localSheetId="0" hidden="1">Sheet1!$B$1:$B$1472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472" i="1" l="1"/>
  <c r="T1471" i="1"/>
  <c r="T1470" i="1"/>
  <c r="T1469" i="1"/>
  <c r="T1468" i="1"/>
  <c r="T1467" i="1"/>
  <c r="T1466" i="1"/>
  <c r="T1465" i="1"/>
  <c r="T1464" i="1"/>
  <c r="T1463" i="1"/>
  <c r="T1462" i="1"/>
  <c r="T1461" i="1"/>
  <c r="T1460" i="1"/>
  <c r="T1459" i="1"/>
  <c r="T1458" i="1"/>
  <c r="T1457" i="1"/>
  <c r="T1456" i="1"/>
  <c r="T1455" i="1"/>
  <c r="T1454" i="1"/>
  <c r="T1453" i="1"/>
  <c r="T1452" i="1"/>
  <c r="T1451" i="1"/>
  <c r="T1450" i="1"/>
  <c r="T1449" i="1"/>
  <c r="T1448" i="1"/>
  <c r="T1447" i="1"/>
  <c r="T1446" i="1"/>
  <c r="T1445" i="1"/>
  <c r="T1444" i="1"/>
  <c r="T1443" i="1"/>
  <c r="T1442" i="1"/>
  <c r="T1441" i="1"/>
  <c r="T1440" i="1"/>
  <c r="T1439" i="1"/>
  <c r="T1438" i="1"/>
  <c r="T1437" i="1"/>
  <c r="T1436" i="1"/>
  <c r="T1435" i="1"/>
  <c r="T1434" i="1"/>
  <c r="T1433" i="1"/>
  <c r="T1432" i="1"/>
  <c r="T1431" i="1"/>
  <c r="T1430" i="1"/>
  <c r="T1429" i="1"/>
  <c r="T1428" i="1"/>
  <c r="T1427" i="1"/>
  <c r="T1426" i="1"/>
  <c r="T1425" i="1"/>
  <c r="T1424" i="1"/>
  <c r="T1423" i="1"/>
  <c r="T1422" i="1"/>
  <c r="T1421" i="1"/>
  <c r="T1420" i="1"/>
  <c r="T1419" i="1"/>
  <c r="T1418" i="1"/>
  <c r="T1417" i="1"/>
  <c r="T1416" i="1"/>
  <c r="T1415" i="1"/>
  <c r="T1414" i="1"/>
  <c r="T1413" i="1"/>
  <c r="T1412" i="1"/>
  <c r="T1411" i="1"/>
  <c r="T1410" i="1"/>
  <c r="T1409" i="1"/>
  <c r="T1408" i="1"/>
  <c r="T1407" i="1"/>
  <c r="T1406" i="1"/>
  <c r="T1405" i="1"/>
  <c r="T1404" i="1"/>
  <c r="T1403" i="1"/>
  <c r="T1402" i="1"/>
  <c r="T1401" i="1"/>
  <c r="T1400" i="1"/>
  <c r="T1399" i="1"/>
  <c r="T1398" i="1"/>
  <c r="T1397" i="1"/>
  <c r="T1396" i="1"/>
  <c r="T1395" i="1"/>
  <c r="T1394" i="1"/>
  <c r="T1393" i="1"/>
  <c r="T1392" i="1"/>
  <c r="T1391" i="1"/>
  <c r="T1390" i="1"/>
  <c r="T1389" i="1"/>
  <c r="T1388" i="1"/>
  <c r="T1387" i="1"/>
  <c r="T1386" i="1"/>
  <c r="T1385" i="1"/>
  <c r="T1384" i="1"/>
  <c r="T1383" i="1"/>
  <c r="T1382" i="1"/>
  <c r="T1381" i="1"/>
  <c r="T1380" i="1"/>
  <c r="T1379" i="1"/>
  <c r="T1378" i="1"/>
  <c r="T1377" i="1"/>
  <c r="T1376" i="1"/>
  <c r="T1375" i="1"/>
  <c r="T1374" i="1"/>
  <c r="T1373" i="1"/>
  <c r="T1372" i="1"/>
  <c r="T1371" i="1"/>
  <c r="T1370" i="1"/>
  <c r="T1369" i="1"/>
  <c r="T1368" i="1"/>
  <c r="T1367" i="1"/>
  <c r="T1366" i="1"/>
  <c r="T1365" i="1"/>
  <c r="T1364" i="1"/>
  <c r="T1363" i="1"/>
  <c r="T1362" i="1"/>
  <c r="T1361" i="1"/>
  <c r="T1360" i="1"/>
  <c r="T1359" i="1"/>
  <c r="T1358" i="1"/>
  <c r="T1357" i="1"/>
  <c r="T1356" i="1"/>
  <c r="T1355" i="1"/>
  <c r="T1354" i="1"/>
  <c r="T1353" i="1"/>
  <c r="T1352" i="1"/>
  <c r="T1351" i="1"/>
  <c r="T1350" i="1"/>
  <c r="T1349" i="1"/>
  <c r="T1348" i="1"/>
  <c r="T1347" i="1"/>
  <c r="T1346" i="1"/>
  <c r="T1345" i="1"/>
  <c r="T1344" i="1"/>
  <c r="T1343" i="1"/>
  <c r="T1342" i="1"/>
  <c r="T1341" i="1"/>
  <c r="T1340" i="1"/>
  <c r="T1339" i="1"/>
  <c r="T1338" i="1"/>
  <c r="T1337" i="1"/>
  <c r="T1336" i="1"/>
  <c r="T1335" i="1"/>
  <c r="T1334" i="1"/>
  <c r="T1333" i="1"/>
  <c r="T1332" i="1"/>
  <c r="T1331" i="1"/>
  <c r="T1330" i="1"/>
  <c r="T1329" i="1"/>
  <c r="T1328" i="1"/>
  <c r="T1327" i="1"/>
  <c r="T1326" i="1"/>
  <c r="T1325" i="1"/>
  <c r="T1324" i="1"/>
  <c r="T1323" i="1"/>
  <c r="T1322" i="1"/>
  <c r="T1321" i="1"/>
  <c r="T1320" i="1"/>
  <c r="T1319" i="1"/>
  <c r="T1318" i="1"/>
  <c r="T1317" i="1"/>
  <c r="T1316" i="1"/>
  <c r="T1315" i="1"/>
  <c r="T1314" i="1"/>
  <c r="T1313" i="1"/>
  <c r="T1312" i="1"/>
  <c r="T1311" i="1"/>
  <c r="T1310" i="1"/>
  <c r="T1309" i="1"/>
  <c r="T1308" i="1"/>
  <c r="T1307" i="1"/>
  <c r="T1306" i="1"/>
  <c r="T1305" i="1"/>
  <c r="T1304" i="1"/>
  <c r="T1303" i="1"/>
  <c r="T1302" i="1"/>
  <c r="T1301" i="1"/>
  <c r="T1300" i="1"/>
  <c r="T1299" i="1"/>
  <c r="T1298" i="1"/>
  <c r="T1297" i="1"/>
  <c r="T1296" i="1"/>
  <c r="T1295" i="1"/>
  <c r="T1294" i="1"/>
  <c r="T1293" i="1"/>
  <c r="T1292" i="1"/>
  <c r="T1291" i="1"/>
  <c r="T1290" i="1"/>
  <c r="T1289" i="1"/>
  <c r="T1288" i="1"/>
  <c r="T1287" i="1"/>
  <c r="T1286" i="1"/>
  <c r="T1285" i="1"/>
  <c r="T1284" i="1"/>
  <c r="T1283" i="1"/>
  <c r="T1282" i="1"/>
  <c r="T1281" i="1"/>
  <c r="T1280" i="1"/>
  <c r="T1279" i="1"/>
  <c r="T1278" i="1"/>
  <c r="T1277" i="1"/>
  <c r="T1276" i="1"/>
  <c r="T1275" i="1"/>
  <c r="T1274" i="1"/>
  <c r="T1273" i="1"/>
  <c r="T1272" i="1"/>
  <c r="T1271" i="1"/>
  <c r="T1270" i="1"/>
  <c r="T1269" i="1"/>
  <c r="T1268" i="1"/>
  <c r="T1267" i="1"/>
  <c r="T1266" i="1"/>
  <c r="T1265" i="1"/>
  <c r="T1264" i="1"/>
  <c r="T1263" i="1"/>
  <c r="T1262" i="1"/>
  <c r="T1261" i="1"/>
  <c r="T1260" i="1"/>
  <c r="T1259"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075" i="1"/>
  <c r="T1074" i="1"/>
  <c r="T1073" i="1"/>
  <c r="T1072" i="1"/>
  <c r="T1071" i="1"/>
  <c r="T1070" i="1"/>
  <c r="T1069" i="1"/>
  <c r="T1068" i="1"/>
  <c r="T1067" i="1"/>
  <c r="T1066" i="1"/>
  <c r="T1065" i="1"/>
  <c r="T1064" i="1"/>
  <c r="T1063" i="1"/>
  <c r="T1062" i="1"/>
  <c r="T1061" i="1"/>
  <c r="T1060" i="1"/>
  <c r="T1059" i="1"/>
  <c r="T1058" i="1"/>
  <c r="T1057" i="1"/>
  <c r="T1056" i="1"/>
  <c r="T1055" i="1"/>
  <c r="T1054" i="1"/>
  <c r="T1053" i="1"/>
  <c r="T1052" i="1"/>
  <c r="T1051" i="1"/>
  <c r="T1050" i="1"/>
  <c r="T1049" i="1"/>
  <c r="T1048" i="1"/>
  <c r="T1047" i="1"/>
  <c r="T1046" i="1"/>
  <c r="T1045" i="1"/>
  <c r="T1044" i="1"/>
  <c r="T1043" i="1"/>
  <c r="T1042" i="1"/>
  <c r="T1041" i="1"/>
  <c r="T1040" i="1"/>
  <c r="T1039" i="1"/>
  <c r="T1038" i="1"/>
  <c r="T1037" i="1"/>
  <c r="T1036" i="1"/>
  <c r="T1035" i="1"/>
  <c r="T1034" i="1"/>
  <c r="T1033" i="1"/>
  <c r="T1032" i="1"/>
  <c r="T1031" i="1"/>
  <c r="T1030" i="1"/>
  <c r="T1029" i="1"/>
  <c r="T1028" i="1"/>
  <c r="T1027" i="1"/>
  <c r="T1026" i="1"/>
  <c r="T1025" i="1"/>
  <c r="T1024" i="1"/>
  <c r="T1023" i="1"/>
  <c r="T1022" i="1"/>
  <c r="T1021" i="1"/>
  <c r="T1020" i="1"/>
  <c r="T1019" i="1"/>
  <c r="T1018" i="1"/>
  <c r="T1017" i="1"/>
  <c r="T1016" i="1"/>
  <c r="T1015" i="1"/>
  <c r="T1014" i="1"/>
  <c r="T1013" i="1"/>
  <c r="T1012" i="1"/>
  <c r="T1011" i="1"/>
  <c r="T1010" i="1"/>
  <c r="T1009" i="1"/>
  <c r="T1008" i="1"/>
  <c r="T1007" i="1"/>
  <c r="T1006" i="1"/>
  <c r="T1005" i="1"/>
  <c r="T1004" i="1"/>
  <c r="T1003" i="1"/>
  <c r="T100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<sst xmlns="http://schemas.openxmlformats.org/spreadsheetml/2006/main" count="8354" uniqueCount="3956">
  <si>
    <t>ID</t>
  </si>
  <si>
    <t>ObjectType</t>
  </si>
  <si>
    <t>Object Number</t>
  </si>
  <si>
    <t>Description (en)</t>
  </si>
  <si>
    <t>RB_Analysis_Results</t>
  </si>
  <si>
    <t>RB_Testable</t>
  </si>
  <si>
    <t>RB_VerficatiionCriteria</t>
  </si>
  <si>
    <t>Description (alternative language)</t>
  </si>
  <si>
    <t>NF_Category</t>
  </si>
  <si>
    <t>VerificationCriteria</t>
  </si>
  <si>
    <t>Test Level</t>
  </si>
  <si>
    <t>VAR_FUNC_SYS</t>
  </si>
  <si>
    <t>VAR_FUNC_SW</t>
  </si>
  <si>
    <t>Comment</t>
  </si>
  <si>
    <t>Tags</t>
  </si>
  <si>
    <t>ASIL</t>
  </si>
  <si>
    <t>CRQ</t>
  </si>
  <si>
    <t>Maturity</t>
  </si>
  <si>
    <t>ReviewComment</t>
  </si>
  <si>
    <t>Link to Doors requirements</t>
  </si>
  <si>
    <t>BSW_SWS_AR4_0_R2_DIODriver-7090</t>
  </si>
  <si>
    <t>HEADER</t>
  </si>
  <si>
    <t>0-1.0-1.0-1</t>
  </si>
  <si>
    <t>Document Title</t>
  </si>
  <si>
    <t>BSW_SWS_AR4_0_R2_DIODriver-7091</t>
  </si>
  <si>
    <t>0-1.0-1.0-2</t>
  </si>
  <si>
    <t>Specification of DIO Driver</t>
  </si>
  <si>
    <t>BSW_SWS_AR4_0_R2_DIODriver-7093</t>
  </si>
  <si>
    <t>0-1.0-2.0-1</t>
  </si>
  <si>
    <t>Document Owner</t>
  </si>
  <si>
    <t>BSW_SWS_AR4_0_R2_DIODriver-7094</t>
  </si>
  <si>
    <t>0-1.0-2.0-2</t>
  </si>
  <si>
    <t xml:space="preserve">AUTOSAR </t>
  </si>
  <si>
    <t>BSW_SWS_AR4_0_R2_DIODriver-7096</t>
  </si>
  <si>
    <t>0-1.0-3.0-1</t>
  </si>
  <si>
    <t>Document Responsibility</t>
  </si>
  <si>
    <t>BSW_SWS_AR4_0_R2_DIODriver-7097</t>
  </si>
  <si>
    <t>0-1.0-3.0-2</t>
  </si>
  <si>
    <t>BSW_SWS_AR4_0_R2_DIODriver-7099</t>
  </si>
  <si>
    <t>0-1.0-4.0-1</t>
  </si>
  <si>
    <t>Document Identification No</t>
  </si>
  <si>
    <t>BSW_SWS_AR4_0_R2_DIODriver-7100</t>
  </si>
  <si>
    <t>0-1.0-4.0-2</t>
  </si>
  <si>
    <t>BSW_SWS_AR4_0_R2_DIODriver-7102</t>
  </si>
  <si>
    <t>0-1.0-5.0-1</t>
  </si>
  <si>
    <t>Document Classification</t>
  </si>
  <si>
    <t>BSW_SWS_AR4_0_R2_DIODriver-7103</t>
  </si>
  <si>
    <t>0-1.0-5.0-2</t>
  </si>
  <si>
    <t>Standard</t>
  </si>
  <si>
    <t>BSW_SWS_AR4_0_R2_DIODriver-7105</t>
  </si>
  <si>
    <t>0-1.0-6.0-1</t>
  </si>
  <si>
    <t>BSW_SWS_AR4_0_R2_DIODriver-7106</t>
  </si>
  <si>
    <t>0-1.0-6.0-2</t>
  </si>
  <si>
    <t>BSW_SWS_AR4_0_R2_DIODriver-7108</t>
  </si>
  <si>
    <t>0-1.0-7.0-1</t>
  </si>
  <si>
    <t>Document Version</t>
  </si>
  <si>
    <t>BSW_SWS_AR4_0_R2_DIODriver-7109</t>
  </si>
  <si>
    <t>0-1.0-7.0-2</t>
  </si>
  <si>
    <t>2.4.0</t>
  </si>
  <si>
    <t>BSW_SWS_AR4_0_R2_DIODriver-7111</t>
  </si>
  <si>
    <t>0-1.0-8.0-1</t>
  </si>
  <si>
    <t>Document Status</t>
  </si>
  <si>
    <t>BSW_SWS_AR4_0_R2_DIODriver-7112</t>
  </si>
  <si>
    <t>0-1.0-8.0-2</t>
  </si>
  <si>
    <t>Final</t>
  </si>
  <si>
    <t>BSW_SWS_AR4_0_R2_DIODriver-7114</t>
  </si>
  <si>
    <t>0-1.0-9.0-1</t>
  </si>
  <si>
    <t>Part of Release</t>
  </si>
  <si>
    <t>BSW_SWS_AR4_0_R2_DIODriver-7115</t>
  </si>
  <si>
    <t>0-1.0-9.0-2</t>
  </si>
  <si>
    <t>BSW_SWS_AR4_0_R2_DIODriver-7117</t>
  </si>
  <si>
    <t>0-1.0-10.0-1</t>
  </si>
  <si>
    <t>Revision</t>
  </si>
  <si>
    <t>BSW_SWS_AR4_0_R2_DIODriver-7118</t>
  </si>
  <si>
    <t>0-1.0-10.0-2</t>
  </si>
  <si>
    <t>BSW_SWS_AR4_0_R2_DIODriver-9572</t>
  </si>
  <si>
    <t>INFO</t>
  </si>
  <si>
    <t>0-2</t>
  </si>
  <si>
    <t>Dio is defined as AR4.0/AR4.2 "one fits all" component.
The herein specified requirements are therefore covering AR4.0 as well as AR4.2 requirements.</t>
  </si>
  <si>
    <t>BSW_SWS_AR4_0_R2_DIODriver-7121</t>
  </si>
  <si>
    <t>0-3.0-1.0-1</t>
  </si>
  <si>
    <t>Document Change History</t>
  </si>
  <si>
    <t>BSW_SWS_AR4_0_R2_DIODriver-7123</t>
  </si>
  <si>
    <t>0-3.0-2.0-1</t>
  </si>
  <si>
    <t>Date</t>
  </si>
  <si>
    <t>BSW_SWS_AR4_0_R2_DIODriver-7124</t>
  </si>
  <si>
    <t>0-3.0-2.0-2</t>
  </si>
  <si>
    <t>Version</t>
  </si>
  <si>
    <t>BSW_SWS_AR4_0_R2_DIODriver-7125</t>
  </si>
  <si>
    <t>0-3.0-2.0-3</t>
  </si>
  <si>
    <t>Changed by</t>
  </si>
  <si>
    <t>BSW_SWS_AR4_0_R2_DIODriver-7126</t>
  </si>
  <si>
    <t>0-3.0-2.0-4</t>
  </si>
  <si>
    <t>Change Description</t>
  </si>
  <si>
    <t>BSW_SWS_AR4_0_R2_DIODriver-7128</t>
  </si>
  <si>
    <t>0-3.0-3.0-1</t>
  </si>
  <si>
    <t>15.10.2010</t>
  </si>
  <si>
    <t>BSW_SWS_AR4_0_R2_DIODriver-7129</t>
  </si>
  <si>
    <t>0-3.0-3.0-2</t>
  </si>
  <si>
    <t xml:space="preserve">2.4.0
</t>
  </si>
  <si>
    <t>BSW_SWS_AR4_0_R2_DIODriver-7130</t>
  </si>
  <si>
    <t>0-3.0-3.0-3</t>
  </si>
  <si>
    <t>AUTOSAR Administration</t>
  </si>
  <si>
    <t>BSW_SWS_AR4_0_R2_DIODriver-7131</t>
  </si>
  <si>
    <t>0-3.0-3.0-4</t>
  </si>
  <si>
    <t>∙	Added a new API "Dio_LevelType Dio_FlipChannel(Dio_ChannelType ChannelId)" to flip (change from 1 to 0 or from 0 to 1) the level of a channel and return the level of the channel after flip.
∙	Removed requirement DIO174 and rephrased DIO106.
∙	Added requirements DIO188 and DIO189, to report DET error DIO_E_PARAM_POINTER from Dio_GetVersionInfo().</t>
  </si>
  <si>
    <t>BSW_SWS_AR4_0_R2_DIODriver-7133</t>
  </si>
  <si>
    <t>0-3.0-4.0-1</t>
  </si>
  <si>
    <t>03.08.2010</t>
  </si>
  <si>
    <t>BSW_SWS_AR4_0_R2_DIODriver-7134</t>
  </si>
  <si>
    <t>0-3.0-4.0-2</t>
  </si>
  <si>
    <t>2.3.5</t>
  </si>
  <si>
    <t>BSW_SWS_AR4_0_R2_DIODriver-7135</t>
  </si>
  <si>
    <t>0-3.0-4.0-3</t>
  </si>
  <si>
    <t>Prabakaran Chinnasamy
L&amp;T</t>
  </si>
  <si>
    <t>BSW_SWS_AR4_0_R2_DIODriver-7136</t>
  </si>
  <si>
    <t>0-3.0-4.0-4</t>
  </si>
  <si>
    <t>∙	Bug#46075
Added requirements DIO190 to DIO193 and DIO153_Conf</t>
  </si>
  <si>
    <t>BSW_SWS_AR4_0_R2_DIODriver-7138</t>
  </si>
  <si>
    <t>0-3.0-5.0-1</t>
  </si>
  <si>
    <t>10.06.2010</t>
  </si>
  <si>
    <t>BSW_SWS_AR4_0_R2_DIODriver-7139</t>
  </si>
  <si>
    <t>0-3.0-5.0-2</t>
  </si>
  <si>
    <t>2.3.4</t>
  </si>
  <si>
    <t>BSW_SWS_AR4_0_R2_DIODriver-7140</t>
  </si>
  <si>
    <t>0-3.0-5.0-3</t>
  </si>
  <si>
    <t>BSW_SWS_AR4_0_R2_DIODriver-7141</t>
  </si>
  <si>
    <t>0-3.0-5.0-4</t>
  </si>
  <si>
    <t>∙	Bug#40748
Removed requirement DIO174 and rephrased DIO106.</t>
  </si>
  <si>
    <t>BSW_SWS_AR4_0_R2_DIODriver-7143</t>
  </si>
  <si>
    <t>0-3.0-6.0-1</t>
  </si>
  <si>
    <t>09.06.2010</t>
  </si>
  <si>
    <t>BSW_SWS_AR4_0_R2_DIODriver-7144</t>
  </si>
  <si>
    <t>0-3.0-6.0-2</t>
  </si>
  <si>
    <t>2.3.3</t>
  </si>
  <si>
    <t>BSW_SWS_AR4_0_R2_DIODriver-7145</t>
  </si>
  <si>
    <t>0-3.0-6.0-3</t>
  </si>
  <si>
    <t>BSW_SWS_AR4_0_R2_DIODriver-7146</t>
  </si>
  <si>
    <t>0-3.0-6.0-4</t>
  </si>
  <si>
    <t>∙	Bug#45366
Added requirements DIO188 and DIO189</t>
  </si>
  <si>
    <t>BSW_SWS_AR4_0_R2_DIODriver-7148</t>
  </si>
  <si>
    <t>0-3.0-7.0-1</t>
  </si>
  <si>
    <t>13.05.2010</t>
  </si>
  <si>
    <t>BSW_SWS_AR4_0_R2_DIODriver-7149</t>
  </si>
  <si>
    <t>0-3.0-7.0-2</t>
  </si>
  <si>
    <t>2.3.2</t>
  </si>
  <si>
    <t>BSW_SWS_AR4_0_R2_DIODriver-7150</t>
  </si>
  <si>
    <t>0-3.0-7.0-3</t>
  </si>
  <si>
    <t>BSW_SWS_AR4_0_R2_DIODriver-7151</t>
  </si>
  <si>
    <t>0-3.0-7.0-4</t>
  </si>
  <si>
    <t>∙	Bug#44799
Updated DIO140 with 'Dem_ReportErrorStatus' in section 8.6.2</t>
  </si>
  <si>
    <t>BSW_SWS_AR4_0_R2_DIODriver-7153</t>
  </si>
  <si>
    <t>0-3.0-8.0-1</t>
  </si>
  <si>
    <t>14.04.2010</t>
  </si>
  <si>
    <t>BSW_SWS_AR4_0_R2_DIODriver-7154</t>
  </si>
  <si>
    <t>0-3.0-8.0-2</t>
  </si>
  <si>
    <t>2.3.1</t>
  </si>
  <si>
    <t>BSW_SWS_AR4_0_R2_DIODriver-7155</t>
  </si>
  <si>
    <t>0-3.0-8.0-3</t>
  </si>
  <si>
    <t>BSW_SWS_AR4_0_R2_DIODriver-7156</t>
  </si>
  <si>
    <t>0-3.0-8.0-4</t>
  </si>
  <si>
    <t xml:space="preserve">∙	Bug#40748
Replaced the word “verified” with “identical” in DIO106 &amp; DIO174 </t>
  </si>
  <si>
    <t>BSW_SWS_AR4_0_R2_DIODriver-7158</t>
  </si>
  <si>
    <t>0-3.0-9.0-1</t>
  </si>
  <si>
    <t>07.12.2009</t>
  </si>
  <si>
    <t>BSW_SWS_AR4_0_R2_DIODriver-7159</t>
  </si>
  <si>
    <t>0-3.0-9.0-2</t>
  </si>
  <si>
    <t>2.3.0</t>
  </si>
  <si>
    <t>BSW_SWS_AR4_0_R2_DIODriver-7160</t>
  </si>
  <si>
    <t>0-3.0-9.0-3</t>
  </si>
  <si>
    <t>BSW_SWS_AR4_0_R2_DIODriver-7161</t>
  </si>
  <si>
    <t>0-3.0-9.0-4</t>
  </si>
  <si>
    <t>∙	Clarification of DIO014 
∙	DioVersionInfoApi added to DIO071
∙	Clean up of configuration parameters and header file inclusion structure
∙	Legal disclaimer revised</t>
  </si>
  <si>
    <t>BSW_SWS_AR4_0_R2_DIODriver-7163</t>
  </si>
  <si>
    <t>0-3.0-10.0-1</t>
  </si>
  <si>
    <t>20.08.2009</t>
  </si>
  <si>
    <t>BSW_SWS_AR4_0_R2_DIODriver-7164</t>
  </si>
  <si>
    <t>0-3.0-10.0-2</t>
  </si>
  <si>
    <t>2.2.12</t>
  </si>
  <si>
    <t>BSW_SWS_AR4_0_R2_DIODriver-7165</t>
  </si>
  <si>
    <t>0-3.0-10.0-3</t>
  </si>
  <si>
    <t>Hiroshi Nakai</t>
  </si>
  <si>
    <t>BSW_SWS_AR4_0_R2_DIODriver-7166</t>
  </si>
  <si>
    <t>0-3.0-10.0-4</t>
  </si>
  <si>
    <t>∙	Corrected Bugzilla issues:#38817: Deleted DIO082, DIO115, DIO125 from requirements traceability</t>
  </si>
  <si>
    <t>BSW_SWS_AR4_0_R2_DIODriver-7168</t>
  </si>
  <si>
    <t>0-3.0-11.0-1</t>
  </si>
  <si>
    <t>31.07.2009</t>
  </si>
  <si>
    <t>BSW_SWS_AR4_0_R2_DIODriver-7169</t>
  </si>
  <si>
    <t>0-3.0-11.0-2</t>
  </si>
  <si>
    <t>2.2.11</t>
  </si>
  <si>
    <t>BSW_SWS_AR4_0_R2_DIODriver-7170</t>
  </si>
  <si>
    <t>0-3.0-11.0-3</t>
  </si>
  <si>
    <t>BSW_SWS_AR4_0_R2_DIODriver-7171</t>
  </si>
  <si>
    <t>0-3.0-11.0-4</t>
  </si>
  <si>
    <t>∙	Corrected Bugzilla issues:#38409: Added DIO168-DIO187 to split requirements</t>
  </si>
  <si>
    <t>BSW_SWS_AR4_0_R2_DIODriver-7173</t>
  </si>
  <si>
    <t>0-3.0-12.0-1</t>
  </si>
  <si>
    <t>17.07.2009</t>
  </si>
  <si>
    <t>BSW_SWS_AR4_0_R2_DIODriver-7174</t>
  </si>
  <si>
    <t>0-3.0-12.0-2</t>
  </si>
  <si>
    <t>2.2.10</t>
  </si>
  <si>
    <t>BSW_SWS_AR4_0_R2_DIODriver-7175</t>
  </si>
  <si>
    <t>0-3.0-12.0-3</t>
  </si>
  <si>
    <t>BSW_SWS_AR4_0_R2_DIODriver-7176</t>
  </si>
  <si>
    <t>0-3.0-12.0-4</t>
  </si>
  <si>
    <t>∙	Corrected Bugzilla issues:#36677: Replaced DioConfig (added multipleConfigurationContainer attribute)</t>
  </si>
  <si>
    <t>BSW_SWS_AR4_0_R2_DIODriver-7178</t>
  </si>
  <si>
    <t>0-3.0-13.0-1</t>
  </si>
  <si>
    <t>14.07.2009</t>
  </si>
  <si>
    <t>BSW_SWS_AR4_0_R2_DIODriver-7179</t>
  </si>
  <si>
    <t>0-3.0-13.0-2</t>
  </si>
  <si>
    <t>2.2.9</t>
  </si>
  <si>
    <t>BSW_SWS_AR4_0_R2_DIODriver-7180</t>
  </si>
  <si>
    <t>0-3.0-13.0-3</t>
  </si>
  <si>
    <t>BSW_SWS_AR4_0_R2_DIODriver-7181</t>
  </si>
  <si>
    <t>0-3.0-13.0-4</t>
  </si>
  <si>
    <t>∙	Corrected Bugzilla issues:#37762: Changed DIO117 and file structure#30232: Updated chapter 10.1.1 (Revised DIO129 and deleted DIO130)
#36677: Added Dio_ConfigType (DIO164) and Dio_Init (DIO165-DIO167)</t>
  </si>
  <si>
    <t>BSW_SWS_AR4_0_R2_DIODriver-7183</t>
  </si>
  <si>
    <t>0-3.0-14.0-1</t>
  </si>
  <si>
    <t>08.07.2009</t>
  </si>
  <si>
    <t>BSW_SWS_AR4_0_R2_DIODriver-7184</t>
  </si>
  <si>
    <t>0-3.0-14.0-2</t>
  </si>
  <si>
    <t>2.2.8</t>
  </si>
  <si>
    <t>BSW_SWS_AR4_0_R2_DIODriver-7185</t>
  </si>
  <si>
    <t>0-3.0-14.0-3</t>
  </si>
  <si>
    <t>BSW_SWS_AR4_0_R2_DIODriver-7186</t>
  </si>
  <si>
    <t>0-3.0-14.0-4</t>
  </si>
  <si>
    <t>∙	Corrected Bugzilla issues:#36471: Revised the range of DioPortId, DioChannelId, DioPortMask, DioPortOffset#37424: Deleted chapter 10.2(DIO071) and chapter 10.3(DIO049)#37425: Deleted DIO050/DIO055/DIO057/DIO058 and revised DIO060#37426: Revised DIO114 and DIO065</t>
  </si>
  <si>
    <t>BSW_SWS_AR4_0_R2_DIODriver-7188</t>
  </si>
  <si>
    <t>0-3.0-15.0-1</t>
  </si>
  <si>
    <t>02.07.2009</t>
  </si>
  <si>
    <t>BSW_SWS_AR4_0_R2_DIODriver-7189</t>
  </si>
  <si>
    <t>0-3.0-15.0-2</t>
  </si>
  <si>
    <t>2.2.7</t>
  </si>
  <si>
    <t>BSW_SWS_AR4_0_R2_DIODriver-7190</t>
  </si>
  <si>
    <t>0-3.0-15.0-3</t>
  </si>
  <si>
    <t>BSW_SWS_AR4_0_R2_DIODriver-7191</t>
  </si>
  <si>
    <t>0-3.0-15.0-4</t>
  </si>
  <si>
    <t>∙	Corrected Bugzilla issues:#37059: Revised description of Dio_WriteChannel#33339: Revised description of Dio_ReadChannleGroup#37051: Revised description of Dio_LevelType</t>
  </si>
  <si>
    <t>BSW_SWS_AR4_0_R2_DIODriver-7193</t>
  </si>
  <si>
    <t>0-3.0-16.0-1</t>
  </si>
  <si>
    <t>18.06.2009</t>
  </si>
  <si>
    <t>BSW_SWS_AR4_0_R2_DIODriver-7194</t>
  </si>
  <si>
    <t>0-3.0-16.0-2</t>
  </si>
  <si>
    <t>2.2.6</t>
  </si>
  <si>
    <t>BSW_SWS_AR4_0_R2_DIODriver-7195</t>
  </si>
  <si>
    <t>0-3.0-16.0-3</t>
  </si>
  <si>
    <t>BSW_SWS_AR4_0_R2_DIODriver-7196</t>
  </si>
  <si>
    <t>0-3.0-16.0-4</t>
  </si>
  <si>
    <t>∙	Corrected Bugzilla issues:#36585: Added DioConfig container for MultipleConfigurationContainer</t>
  </si>
  <si>
    <t>BSW_SWS_AR4_0_R2_DIODriver-7198</t>
  </si>
  <si>
    <t>0-3.0-17.0-1</t>
  </si>
  <si>
    <t>16.06.2009</t>
  </si>
  <si>
    <t>BSW_SWS_AR4_0_R2_DIODriver-7199</t>
  </si>
  <si>
    <t>0-3.0-17.0-2</t>
  </si>
  <si>
    <t>2.2.5</t>
  </si>
  <si>
    <t>BSW_SWS_AR4_0_R2_DIODriver-7200</t>
  </si>
  <si>
    <t>0-3.0-17.0-3</t>
  </si>
  <si>
    <t>BSW_SWS_AR4_0_R2_DIODriver-7201</t>
  </si>
  <si>
    <t>0-3.0-17.0-4</t>
  </si>
  <si>
    <t>∙	Corrected Bugzilla issues:#36228: Corrected typo</t>
  </si>
  <si>
    <t>BSW_SWS_AR4_0_R2_DIODriver-7203</t>
  </si>
  <si>
    <t>0-3.0-18.0-1</t>
  </si>
  <si>
    <t>03.06.2009</t>
  </si>
  <si>
    <t>BSW_SWS_AR4_0_R2_DIODriver-7204</t>
  </si>
  <si>
    <t>0-3.0-18.0-2</t>
  </si>
  <si>
    <t>2.2.4</t>
  </si>
  <si>
    <t>BSW_SWS_AR4_0_R2_DIODriver-7205</t>
  </si>
  <si>
    <t>0-3.0-18.0-3</t>
  </si>
  <si>
    <t>BSW_SWS_AR4_0_R2_DIODriver-7206</t>
  </si>
  <si>
    <t>0-3.0-18.0-4</t>
  </si>
  <si>
    <t>∙	Corrected Bugzilla issues:#36055: Updated file structure (Figure 2)</t>
  </si>
  <si>
    <t>BSW_SWS_AR4_0_R2_DIODriver-7208</t>
  </si>
  <si>
    <t>0-3.0-19.0-1</t>
  </si>
  <si>
    <t>12.05.2009</t>
  </si>
  <si>
    <t>BSW_SWS_AR4_0_R2_DIODriver-7209</t>
  </si>
  <si>
    <t>0-3.0-19.0-2</t>
  </si>
  <si>
    <t>2.2.3</t>
  </si>
  <si>
    <t>BSW_SWS_AR4_0_R2_DIODriver-7210</t>
  </si>
  <si>
    <t>0-3.0-19.0-3</t>
  </si>
  <si>
    <t>BSW_SWS_AR4_0_R2_DIODriver-7211</t>
  </si>
  <si>
    <t>0-3.0-19.0-4</t>
  </si>
  <si>
    <t>∙	Corrected Bugzilla issues:#33320: Deleted the repeated table from DIO131#33322: Changed DIO014#30219(#33323): Changed DIO106</t>
  </si>
  <si>
    <t>BSW_SWS_AR4_0_R2_DIODriver-7213</t>
  </si>
  <si>
    <t>0-3.0-20.0-1</t>
  </si>
  <si>
    <t>06.03.2009</t>
  </si>
  <si>
    <t>BSW_SWS_AR4_0_R2_DIODriver-7214</t>
  </si>
  <si>
    <t>0-3.0-20.0-2</t>
  </si>
  <si>
    <t>2.2.2</t>
  </si>
  <si>
    <t>BSW_SWS_AR4_0_R2_DIODriver-7215</t>
  </si>
  <si>
    <t>0-3.0-20.0-3</t>
  </si>
  <si>
    <t>BSW_SWS_AR4_0_R2_DIODriver-7216</t>
  </si>
  <si>
    <t>0-3.0-20.0-4</t>
  </si>
  <si>
    <t>∙	Corrected Bugzilla issues:#30226 and #33328 : Changed DIO150
#32425 : Added DIO160 – DIO163#32427 : Changed Section 5.1
#33321 : Incorporated the sequence diagrams (Section 9.1 and 9.2)#33325 : Changed DIO065</t>
  </si>
  <si>
    <t>BSW_SWS_AR4_0_R2_DIODriver-7218</t>
  </si>
  <si>
    <t>0-3.0-21.0-1</t>
  </si>
  <si>
    <t>02.12.2008</t>
  </si>
  <si>
    <t>BSW_SWS_AR4_0_R2_DIODriver-7219</t>
  </si>
  <si>
    <t>0-3.0-21.0-2</t>
  </si>
  <si>
    <t>2.2.1</t>
  </si>
  <si>
    <t>BSW_SWS_AR4_0_R2_DIODriver-7220</t>
  </si>
  <si>
    <t>0-3.0-21.0-3</t>
  </si>
  <si>
    <t>AUTOSAR CM</t>
  </si>
  <si>
    <t>BSW_SWS_AR4_0_R2_DIODriver-7221</t>
  </si>
  <si>
    <t>0-3.0-21.0-4</t>
  </si>
  <si>
    <t>∙	Updated document to new SWS macros and updated links to generated content</t>
  </si>
  <si>
    <t>BSW_SWS_AR4_0_R2_DIODriver-7223</t>
  </si>
  <si>
    <t>0-3.0-22.0-1</t>
  </si>
  <si>
    <t>23.06.2008</t>
  </si>
  <si>
    <t>BSW_SWS_AR4_0_R2_DIODriver-7224</t>
  </si>
  <si>
    <t>0-3.0-22.0-2</t>
  </si>
  <si>
    <t>BSW_SWS_AR4_0_R2_DIODriver-7225</t>
  </si>
  <si>
    <t>0-3.0-22.0-3</t>
  </si>
  <si>
    <t>AUTOSAR 
Administration</t>
  </si>
  <si>
    <t>BSW_SWS_AR4_0_R2_DIODriver-7226</t>
  </si>
  <si>
    <t>0-3.0-22.0-4</t>
  </si>
  <si>
    <t>∙	Legal disclaimer revised</t>
  </si>
  <si>
    <t>BSW_SWS_AR4_0_R2_DIODriver-7228</t>
  </si>
  <si>
    <t>0-3.0-23.0-1</t>
  </si>
  <si>
    <t>25.09.2007</t>
  </si>
  <si>
    <t>BSW_SWS_AR4_0_R2_DIODriver-7229</t>
  </si>
  <si>
    <t>0-3.0-23.0-2</t>
  </si>
  <si>
    <t>2.1.4</t>
  </si>
  <si>
    <t>BSW_SWS_AR4_0_R2_DIODriver-7230</t>
  </si>
  <si>
    <t>0-3.0-23.0-3</t>
  </si>
  <si>
    <t>Steffen Conzelmann</t>
  </si>
  <si>
    <t>BSW_SWS_AR4_0_R2_DIODriver-7231</t>
  </si>
  <si>
    <t>0-3.0-23.0-4</t>
  </si>
  <si>
    <t>∙	Updated traceability matrix according to implementation task #18361
∙	Updated chapter 10 due to changes at the configuration parameters in the meta model rfc #18554</t>
  </si>
  <si>
    <t>BSW_SWS_AR4_0_R2_DIODriver-7233</t>
  </si>
  <si>
    <t>0-3.0-24.0-1</t>
  </si>
  <si>
    <t>18.07.2007</t>
  </si>
  <si>
    <t>BSW_SWS_AR4_0_R2_DIODriver-7234</t>
  </si>
  <si>
    <t>0-3.0-24.0-2</t>
  </si>
  <si>
    <t>2.1.3</t>
  </si>
  <si>
    <t>BSW_SWS_AR4_0_R2_DIODriver-7235</t>
  </si>
  <si>
    <t>0-3.0-24.0-3</t>
  </si>
  <si>
    <t>BSW_SWS_AR4_0_R2_DIODriver-7236</t>
  </si>
  <si>
    <t>0-3.0-24.0-4</t>
  </si>
  <si>
    <t xml:space="preserve">∙	Changes for Issues that have come out of the BSW improvement </t>
  </si>
  <si>
    <t>BSW_SWS_AR4_0_R2_DIODriver-7238</t>
  </si>
  <si>
    <t>0-3.0-25.0-1</t>
  </si>
  <si>
    <t>22.06.2007</t>
  </si>
  <si>
    <t>BSW_SWS_AR4_0_R2_DIODriver-7239</t>
  </si>
  <si>
    <t>0-3.0-25.0-2</t>
  </si>
  <si>
    <t>2.1.2</t>
  </si>
  <si>
    <t>BSW_SWS_AR4_0_R2_DIODriver-7240</t>
  </si>
  <si>
    <t>0-3.0-25.0-3</t>
  </si>
  <si>
    <t>BSW_SWS_AR4_0_R2_DIODriver-7241</t>
  </si>
  <si>
    <t>0-3.0-25.0-4</t>
  </si>
  <si>
    <t>∙	Rfc #16750: Changed description of parameter DioPortOffset and added dependency to parameter DioPortMask
∙	Rfc #17219: Added DEM as option into the include filestructure, also added DEM_ReportErrorStatus in the optional interface section</t>
  </si>
  <si>
    <t>BSW_SWS_AR4_0_R2_DIODriver-7243</t>
  </si>
  <si>
    <t>0-3.0-26.0-1</t>
  </si>
  <si>
    <t>05.06.2007</t>
  </si>
  <si>
    <t>BSW_SWS_AR4_0_R2_DIODriver-7244</t>
  </si>
  <si>
    <t>0-3.0-26.0-2</t>
  </si>
  <si>
    <t>2.1.1</t>
  </si>
  <si>
    <t>BSW_SWS_AR4_0_R2_DIODriver-7245</t>
  </si>
  <si>
    <t>0-3.0-26.0-3</t>
  </si>
  <si>
    <t>AUTOSAR Technical Office</t>
  </si>
  <si>
    <t>BSW_SWS_AR4_0_R2_DIODriver-7246</t>
  </si>
  <si>
    <t>0-3.0-26.0-4</t>
  </si>
  <si>
    <t>Tables generated from UML-models, UML-diagrams linked to UML-model, general improvements of requirements in preparation of CT-development.  No changes in the technical contents of the specification.</t>
  </si>
  <si>
    <t>BSW_SWS_AR4_0_R2_DIODriver-7248</t>
  </si>
  <si>
    <t>0-3.0-27.0-1</t>
  </si>
  <si>
    <t>19.12.2007</t>
  </si>
  <si>
    <t>BSW_SWS_AR4_0_R2_DIODriver-7249</t>
  </si>
  <si>
    <t>0-3.0-27.0-2</t>
  </si>
  <si>
    <r>
      <t>2.2</t>
    </r>
    <r>
      <rPr>
        <b/>
        <sz val="10"/>
        <color theme="1"/>
        <rFont val="Arial"/>
        <family val="2"/>
      </rPr>
      <t>.</t>
    </r>
    <r>
      <rPr>
        <sz val="10"/>
        <color theme="1"/>
        <rFont val="Arial"/>
        <family val="2"/>
      </rPr>
      <t>0</t>
    </r>
  </si>
  <si>
    <t>BSW_SWS_AR4_0_R2_DIODriver-7250</t>
  </si>
  <si>
    <t>0-3.0-27.0-3</t>
  </si>
  <si>
    <t>BSW_SWS_AR4_0_R2_DIODriver-7251</t>
  </si>
  <si>
    <t>0-3.0-27.0-4</t>
  </si>
  <si>
    <t>∙	Harmonized initialization with MCAL modules
∙	Optional inclusion of the DEM header file
∙	Added explanation on dependency between DIO_PORT_MASK and DIO_PORT_OFFSET
∙	Document meta information extended 
∙	Small layout adaptations made</t>
  </si>
  <si>
    <t>BSW_SWS_AR4_0_R2_DIODriver-7253</t>
  </si>
  <si>
    <t>0-3.0-28.0-1</t>
  </si>
  <si>
    <t>24.01.2007</t>
  </si>
  <si>
    <t>BSW_SWS_AR4_0_R2_DIODriver-7254</t>
  </si>
  <si>
    <t>0-3.0-28.0-2</t>
  </si>
  <si>
    <t>2.1.0</t>
  </si>
  <si>
    <t>BSW_SWS_AR4_0_R2_DIODriver-7255</t>
  </si>
  <si>
    <t>0-3.0-28.0-3</t>
  </si>
  <si>
    <t>BSW_SWS_AR4_0_R2_DIODriver-7256</t>
  </si>
  <si>
    <t>0-3.0-28.0-4</t>
  </si>
  <si>
    <t>∙	File structure update
∙	Removed BSW00324
∙	In the configuration where pre-compile and link time is possible the variant for pre-compile is now always "PC" and not "All variants".
∙	Added Chapter 8.6
∙	Changes in referencing symbolic naming
∙	Updated traceability matrix regarding BSW00435 and BSW00436
∙	Legal disclaimer revised
∙	“Advice for users” revised
∙	“Revision Information” added</t>
  </si>
  <si>
    <t>BSW_SWS_AR4_0_R2_DIODriver-7258</t>
  </si>
  <si>
    <t>0-3.0-29.0-1</t>
  </si>
  <si>
    <t>26.01.2006</t>
  </si>
  <si>
    <t>BSW_SWS_AR4_0_R2_DIODriver-7259</t>
  </si>
  <si>
    <t>0-3.0-29.0-2</t>
  </si>
  <si>
    <t>2.0.0</t>
  </si>
  <si>
    <t>BSW_SWS_AR4_0_R2_DIODriver-7260</t>
  </si>
  <si>
    <t>0-3.0-29.0-3</t>
  </si>
  <si>
    <t>BSW_SWS_AR4_0_R2_DIODriver-7261</t>
  </si>
  <si>
    <t>0-3.0-29.0-4</t>
  </si>
  <si>
    <t>∙	Major changes in chapter 10, Configuration specification
∙	Structure of document changed partly
∙	Readback support moved to PORT Driver</t>
  </si>
  <si>
    <t>BSW_SWS_AR4_0_R2_DIODriver-7263</t>
  </si>
  <si>
    <t>0-3.0-30.0-1</t>
  </si>
  <si>
    <t>30.06.2005</t>
  </si>
  <si>
    <t>BSW_SWS_AR4_0_R2_DIODriver-7264</t>
  </si>
  <si>
    <t>0-3.0-30.0-2</t>
  </si>
  <si>
    <t>1.0.0</t>
  </si>
  <si>
    <t>BSW_SWS_AR4_0_R2_DIODriver-7265</t>
  </si>
  <si>
    <t>0-3.0-30.0-3</t>
  </si>
  <si>
    <t>BSW_SWS_AR4_0_R2_DIODriver-7266</t>
  </si>
  <si>
    <t>0-3.0-30.0-4</t>
  </si>
  <si>
    <t>Initial Release</t>
  </si>
  <si>
    <t>BSW_SWS_AR4_0_R2_DIODriver-7278</t>
  </si>
  <si>
    <t xml:space="preserve">	Introduction and functional overview</t>
  </si>
  <si>
    <t>BSW_SWS_AR4_0_R2_DIODriver-7279</t>
  </si>
  <si>
    <t>1.0-1</t>
  </si>
  <si>
    <t>This specification specifies the functionality, API and the configuration of the AUTOSAR Basic Software module DIO Driver.</t>
  </si>
  <si>
    <t>BSW_SWS_AR4_0_R2_DIODriver-7280</t>
  </si>
  <si>
    <t>1.0-2</t>
  </si>
  <si>
    <t xml:space="preserve">This specification is applicable to drivers only for on chip DIO pins and ports. </t>
  </si>
  <si>
    <t>BSW_SWS_AR4_0_R2_DIODriver-7281</t>
  </si>
  <si>
    <t>1.0-3</t>
  </si>
  <si>
    <t xml:space="preserve">The DIO Driver provides services for reading and writing to/from </t>
  </si>
  <si>
    <t>BSW_SWS_AR4_0_R2_DIODriver-7282</t>
  </si>
  <si>
    <t>1.0-4</t>
  </si>
  <si>
    <t>∙	DIO Channels (Pins)</t>
  </si>
  <si>
    <t>BSW_SWS_AR4_0_R2_DIODriver-7283</t>
  </si>
  <si>
    <t>1.0-5</t>
  </si>
  <si>
    <t>∙	DIO Ports</t>
  </si>
  <si>
    <t>BSW_SWS_AR4_0_R2_DIODriver-7284</t>
  </si>
  <si>
    <t>1.0-6</t>
  </si>
  <si>
    <t>∙	DIO Channel Groups</t>
  </si>
  <si>
    <t>BSW_SWS_AR4_0_R2_DIODriver-7285</t>
  </si>
  <si>
    <t>1.0-7</t>
  </si>
  <si>
    <t>The behaviour of those services is synchronous.</t>
  </si>
  <si>
    <t>BSW_SWS_AR4_0_R2_DIODriver-7286</t>
  </si>
  <si>
    <t>1.0-8</t>
  </si>
  <si>
    <t>This module works on pins and ports which are configured by the PORT driver for this purpose. For this reason, there is no configuration and initialization of this port structure in the DIO Driver.</t>
  </si>
  <si>
    <t>BSW_SWS_AR4_0_R2_DIODriver-7287</t>
  </si>
  <si>
    <t>1.0-9</t>
  </si>
  <si>
    <t xml:space="preserve">The diagram below identifies the DIO Driver functions, and the structure of the PORT Driver and DIO Driver within the MCAL software layer. </t>
  </si>
  <si>
    <t>BSW_SWS_AR4_0_R2_DIODriver-7288</t>
  </si>
  <si>
    <t xml:space="preserve">	Acronyms and abbreviations</t>
  </si>
  <si>
    <t>BSW_SWS_AR4_0_R2_DIODriver-7289</t>
  </si>
  <si>
    <t>2.0-1</t>
  </si>
  <si>
    <t>Acronyms and abbreviations that have a local scope are not contained in the AUTOSAR glossary. These must appear in a local glossary.</t>
  </si>
  <si>
    <t>BSW_SWS_AR4_0_R2_DIODriver-7292</t>
  </si>
  <si>
    <t>2.0-2.0-1.0-1</t>
  </si>
  <si>
    <t>Abbreviation / Acronym:</t>
  </si>
  <si>
    <t>BSW_SWS_AR4_0_R2_DIODriver-7293</t>
  </si>
  <si>
    <t>2.0-2.0-1.0-2</t>
  </si>
  <si>
    <t>Description:</t>
  </si>
  <si>
    <t>BSW_SWS_AR4_0_R2_DIODriver-7295</t>
  </si>
  <si>
    <t>2.0-2.0-2.0-1</t>
  </si>
  <si>
    <t>DIO channel:</t>
  </si>
  <si>
    <t>BSW_SWS_AR4_0_R2_DIODriver-7296</t>
  </si>
  <si>
    <t>2.0-2.0-2.0-2</t>
  </si>
  <si>
    <t>Represents a single general-purpose digital input/output pin</t>
  </si>
  <si>
    <t>BSW_SWS_AR4_0_R2_DIODriver-7298</t>
  </si>
  <si>
    <t>2.0-2.0-3.0-1</t>
  </si>
  <si>
    <t>DIO port:</t>
  </si>
  <si>
    <t>BSW_SWS_AR4_0_R2_DIODriver-7299</t>
  </si>
  <si>
    <t>2.0-2.0-3.0-2</t>
  </si>
  <si>
    <t>Represents several DIO channels that are grouped by hardware (typically controlled by one hardware register).
Example: Port A (8 bit) of Freescale HC08</t>
  </si>
  <si>
    <t>BSW_SWS_AR4_0_R2_DIODriver-7301</t>
  </si>
  <si>
    <t>2.0-2.0-4.0-1</t>
  </si>
  <si>
    <t>DIO channel group:</t>
  </si>
  <si>
    <t>BSW_SWS_AR4_0_R2_DIODriver-7302</t>
  </si>
  <si>
    <t>2.0-2.0-4.0-2</t>
  </si>
  <si>
    <t>Represents several adjoining DIO channels represented by a logical group. A DIO channel group shall belong to one DIO port.
Example: Port pins 2..6 of an 8 bit port addressing a multiplexer</t>
  </si>
  <si>
    <t>BSW_SWS_AR4_0_R2_DIODriver-7304</t>
  </si>
  <si>
    <t>2.0-2.0-5.0-1</t>
  </si>
  <si>
    <t>Physical Level (Input):</t>
  </si>
  <si>
    <t>BSW_SWS_AR4_0_R2_DIODriver-7305</t>
  </si>
  <si>
    <t>2.0-2.0-5.0-2</t>
  </si>
  <si>
    <t>Two states possible: LOW/HIGH. A bit value '0' represents a LOW, a bit value '1' represents a HIGH.</t>
  </si>
  <si>
    <t>BSW_SWS_AR4_0_R2_DIODriver-7307</t>
  </si>
  <si>
    <t>2.0-2.0-6.0-1</t>
  </si>
  <si>
    <t>Physical Level (Output):</t>
  </si>
  <si>
    <t>BSW_SWS_AR4_0_R2_DIODriver-7308</t>
  </si>
  <si>
    <t>2.0-2.0-6.0-2</t>
  </si>
  <si>
    <t>BSW_SWS_AR4_0_R2_DIODriver-7310</t>
  </si>
  <si>
    <t>2.0-2.0-7.0-1</t>
  </si>
  <si>
    <t>LSB</t>
  </si>
  <si>
    <t>BSW_SWS_AR4_0_R2_DIODriver-7311</t>
  </si>
  <si>
    <t>2.0-2.0-7.0-2</t>
  </si>
  <si>
    <t>Least Significant Bit</t>
  </si>
  <si>
    <t>BSW_SWS_AR4_0_R2_DIODriver-7313</t>
  </si>
  <si>
    <t>2.0-2.0-8.0-1</t>
  </si>
  <si>
    <t>MSB</t>
  </si>
  <si>
    <t>BSW_SWS_AR4_0_R2_DIODriver-7314</t>
  </si>
  <si>
    <t>2.0-2.0-8.0-2</t>
  </si>
  <si>
    <t>Most Significant Bit</t>
  </si>
  <si>
    <t>BSW_SWS_AR4_0_R2_DIODriver-7316</t>
  </si>
  <si>
    <t>2.0-2.0-9.0-1</t>
  </si>
  <si>
    <t>DIO</t>
  </si>
  <si>
    <t>BSW_SWS_AR4_0_R2_DIODriver-7317</t>
  </si>
  <si>
    <t>2.0-2.0-9.0-2</t>
  </si>
  <si>
    <t>Digital Input Output</t>
  </si>
  <si>
    <t>BSW_SWS_AR4_0_R2_DIODriver-7319</t>
  </si>
  <si>
    <t>2.0-2.0-10.0-1</t>
  </si>
  <si>
    <t>BSW_SWS_AR4_0_R2_DIODriver-7320</t>
  </si>
  <si>
    <t>2.0-2.0-10.0-2</t>
  </si>
  <si>
    <t>Identifier</t>
  </si>
  <si>
    <t>BSW_SWS_AR4_0_R2_DIODriver-7322</t>
  </si>
  <si>
    <t>2.0-2.0-11.0-1</t>
  </si>
  <si>
    <t>ADC</t>
  </si>
  <si>
    <t>BSW_SWS_AR4_0_R2_DIODriver-7323</t>
  </si>
  <si>
    <t>2.0-2.0-11.0-2</t>
  </si>
  <si>
    <t>Analog to Digital Converter</t>
  </si>
  <si>
    <t>BSW_SWS_AR4_0_R2_DIODriver-7325</t>
  </si>
  <si>
    <t>2.0-2.0-12.0-1</t>
  </si>
  <si>
    <t>SPI</t>
  </si>
  <si>
    <t>BSW_SWS_AR4_0_R2_DIODriver-7326</t>
  </si>
  <si>
    <t>2.0-2.0-12.0-2</t>
  </si>
  <si>
    <t>Serial Peripheral Interface</t>
  </si>
  <si>
    <t>BSW_SWS_AR4_0_R2_DIODriver-7328</t>
  </si>
  <si>
    <t>2.0-2.0-13.0-1</t>
  </si>
  <si>
    <t>PWM</t>
  </si>
  <si>
    <t>BSW_SWS_AR4_0_R2_DIODriver-7329</t>
  </si>
  <si>
    <t>2.0-2.0-13.0-2</t>
  </si>
  <si>
    <t>Pulse Width Modulation</t>
  </si>
  <si>
    <t>BSW_SWS_AR4_0_R2_DIODriver-7331</t>
  </si>
  <si>
    <t>2.0-2.0-14.0-1</t>
  </si>
  <si>
    <t>ICU</t>
  </si>
  <si>
    <t>BSW_SWS_AR4_0_R2_DIODriver-7332</t>
  </si>
  <si>
    <t>2.0-2.0-14.0-2</t>
  </si>
  <si>
    <t>Input Capture Unit</t>
  </si>
  <si>
    <t>BSW_SWS_AR4_0_R2_DIODriver-7334</t>
  </si>
  <si>
    <t>2.0-2.0-15.0-1</t>
  </si>
  <si>
    <t>DET</t>
  </si>
  <si>
    <t>BSW_SWS_AR4_0_R2_DIODriver-7335</t>
  </si>
  <si>
    <t>2.0-2.0-15.0-2</t>
  </si>
  <si>
    <t>Development Error Tracer</t>
  </si>
  <si>
    <t>BSW_SWS_AR4_0_R2_DIODriver-7337</t>
  </si>
  <si>
    <t>2.0-2.0-16.0-1</t>
  </si>
  <si>
    <t>DEM</t>
  </si>
  <si>
    <t>BSW_SWS_AR4_0_R2_DIODriver-7338</t>
  </si>
  <si>
    <t>2.0-2.0-16.0-2</t>
  </si>
  <si>
    <t>Diagnostic Event Manager</t>
  </si>
  <si>
    <t>BSW_SWS_AR4_0_R2_DIODriver-7339</t>
  </si>
  <si>
    <t xml:space="preserve">	Related documentation</t>
  </si>
  <si>
    <t>BSW_SWS_AR4_0_R2_DIODriver-7340</t>
  </si>
  <si>
    <t xml:space="preserve">	Deliverables of AUTOSAR </t>
  </si>
  <si>
    <t>BSW_SWS_AR4_0_R2_DIODriver-7341</t>
  </si>
  <si>
    <t>3.1.0-1</t>
  </si>
  <si>
    <t>[1]	Layered Software Architecture
AUTOSAR_EXP_LayeredSoftwareArchitecture.pdf</t>
  </si>
  <si>
    <t>BSW_SWS_AR4_0_R2_DIODriver-7342</t>
  </si>
  <si>
    <t>3.1.0-2</t>
  </si>
  <si>
    <t>[2]	List of Basic Software Modules
AUTOSAR_TR_BSWModuleList.pdf</t>
  </si>
  <si>
    <t>BSW_SWS_AR4_0_R2_DIODriver-7343</t>
  </si>
  <si>
    <t>3.1.0-3</t>
  </si>
  <si>
    <t>[3]	General Requirements on SPAL</t>
  </si>
  <si>
    <t>BSW_SWS_AR4_0_R2_DIODriver-7344</t>
  </si>
  <si>
    <t>3.1.0-4</t>
  </si>
  <si>
    <t>AUTOSAR_SRS_SPALGeneral.pdf</t>
  </si>
  <si>
    <t>BSW_SWS_AR4_0_R2_DIODriver-7345</t>
  </si>
  <si>
    <t>3.1.0-5</t>
  </si>
  <si>
    <t>[4]	General Requirements on Basic Software Modules</t>
  </si>
  <si>
    <t>BSW_SWS_AR4_0_R2_DIODriver-7346</t>
  </si>
  <si>
    <t>3.1.0-6</t>
  </si>
  <si>
    <t>AUTOSAR_SRS_BSWGeneral.pdf</t>
  </si>
  <si>
    <t>BSW_SWS_AR4_0_R2_DIODriver-7347</t>
  </si>
  <si>
    <t>3.1.0-7</t>
  </si>
  <si>
    <t>[5]	Specification of ECU Configuration</t>
  </si>
  <si>
    <t>BSW_SWS_AR4_0_R2_DIODriver-7348</t>
  </si>
  <si>
    <t>3.1.0-8</t>
  </si>
  <si>
    <t>AUTOSAR_TPS_ECUConfiguration.pdf</t>
  </si>
  <si>
    <t>BSW_SWS_AR4_0_R2_DIODriver-7349</t>
  </si>
  <si>
    <t>3.1.0-9</t>
  </si>
  <si>
    <t>[5]	Specification of PORT Driver, 
AUTOSAR_SWS_PortDriver.pdf</t>
  </si>
  <si>
    <t>BSW_SWS_AR4_0_R2_DIODriver-7350</t>
  </si>
  <si>
    <t>3.1.0-10</t>
  </si>
  <si>
    <t>[6]	Specification of Standard Types, 
AUTOSAR_SWS_StandardTypes.pdf</t>
  </si>
  <si>
    <t>BSW_SWS_AR4_0_R2_DIODriver-7351</t>
  </si>
  <si>
    <t>3.1.0-11</t>
  </si>
  <si>
    <t>[6]	AUTOSAR Basic Software Module Description Template,</t>
  </si>
  <si>
    <t>BSW_SWS_AR4_0_R2_DIODriver-7352</t>
  </si>
  <si>
    <t>3.1.0-12</t>
  </si>
  <si>
    <t>AUTOSAR_TPS_BSWModuleDescriptionTemplate.pdf</t>
  </si>
  <si>
    <t>BSW_SWS_AR4_0_R2_DIODriver-7353</t>
  </si>
  <si>
    <t xml:space="preserve">	Related standards and norms</t>
  </si>
  <si>
    <t>BSW_SWS_AR4_0_R2_DIODriver-7354</t>
  </si>
  <si>
    <t>3.2.0-1</t>
  </si>
  <si>
    <t>[7]	Specification I/O Drivers,
http://www.automotive-his.de/download/
API_IODriver_2_1_3.pdf</t>
  </si>
  <si>
    <t>BSW_SWS_AR4_0_R2_DIODriver-7355</t>
  </si>
  <si>
    <t xml:space="preserve">	Constraints and assumptions</t>
  </si>
  <si>
    <t>BSW_SWS_AR4_0_R2_DIODriver-7356</t>
  </si>
  <si>
    <t xml:space="preserve">	Limitations</t>
  </si>
  <si>
    <t>BSW_SWS_AR4_0_R2_DIODriver-7357</t>
  </si>
  <si>
    <t>4.1.0-1</t>
  </si>
  <si>
    <t>No limitations</t>
  </si>
  <si>
    <t>BSW_SWS_AR4_0_R2_DIODriver-7358</t>
  </si>
  <si>
    <t xml:space="preserve">	Applicability to car domains</t>
  </si>
  <si>
    <t>BSW_SWS_AR4_0_R2_DIODriver-7359</t>
  </si>
  <si>
    <t>4.2.0-1</t>
  </si>
  <si>
    <t>No restrictions.</t>
  </si>
  <si>
    <t>BSW_SWS_AR4_0_R2_DIODriver-7360</t>
  </si>
  <si>
    <t xml:space="preserve">	Dependencies to other modules</t>
  </si>
  <si>
    <t>BSW_SWS_AR4_0_R2_DIODriver-7361</t>
  </si>
  <si>
    <t>5.0-1</t>
  </si>
  <si>
    <t>Port Driver Module</t>
  </si>
  <si>
    <t>BSW_SWS_AR4_0_R2_DIODriver-7362</t>
  </si>
  <si>
    <t>5.0-2</t>
  </si>
  <si>
    <t>Many ports and port pins are assigned by the PORT Driver Module to various functionalities as for example:</t>
  </si>
  <si>
    <t>BSW_SWS_AR4_0_R2_DIODriver-7363</t>
  </si>
  <si>
    <t>5.0-3</t>
  </si>
  <si>
    <t>∙	General purpose I/O</t>
  </si>
  <si>
    <t>BSW_SWS_AR4_0_R2_DIODriver-7364</t>
  </si>
  <si>
    <t>5.0-4</t>
  </si>
  <si>
    <t>∙	ADC</t>
  </si>
  <si>
    <t>BSW_SWS_AR4_0_R2_DIODriver-7365</t>
  </si>
  <si>
    <t>5.0-5</t>
  </si>
  <si>
    <t>∙	SPI</t>
  </si>
  <si>
    <t>BSW_SWS_AR4_0_R2_DIODriver-7366</t>
  </si>
  <si>
    <t>5.0-6</t>
  </si>
  <si>
    <t>∙	PWM</t>
  </si>
  <si>
    <t>BSW_SWS_AR4_0_R2_DIODriver-7367</t>
  </si>
  <si>
    <t>NON_FUNC_REQ</t>
  </si>
  <si>
    <t>5.0-7</t>
  </si>
  <si>
    <t xml:space="preserve">DIO061: The Dio module shall not provide APIs for overall configuration and initialization of the port structure which is used in the Dio module. These actions are done by the PORT Driver Module. </t>
  </si>
  <si>
    <t>Legacy: Covered by review</t>
  </si>
  <si>
    <t>URT</t>
  </si>
  <si>
    <t>QM</t>
  </si>
  <si>
    <t>CSCRM00354848</t>
  </si>
  <si>
    <t>READY FOR IMPLEMENTATION</t>
  </si>
  <si>
    <t>TESTRESULT : dio_review_sws_rqone01121740 / 9.30.0; 0</t>
  </si>
  <si>
    <t>BSW_SWS_AR4_0_R2_DIODriver-7368</t>
  </si>
  <si>
    <t>5.0-8</t>
  </si>
  <si>
    <t>DIO063: The Dio module shall adapt its configuration and usage to the microcontroller and ECU.</t>
  </si>
  <si>
    <t>BSW_SWS_AR4_0_R2_DIODriver-7369</t>
  </si>
  <si>
    <t>5.0-9</t>
  </si>
  <si>
    <t>DIO102: The Dio module's user shall only use the Dio functions after the Port Driver has been initialized. Otherwise the Dio module will exhibit undefined behavior.</t>
  </si>
  <si>
    <t>BSW_SWS_AR4_0_R2_DIODriver-7370</t>
  </si>
  <si>
    <t xml:space="preserve">	File structure</t>
  </si>
  <si>
    <t>BSW_SWS_AR4_0_R2_DIODriver-7371</t>
  </si>
  <si>
    <t>5.1.0-1</t>
  </si>
  <si>
    <t>DIO117: The Dio module shall comply with the following file structure</t>
  </si>
  <si>
    <t>BSW_SWS_AR4_0_R2_DIODriver-7372</t>
  </si>
  <si>
    <t>5.1.0-2</t>
  </si>
  <si>
    <t>BSW_SWS_AR4_0_R2_DIODriver-7373</t>
  </si>
  <si>
    <t>5.1.0-3</t>
  </si>
  <si>
    <t>Figure 2: Include File Structure</t>
  </si>
  <si>
    <t>BSW_SWS_AR4_0_R2_DIODriver-7374</t>
  </si>
  <si>
    <t>5.1.0-4</t>
  </si>
  <si>
    <t>DIO168: Dio.h shall include Dio _Cfg.h for the API pre-compiler switches</t>
  </si>
  <si>
    <t>BSW_SWS_AR4_0_R2_DIODriver-7375</t>
  </si>
  <si>
    <t>5.1.0-5</t>
  </si>
  <si>
    <t>DIO169: Dio.c has access to the Dio_Cfg.h via the implicitly include through the Dio.h file.</t>
  </si>
  <si>
    <t>BSW_SWS_AR4_0_R2_DIODriver-7376</t>
  </si>
  <si>
    <t>5.1.0-6</t>
  </si>
  <si>
    <t>DIO170: Dio.h shall include Std_Types.h.</t>
  </si>
  <si>
    <t>BSW_SWS_AR4_0_R2_DIODriver-7377</t>
  </si>
  <si>
    <t>5.1.0-7</t>
  </si>
  <si>
    <t>DIO171: Dio.c shall include MemMap.h, SchM_Dio.h and Dem.h.</t>
  </si>
  <si>
    <t>CSCRM00380494</t>
  </si>
  <si>
    <t>BSW_SWS_AR4_0_R2_DIODriver-7378</t>
  </si>
  <si>
    <t>5.1.0-8</t>
  </si>
  <si>
    <t>DIO172: The module shall optionally include the Dem.h file if any production error</t>
  </si>
  <si>
    <t>BSW_SWS_AR4_0_R2_DIODriver-7379</t>
  </si>
  <si>
    <t>5.1.0-9</t>
  </si>
  <si>
    <t>will be issued by the implementation. By this inclusion the APIs to report</t>
  </si>
  <si>
    <t>BSW_SWS_AR4_0_R2_DIODriver-7380</t>
  </si>
  <si>
    <t>5.1.0-10</t>
  </si>
  <si>
    <t>errors as well as the required Event Id symbols are included.</t>
  </si>
  <si>
    <t>BSW_SWS_AR4_0_R2_DIODriver-7381</t>
  </si>
  <si>
    <t>5.1.0-11</t>
  </si>
  <si>
    <r>
      <t>Note:</t>
    </r>
    <r>
      <rPr>
        <sz val="10"/>
        <color theme="1"/>
        <rFont val="Arial"/>
        <family val="2"/>
      </rPr>
      <t xml:space="preserve"> This specification defines the name of the Event Id symbols, which are provided by XML to the DEM configuration tool.</t>
    </r>
  </si>
  <si>
    <t>BSW_SWS_AR4_0_R2_DIODriver-7382</t>
  </si>
  <si>
    <t>5.1.0-12</t>
  </si>
  <si>
    <t>DIO173: The DEM configuration tool assigns ECU dependent values to the Event Id symbols and publishes the symbols in Dem_IntErrId.h.</t>
  </si>
  <si>
    <t>BSW_SWS_AR4_0_R2_DIODriver-7383</t>
  </si>
  <si>
    <t xml:space="preserve">	Requirements traceability</t>
  </si>
  <si>
    <t>BSW_SWS_AR4_0_R2_DIODriver-7384</t>
  </si>
  <si>
    <t>6.0-1</t>
  </si>
  <si>
    <t>This chapter refers to input requirements specified in the SRS documents (Software Requirements Specifications) that are applicable for this software module.</t>
  </si>
  <si>
    <t>BSW_SWS_AR4_0_R2_DIODriver-7385</t>
  </si>
  <si>
    <t>6.0-2</t>
  </si>
  <si>
    <t>The table below lists links to specification items of the DIO driver SWS document, that satisfy the input requirements. Only functional requirements are referenced.</t>
  </si>
  <si>
    <t>BSW_SWS_AR4_0_R2_DIODriver-7386</t>
  </si>
  <si>
    <t>6.0-3</t>
  </si>
  <si>
    <r>
      <t xml:space="preserve">Document: AUTOSAR General Requirements on Basic Software Modules </t>
    </r>
    <r>
      <rPr>
        <u/>
        <sz val="10"/>
        <color theme="1"/>
        <rFont val="Arial"/>
        <family val="2"/>
      </rPr>
      <t>[4]</t>
    </r>
  </si>
  <si>
    <t>BSW_SWS_AR4_0_R2_DIODriver-7389</t>
  </si>
  <si>
    <t>6.0-4.0-1.0-1</t>
  </si>
  <si>
    <t>Requirement</t>
  </si>
  <si>
    <t>BSW_SWS_AR4_0_R2_DIODriver-7390</t>
  </si>
  <si>
    <t>6.0-4.0-1.0-2</t>
  </si>
  <si>
    <t>Satisfied by</t>
  </si>
  <si>
    <t>BSW_SWS_AR4_0_R2_DIODriver-7392</t>
  </si>
  <si>
    <t>6.0-4.0-2.0-1</t>
  </si>
  <si>
    <t xml:space="preserve">[BSW003] Version identification </t>
  </si>
  <si>
    <t>BSW_SWS_AR4_0_R2_DIODriver-7393</t>
  </si>
  <si>
    <t>6.0-4.0-2.0-2</t>
  </si>
  <si>
    <t>See chapter 10.2</t>
  </si>
  <si>
    <t>BSW_SWS_AR4_0_R2_DIODriver-7395</t>
  </si>
  <si>
    <t>6.0-4.0-3.0-1</t>
  </si>
  <si>
    <t>[BSW004] Version check</t>
  </si>
  <si>
    <t>BSW_SWS_AR4_0_R2_DIODriver-7396</t>
  </si>
  <si>
    <t>6.0-4.0-3.0-2</t>
  </si>
  <si>
    <t>DIO174</t>
  </si>
  <si>
    <t>BSW_SWS_AR4_0_R2_DIODriver-7398</t>
  </si>
  <si>
    <t>6.0-4.0-4.0-1</t>
  </si>
  <si>
    <t xml:space="preserve">[BSW005] No hard coded horizontal interfaces within MCAL </t>
  </si>
  <si>
    <t>BSW_SWS_AR4_0_R2_DIODriver-7399</t>
  </si>
  <si>
    <t>6.0-4.0-4.0-2</t>
  </si>
  <si>
    <t>Not applicable
(DIO does not use any other driver)</t>
  </si>
  <si>
    <t>BSW_SWS_AR4_0_R2_DIODriver-7401</t>
  </si>
  <si>
    <t>6.0-4.0-5.0-1</t>
  </si>
  <si>
    <t xml:space="preserve">[BSW006] Platform independency </t>
  </si>
  <si>
    <t>BSW_SWS_AR4_0_R2_DIODriver-7402</t>
  </si>
  <si>
    <t>6.0-4.0-5.0-2</t>
  </si>
  <si>
    <t>Not applicable
(it is a non functional requirement)</t>
  </si>
  <si>
    <t>BSW_SWS_AR4_0_R2_DIODriver-7404</t>
  </si>
  <si>
    <t>6.0-4.0-6.0-1</t>
  </si>
  <si>
    <t xml:space="preserve">[BSW007] HIS MISRA C </t>
  </si>
  <si>
    <t>BSW_SWS_AR4_0_R2_DIODriver-7405</t>
  </si>
  <si>
    <t>6.0-4.0-6.0-2</t>
  </si>
  <si>
    <t>BSW_SWS_AR4_0_R2_DIODriver-7407</t>
  </si>
  <si>
    <t>6.0-4.0-7.0-1</t>
  </si>
  <si>
    <t xml:space="preserve">[BSW009] Module User Documentation </t>
  </si>
  <si>
    <t>BSW_SWS_AR4_0_R2_DIODriver-7408</t>
  </si>
  <si>
    <t>6.0-4.0-7.0-2</t>
  </si>
  <si>
    <t>BSW_SWS_AR4_0_R2_DIODriver-7410</t>
  </si>
  <si>
    <t>6.0-4.0-8.0-1</t>
  </si>
  <si>
    <t xml:space="preserve">[BSW010] Memory resource documentation </t>
  </si>
  <si>
    <t>BSW_SWS_AR4_0_R2_DIODriver-7411</t>
  </si>
  <si>
    <t>6.0-4.0-8.0-2</t>
  </si>
  <si>
    <t>BSW_SWS_AR4_0_R2_DIODriver-7413</t>
  </si>
  <si>
    <t>6.0-4.0-9.0-1</t>
  </si>
  <si>
    <t>[BSW101] Initialization interface</t>
  </si>
  <si>
    <t>BSW_SWS_AR4_0_R2_DIODriver-7414</t>
  </si>
  <si>
    <t>6.0-4.0-9.0-2</t>
  </si>
  <si>
    <t>DIO001, DIO002, DIO165</t>
  </si>
  <si>
    <t>BSW_SWS_AR4_0_R2_DIODriver-7416</t>
  </si>
  <si>
    <t>6.0-4.0-10.0-1</t>
  </si>
  <si>
    <t xml:space="preserve">[BSW158] Separation of configuration from implementation </t>
  </si>
  <si>
    <t>BSW_SWS_AR4_0_R2_DIODriver-7417</t>
  </si>
  <si>
    <t>6.0-4.0-10.0-2</t>
  </si>
  <si>
    <r>
      <t xml:space="preserve">See Figure 2; </t>
    </r>
    <r>
      <rPr>
        <b/>
        <sz val="10"/>
        <color theme="1"/>
        <rFont val="Arial"/>
        <family val="2"/>
      </rPr>
      <t>DIO117</t>
    </r>
  </si>
  <si>
    <t>BSW_SWS_AR4_0_R2_DIODriver-7419</t>
  </si>
  <si>
    <t>6.0-4.0-11.0-1</t>
  </si>
  <si>
    <t>[BSW159] Tool-based configuration</t>
  </si>
  <si>
    <t>BSW_SWS_AR4_0_R2_DIODriver-7420</t>
  </si>
  <si>
    <t>6.0-4.0-11.0-2</t>
  </si>
  <si>
    <t>See Figure 2</t>
  </si>
  <si>
    <t>BSW_SWS_AR4_0_R2_DIODriver-7422</t>
  </si>
  <si>
    <t>6.0-4.0-12.0-1</t>
  </si>
  <si>
    <t xml:space="preserve">[BSW160] Human-readable configuration data </t>
  </si>
  <si>
    <t>BSW_SWS_AR4_0_R2_DIODriver-7423</t>
  </si>
  <si>
    <t>6.0-4.0-12.0-2</t>
  </si>
  <si>
    <t>Not applicable
(it only applies to the configuration)</t>
  </si>
  <si>
    <t>BSW_SWS_AR4_0_R2_DIODriver-7425</t>
  </si>
  <si>
    <t>6.0-4.0-13.0-1</t>
  </si>
  <si>
    <t xml:space="preserve">[BSW161] Microcontroller abstraction </t>
  </si>
  <si>
    <t>BSW_SWS_AR4_0_R2_DIODriver-7426</t>
  </si>
  <si>
    <t>6.0-4.0-13.0-2</t>
  </si>
  <si>
    <t>Not applicable
(architectural AUTOSAR concept is the basis for this driver)</t>
  </si>
  <si>
    <t>BSW_SWS_AR4_0_R2_DIODriver-7428</t>
  </si>
  <si>
    <t>6.0-4.0-14.0-1</t>
  </si>
  <si>
    <t xml:space="preserve">[BSW162] ECU layout abstraction </t>
  </si>
  <si>
    <t>BSW_SWS_AR4_0_R2_DIODriver-7429</t>
  </si>
  <si>
    <t>6.0-4.0-14.0-2</t>
  </si>
  <si>
    <t>Not applicable 
(architectural AUTOSAR concept is the basis for this driver)</t>
  </si>
  <si>
    <t>BSW_SWS_AR4_0_R2_DIODriver-7431</t>
  </si>
  <si>
    <t>6.0-4.0-15.0-1</t>
  </si>
  <si>
    <t xml:space="preserve">[BSW164] Implementation of interrupt service routines </t>
  </si>
  <si>
    <t>BSW_SWS_AR4_0_R2_DIODriver-7432</t>
  </si>
  <si>
    <t>6.0-4.0-15.0-2</t>
  </si>
  <si>
    <t>Not applicable
(DIO does not provide interrupt functionality)</t>
  </si>
  <si>
    <t>BSW_SWS_AR4_0_R2_DIODriver-7434</t>
  </si>
  <si>
    <t>6.0-4.0-16.0-1</t>
  </si>
  <si>
    <t>[BSW167] Static configuration checking</t>
  </si>
  <si>
    <t>BSW_SWS_AR4_0_R2_DIODriver-7435</t>
  </si>
  <si>
    <t>6.0-4.0-16.0-2</t>
  </si>
  <si>
    <t>Not applicable
(requirement on configuration tool)</t>
  </si>
  <si>
    <t>BSW_SWS_AR4_0_R2_DIODriver-7437</t>
  </si>
  <si>
    <t>6.0-4.0-17.0-1</t>
  </si>
  <si>
    <t xml:space="preserve">[BSW168] Diagnostic Interface of SW components </t>
  </si>
  <si>
    <t>BSW_SWS_AR4_0_R2_DIODriver-7438</t>
  </si>
  <si>
    <t>6.0-4.0-17.0-2</t>
  </si>
  <si>
    <t>Not applicable
(DIO does not provide diagnostic capabilities)</t>
  </si>
  <si>
    <t>BSW_SWS_AR4_0_R2_DIODriver-7440</t>
  </si>
  <si>
    <t>6.0-4.0-18.0-1</t>
  </si>
  <si>
    <t>[BSW170] Data for reconfiguration of AUTOSAR SW-Components</t>
  </si>
  <si>
    <t>BSW_SWS_AR4_0_R2_DIODriver-7441</t>
  </si>
  <si>
    <t>6.0-4.0-18.0-2</t>
  </si>
  <si>
    <t>Not applicable
(it only affects the configuration)</t>
  </si>
  <si>
    <t>BSW_SWS_AR4_0_R2_DIODriver-7443</t>
  </si>
  <si>
    <t>6.0-4.0-19.0-1</t>
  </si>
  <si>
    <t>[BSW171] Configurability of optional functionality</t>
  </si>
  <si>
    <t>BSW_SWS_AR4_0_R2_DIODriver-7444</t>
  </si>
  <si>
    <t>6.0-4.0-19.0-2</t>
  </si>
  <si>
    <t>DIO124</t>
  </si>
  <si>
    <t>BSW_SWS_AR4_0_R2_DIODriver-7446</t>
  </si>
  <si>
    <t>6.0-4.0-20.0-1</t>
  </si>
  <si>
    <t xml:space="preserve">[BSW172] Compatibility and documentation of scheduling strategy </t>
  </si>
  <si>
    <t>BSW_SWS_AR4_0_R2_DIODriver-7447</t>
  </si>
  <si>
    <t>6.0-4.0-20.0-2</t>
  </si>
  <si>
    <t>Not applicable
(DIO does not have any special scheduling requirements)</t>
  </si>
  <si>
    <t>BSW_SWS_AR4_0_R2_DIODriver-7449</t>
  </si>
  <si>
    <t>6.0-4.0-21.0-1</t>
  </si>
  <si>
    <t xml:space="preserve">[BSW00300] Module naming convention </t>
  </si>
  <si>
    <t>BSW_SWS_AR4_0_R2_DIODriver-7450</t>
  </si>
  <si>
    <t>6.0-4.0-21.0-2</t>
  </si>
  <si>
    <t>BSW_SWS_AR4_0_R2_DIODriver-7452</t>
  </si>
  <si>
    <t>6.0-4.0-22.0-1</t>
  </si>
  <si>
    <t xml:space="preserve">[BSW00301] Limit imported information </t>
  </si>
  <si>
    <t>BSW_SWS_AR4_0_R2_DIODriver-7453</t>
  </si>
  <si>
    <t>6.0-4.0-22.0-2</t>
  </si>
  <si>
    <t>DIO117 and Figure 2</t>
  </si>
  <si>
    <t>BSW_SWS_AR4_0_R2_DIODriver-7455</t>
  </si>
  <si>
    <t>6.0-4.0-23.0-1</t>
  </si>
  <si>
    <t xml:space="preserve">[BSW00302] Limit exported information </t>
  </si>
  <si>
    <t>BSW_SWS_AR4_0_R2_DIODriver-7456</t>
  </si>
  <si>
    <t>6.0-4.0-23.0-2</t>
  </si>
  <si>
    <t>BSW_SWS_AR4_0_R2_DIODriver-7458</t>
  </si>
  <si>
    <t>6.0-4.0-24.0-1</t>
  </si>
  <si>
    <t xml:space="preserve">[BSW00304] AUTOSAR integer data types </t>
  </si>
  <si>
    <t>BSW_SWS_AR4_0_R2_DIODriver-7459</t>
  </si>
  <si>
    <t>6.0-4.0-24.0-2</t>
  </si>
  <si>
    <t>BSW_SWS_AR4_0_R2_DIODriver-7461</t>
  </si>
  <si>
    <t>6.0-4.0-25.0-1</t>
  </si>
  <si>
    <t xml:space="preserve">[BSW00305] Self-defined data types naming convention </t>
  </si>
  <si>
    <t>BSW_SWS_AR4_0_R2_DIODriver-7462</t>
  </si>
  <si>
    <t>6.0-4.0-25.0-2</t>
  </si>
  <si>
    <t>See Section 8.2</t>
  </si>
  <si>
    <t>BSW_SWS_AR4_0_R2_DIODriver-7464</t>
  </si>
  <si>
    <t>6.0-4.0-26.0-1</t>
  </si>
  <si>
    <t xml:space="preserve">[BSW00306] Avoid direct use of compiler and platform specific keywords </t>
  </si>
  <si>
    <t>BSW_SWS_AR4_0_R2_DIODriver-7465</t>
  </si>
  <si>
    <t>6.0-4.0-26.0-2</t>
  </si>
  <si>
    <t>Not applicable 
(requirement on implementation)</t>
  </si>
  <si>
    <t>BSW_SWS_AR4_0_R2_DIODriver-7467</t>
  </si>
  <si>
    <t>6.0-4.0-27.0-1</t>
  </si>
  <si>
    <t xml:space="preserve">[BSW00307] Global variables naming convention </t>
  </si>
  <si>
    <t>BSW_SWS_AR4_0_R2_DIODriver-7468</t>
  </si>
  <si>
    <t>6.0-4.0-27.0-2</t>
  </si>
  <si>
    <t>BSW_SWS_AR4_0_R2_DIODriver-7470</t>
  </si>
  <si>
    <t>6.0-4.0-28.0-1</t>
  </si>
  <si>
    <t xml:space="preserve">[BSW00308] Definition of global data </t>
  </si>
  <si>
    <t>BSW_SWS_AR4_0_R2_DIODriver-7471</t>
  </si>
  <si>
    <t>6.0-4.0-28.0-2</t>
  </si>
  <si>
    <t>BSW_SWS_AR4_0_R2_DIODriver-7473</t>
  </si>
  <si>
    <t>6.0-4.0-29.0-1</t>
  </si>
  <si>
    <t xml:space="preserve">[BSW00309] Global data with read-only constraint </t>
  </si>
  <si>
    <t>BSW_SWS_AR4_0_R2_DIODriver-7474</t>
  </si>
  <si>
    <t>6.0-4.0-29.0-2</t>
  </si>
  <si>
    <t>BSW_SWS_AR4_0_R2_DIODriver-7476</t>
  </si>
  <si>
    <t>6.0-4.0-30.0-1</t>
  </si>
  <si>
    <t xml:space="preserve">[BSW00310] API naming convention </t>
  </si>
  <si>
    <t>BSW_SWS_AR4_0_R2_DIODriver-7477</t>
  </si>
  <si>
    <t>6.0-4.0-30.0-2</t>
  </si>
  <si>
    <t>See section 8</t>
  </si>
  <si>
    <t>BSW_SWS_AR4_0_R2_DIODriver-7479</t>
  </si>
  <si>
    <t>6.0-4.0-31.0-1</t>
  </si>
  <si>
    <t xml:space="preserve">[BSW00312] Shared code shall be reentrant </t>
  </si>
  <si>
    <t>BSW_SWS_AR4_0_R2_DIODriver-7480</t>
  </si>
  <si>
    <t>6.0-4.0-31.0-2</t>
  </si>
  <si>
    <t>BSW_SWS_AR4_0_R2_DIODriver-7482</t>
  </si>
  <si>
    <t>6.0-4.0-32.0-1</t>
  </si>
  <si>
    <t xml:space="preserve">[BSW00314] Separation of interrupt frames and service routines </t>
  </si>
  <si>
    <t>BSW_SWS_AR4_0_R2_DIODriver-7483</t>
  </si>
  <si>
    <t>6.0-4.0-32.0-2</t>
  </si>
  <si>
    <t>Not applicable
(DIO does not provide interrupt capabilities)</t>
  </si>
  <si>
    <t>BSW_SWS_AR4_0_R2_DIODriver-7485</t>
  </si>
  <si>
    <t>6.0-4.0-33.0-1</t>
  </si>
  <si>
    <t xml:space="preserve">[BSW00318] Format of module version numbers </t>
  </si>
  <si>
    <t>BSW_SWS_AR4_0_R2_DIODriver-7486</t>
  </si>
  <si>
    <t>6.0-4.0-33.0-2</t>
  </si>
  <si>
    <t>BSW_SWS_AR4_0_R2_DIODriver-7488</t>
  </si>
  <si>
    <t>6.0-4.0-34.0-1</t>
  </si>
  <si>
    <t xml:space="preserve">[BSW00321] Enumeration of module version numbers </t>
  </si>
  <si>
    <t>BSW_SWS_AR4_0_R2_DIODriver-7489</t>
  </si>
  <si>
    <t>6.0-4.0-34.0-2</t>
  </si>
  <si>
    <t>BSW_SWS_AR4_0_R2_DIODriver-7491</t>
  </si>
  <si>
    <t>6.0-4.0-35.0-1</t>
  </si>
  <si>
    <t>[BSW00323] API parameter checking</t>
  </si>
  <si>
    <t>BSW_SWS_AR4_0_R2_DIODriver-7492</t>
  </si>
  <si>
    <t>6.0-4.0-35.0-2</t>
  </si>
  <si>
    <t>DIO065, DIO074, DIO075, DIO114</t>
  </si>
  <si>
    <t>BSW_SWS_AR4_0_R2_DIODriver-7494</t>
  </si>
  <si>
    <t>6.0-4.0-36.0-1</t>
  </si>
  <si>
    <t xml:space="preserve">[BSW00325] Runtime of interrupt service routines </t>
  </si>
  <si>
    <t>BSW_SWS_AR4_0_R2_DIODriver-7495</t>
  </si>
  <si>
    <t>6.0-4.0-36.0-2</t>
  </si>
  <si>
    <t>Not applicable
(DIO does not provide interrupt capabilities</t>
  </si>
  <si>
    <t>BSW_SWS_AR4_0_R2_DIODriver-7497</t>
  </si>
  <si>
    <t>6.0-4.0-37.0-1</t>
  </si>
  <si>
    <t xml:space="preserve">[BSW00326] Transition from ISRs to OS tasks </t>
  </si>
  <si>
    <t>BSW_SWS_AR4_0_R2_DIODriver-7498</t>
  </si>
  <si>
    <t>6.0-4.0-37.0-2</t>
  </si>
  <si>
    <t>Not applicable because DIO does not provide interrupt capabilities</t>
  </si>
  <si>
    <t>BSW_SWS_AR4_0_R2_DIODriver-7500</t>
  </si>
  <si>
    <t>6.0-4.0-38.0-1</t>
  </si>
  <si>
    <t xml:space="preserve">[BSW00327] Error values naming convention </t>
  </si>
  <si>
    <t>BSW_SWS_AR4_0_R2_DIODriver-7501</t>
  </si>
  <si>
    <t>6.0-4.0-38.0-2</t>
  </si>
  <si>
    <t>DIO067; DIO065, see chapter 7.6</t>
  </si>
  <si>
    <t>BSW_SWS_AR4_0_R2_DIODriver-7503</t>
  </si>
  <si>
    <t>6.0-4.0-39.0-1</t>
  </si>
  <si>
    <t xml:space="preserve">[BSW00328] Avoid duplication of code </t>
  </si>
  <si>
    <t>BSW_SWS_AR4_0_R2_DIODriver-7504</t>
  </si>
  <si>
    <t>6.0-4.0-39.0-2</t>
  </si>
  <si>
    <t>Not applicable (requirement for the implementer)</t>
  </si>
  <si>
    <t>BSW_SWS_AR4_0_R2_DIODriver-7506</t>
  </si>
  <si>
    <t>6.0-4.0-40.0-1</t>
  </si>
  <si>
    <t xml:space="preserve">[BSW00329] Avoidance of generic interfaces </t>
  </si>
  <si>
    <t>BSW_SWS_AR4_0_R2_DIODriver-7507</t>
  </si>
  <si>
    <t>6.0-4.0-40.0-2</t>
  </si>
  <si>
    <t>Not applicable
(no generic interfaces specified within this SWS)</t>
  </si>
  <si>
    <t>BSW_SWS_AR4_0_R2_DIODriver-7509</t>
  </si>
  <si>
    <t>6.0-4.0-41.0-1</t>
  </si>
  <si>
    <t xml:space="preserve">[BSW00330] Usage of macros / inline functions instead of functions </t>
  </si>
  <si>
    <t>BSW_SWS_AR4_0_R2_DIODriver-7510</t>
  </si>
  <si>
    <t>6.0-4.0-41.0-2</t>
  </si>
  <si>
    <t>Not applicable 
(requirement for the implementer)</t>
  </si>
  <si>
    <t>BSW_SWS_AR4_0_R2_DIODriver-7512</t>
  </si>
  <si>
    <t>6.0-4.0-42.0-1</t>
  </si>
  <si>
    <t xml:space="preserve">[BSW00331] Separation of error and status values </t>
  </si>
  <si>
    <t>BSW_SWS_AR4_0_R2_DIODriver-7513</t>
  </si>
  <si>
    <t>6.0-4.0-42.0-2</t>
  </si>
  <si>
    <t>Not applicable
(no status values specified within this SWS)</t>
  </si>
  <si>
    <t>BSW_SWS_AR4_0_R2_DIODriver-7515</t>
  </si>
  <si>
    <t>6.0-4.0-43.0-1</t>
  </si>
  <si>
    <t xml:space="preserve">[BSW00333] Documentation of callback function context </t>
  </si>
  <si>
    <t>BSW_SWS_AR4_0_R2_DIODriver-7516</t>
  </si>
  <si>
    <t>6.0-4.0-43.0-2</t>
  </si>
  <si>
    <t>BSW_SWS_AR4_0_R2_DIODriver-7518</t>
  </si>
  <si>
    <t>6.0-4.0-44.0-1</t>
  </si>
  <si>
    <t xml:space="preserve">[BSW00334] Provision of XML file </t>
  </si>
  <si>
    <t>BSW_SWS_AR4_0_R2_DIODriver-7519</t>
  </si>
  <si>
    <t>6.0-4.0-44.0-2</t>
  </si>
  <si>
    <t>BSW_SWS_AR4_0_R2_DIODriver-7521</t>
  </si>
  <si>
    <t>6.0-4.0-45.0-1</t>
  </si>
  <si>
    <t xml:space="preserve">[BSW00335] Status values naming convention </t>
  </si>
  <si>
    <t>BSW_SWS_AR4_0_R2_DIODriver-7522</t>
  </si>
  <si>
    <t>6.0-4.0-45.0-2</t>
  </si>
  <si>
    <t>BSW_SWS_AR4_0_R2_DIODriver-7524</t>
  </si>
  <si>
    <t>6.0-4.0-46.0-1</t>
  </si>
  <si>
    <t>[BSW00336] Shutdown interface</t>
  </si>
  <si>
    <t>BSW_SWS_AR4_0_R2_DIODriver-7525</t>
  </si>
  <si>
    <t>6.0-4.0-46.0-2</t>
  </si>
  <si>
    <t>Not applicable
(for DIO there is no need for this)</t>
  </si>
  <si>
    <t>BSW_SWS_AR4_0_R2_DIODriver-7527</t>
  </si>
  <si>
    <t>6.0-4.0-47.0-1</t>
  </si>
  <si>
    <t>[BSW00337] Classification of errors</t>
  </si>
  <si>
    <t>BSW_SWS_AR4_0_R2_DIODriver-7528</t>
  </si>
  <si>
    <t>6.0-4.0-47.0-2</t>
  </si>
  <si>
    <t xml:space="preserve">DIO065 </t>
  </si>
  <si>
    <t>BSW_SWS_AR4_0_R2_DIODriver-7530</t>
  </si>
  <si>
    <t>6.0-4.0-48.0-1</t>
  </si>
  <si>
    <t>[BSW00338] Detection and Reporting of development errors</t>
  </si>
  <si>
    <t>BSW_SWS_AR4_0_R2_DIODriver-7531</t>
  </si>
  <si>
    <t>6.0-4.0-48.0-2</t>
  </si>
  <si>
    <t>DIO066, DIO073, DIO067</t>
  </si>
  <si>
    <t>BSW_SWS_AR4_0_R2_DIODriver-7533</t>
  </si>
  <si>
    <t>6.0-4.0-49.0-1</t>
  </si>
  <si>
    <t>[BSW00339] Reporting of production relevant errors and exceptions</t>
  </si>
  <si>
    <t>BSW_SWS_AR4_0_R2_DIODriver-7534</t>
  </si>
  <si>
    <t>6.0-4.0-49.0-2</t>
  </si>
  <si>
    <t>Not applicable
(DIO only provides development errors)</t>
  </si>
  <si>
    <t>BSW_SWS_AR4_0_R2_DIODriver-7536</t>
  </si>
  <si>
    <t>6.0-4.0-50.0-1</t>
  </si>
  <si>
    <t xml:space="preserve">[BSW00341] Microcontroller compatibility documentation </t>
  </si>
  <si>
    <t>BSW_SWS_AR4_0_R2_DIODriver-7537</t>
  </si>
  <si>
    <t>6.0-4.0-50.0-2</t>
  </si>
  <si>
    <t>BSW_SWS_AR4_0_R2_DIODriver-7539</t>
  </si>
  <si>
    <t>6.0-4.0-51.0-1</t>
  </si>
  <si>
    <t xml:space="preserve">[BSW00342] Usage of source code and object code </t>
  </si>
  <si>
    <t>BSW_SWS_AR4_0_R2_DIODriver-7540</t>
  </si>
  <si>
    <t>6.0-4.0-51.0-2</t>
  </si>
  <si>
    <t>BSW_SWS_AR4_0_R2_DIODriver-7542</t>
  </si>
  <si>
    <t>6.0-4.0-52.0-1</t>
  </si>
  <si>
    <t xml:space="preserve">[BSW00343] Specification and configuration of time </t>
  </si>
  <si>
    <t>BSW_SWS_AR4_0_R2_DIODriver-7543</t>
  </si>
  <si>
    <t>6.0-4.0-52.0-2</t>
  </si>
  <si>
    <t>Not applicable
(DIO doesen't deal with time)</t>
  </si>
  <si>
    <t>BSW_SWS_AR4_0_R2_DIODriver-7545</t>
  </si>
  <si>
    <t>6.0-4.0-53.0-1</t>
  </si>
  <si>
    <t xml:space="preserve">[BSW00344] Link-time configuration </t>
  </si>
  <si>
    <t>BSW_SWS_AR4_0_R2_DIODriver-7546</t>
  </si>
  <si>
    <t>6.0-4.0-53.0-2</t>
  </si>
  <si>
    <t>DIO001, DIO002</t>
  </si>
  <si>
    <t>BSW_SWS_AR4_0_R2_DIODriver-7548</t>
  </si>
  <si>
    <t>6.0-4.0-54.0-1</t>
  </si>
  <si>
    <t>[BSW00345] Pre-compile-time configuration</t>
  </si>
  <si>
    <t>BSW_SWS_AR4_0_R2_DIODriver-7549</t>
  </si>
  <si>
    <t>6.0-4.0-54.0-2</t>
  </si>
  <si>
    <t>DIO141_Conf</t>
  </si>
  <si>
    <t>BSW_SWS_AR4_0_R2_DIODriver-7551</t>
  </si>
  <si>
    <t>6.0-4.0-55.0-1</t>
  </si>
  <si>
    <t xml:space="preserve">[BSW00346] Basic set of module files </t>
  </si>
  <si>
    <t>BSW_SWS_AR4_0_R2_DIODriver-7552</t>
  </si>
  <si>
    <t>6.0-4.0-55.0-2</t>
  </si>
  <si>
    <t>BSW_SWS_AR4_0_R2_DIODriver-7554</t>
  </si>
  <si>
    <t>6.0-4.0-56.0-1</t>
  </si>
  <si>
    <t xml:space="preserve">[BSW00347] Naming separation of drivers </t>
  </si>
  <si>
    <t>BSW_SWS_AR4_0_R2_DIODriver-7555</t>
  </si>
  <si>
    <t>6.0-4.0-56.0-2</t>
  </si>
  <si>
    <t>BSW_SWS_AR4_0_R2_DIODriver-7557</t>
  </si>
  <si>
    <t>6.0-4.0-57.0-1</t>
  </si>
  <si>
    <t xml:space="preserve">[BSW00348] Standard type header </t>
  </si>
  <si>
    <t>BSW_SWS_AR4_0_R2_DIODriver-7558</t>
  </si>
  <si>
    <t>6.0-4.0-57.0-2</t>
  </si>
  <si>
    <t>BSW_SWS_AR4_0_R2_DIODriver-7560</t>
  </si>
  <si>
    <t>6.0-4.0-58.0-1</t>
  </si>
  <si>
    <t xml:space="preserve">[BSW00350] Development error detection keyword </t>
  </si>
  <si>
    <t>BSW_SWS_AR4_0_R2_DIODriver-7561</t>
  </si>
  <si>
    <t>6.0-4.0-58.0-2</t>
  </si>
  <si>
    <t>DIO066</t>
  </si>
  <si>
    <t>BSW_SWS_AR4_0_R2_DIODriver-7563</t>
  </si>
  <si>
    <t>6.0-4.0-59.0-1</t>
  </si>
  <si>
    <t xml:space="preserve">[BSW00353] Platform specific type header </t>
  </si>
  <si>
    <t>BSW_SWS_AR4_0_R2_DIODriver-7564</t>
  </si>
  <si>
    <t>6.0-4.0-59.0-2</t>
  </si>
  <si>
    <t>BSW_SWS_AR4_0_R2_DIODriver-7566</t>
  </si>
  <si>
    <t>6.0-4.0-60.0-1</t>
  </si>
  <si>
    <t xml:space="preserve">[BSW00355] Do not redefine AUTOSAR integer data types </t>
  </si>
  <si>
    <t>BSW_SWS_AR4_0_R2_DIODriver-7567</t>
  </si>
  <si>
    <t>6.0-4.0-60.0-2</t>
  </si>
  <si>
    <t>Not applicable
(no integer data types redefined in this specification)</t>
  </si>
  <si>
    <t>BSW_SWS_AR4_0_R2_DIODriver-7569</t>
  </si>
  <si>
    <t>6.0-4.0-61.0-1</t>
  </si>
  <si>
    <t xml:space="preserve">[BSW00357] Standard API return type </t>
  </si>
  <si>
    <t>BSW_SWS_AR4_0_R2_DIODriver-7570</t>
  </si>
  <si>
    <t>6.0-4.0-61.0-2</t>
  </si>
  <si>
    <t>BSW_SWS_AR4_0_R2_DIODriver-7572</t>
  </si>
  <si>
    <t>6.0-4.0-62.0-1</t>
  </si>
  <si>
    <t xml:space="preserve">[BSW00358] Return type of init() functions </t>
  </si>
  <si>
    <t>BSW_SWS_AR4_0_R2_DIODriver-7573</t>
  </si>
  <si>
    <t>6.0-4.0-62.0-2</t>
  </si>
  <si>
    <t>DIO165</t>
  </si>
  <si>
    <t>BSW_SWS_AR4_0_R2_DIODriver-7575</t>
  </si>
  <si>
    <t>6.0-4.0-63.0-1</t>
  </si>
  <si>
    <t xml:space="preserve">[BSW00359] Return type of callback functions </t>
  </si>
  <si>
    <t>BSW_SWS_AR4_0_R2_DIODriver-7576</t>
  </si>
  <si>
    <t>6.0-4.0-63.0-2</t>
  </si>
  <si>
    <t>Not applicable
(DIO does not provide a callback mechanism)</t>
  </si>
  <si>
    <t>BSW_SWS_AR4_0_R2_DIODriver-7578</t>
  </si>
  <si>
    <t>6.0-4.0-64.0-1</t>
  </si>
  <si>
    <t xml:space="preserve">[BSW00360] Parameters of callback functions </t>
  </si>
  <si>
    <t>BSW_SWS_AR4_0_R2_DIODriver-7579</t>
  </si>
  <si>
    <t>6.0-4.0-64.0-2</t>
  </si>
  <si>
    <t>BSW_SWS_AR4_0_R2_DIODriver-7581</t>
  </si>
  <si>
    <t>6.0-4.0-65.0-1</t>
  </si>
  <si>
    <t xml:space="preserve">[BSW00361] Compiler specific language extension header </t>
  </si>
  <si>
    <t>BSW_SWS_AR4_0_R2_DIODriver-7582</t>
  </si>
  <si>
    <t>6.0-4.0-65.0-2</t>
  </si>
  <si>
    <t>BSW_SWS_AR4_0_R2_DIODriver-7584</t>
  </si>
  <si>
    <t>6.0-4.0-66.0-1</t>
  </si>
  <si>
    <t>[BSW00369] Do not return development error codes via API</t>
  </si>
  <si>
    <t>BSW_SWS_AR4_0_R2_DIODriver-7585</t>
  </si>
  <si>
    <t>6.0-4.0-66.0-2</t>
  </si>
  <si>
    <t>BSW_SWS_AR4_0_R2_DIODriver-7587</t>
  </si>
  <si>
    <t>6.0-4.0-67.0-1</t>
  </si>
  <si>
    <t xml:space="preserve">[BSW00370] Separation of callback interface from API </t>
  </si>
  <si>
    <t>BSW_SWS_AR4_0_R2_DIODriver-7588</t>
  </si>
  <si>
    <t>6.0-4.0-67.0-2</t>
  </si>
  <si>
    <t>BSW_SWS_AR4_0_R2_DIODriver-7590</t>
  </si>
  <si>
    <t>6.0-4.0-68.0-1</t>
  </si>
  <si>
    <t xml:space="preserve">[BSW00371] Do not pass function pointers via API </t>
  </si>
  <si>
    <t>BSW_SWS_AR4_0_R2_DIODriver-7591</t>
  </si>
  <si>
    <t>6.0-4.0-68.0-2</t>
  </si>
  <si>
    <t>Not applicable
(no function pointers are passed via API to this module)</t>
  </si>
  <si>
    <t>BSW_SWS_AR4_0_R2_DIODriver-7593</t>
  </si>
  <si>
    <t>6.0-4.0-69.0-1</t>
  </si>
  <si>
    <t xml:space="preserve">[BSW00373] Main processing function naming convention </t>
  </si>
  <si>
    <t>BSW_SWS_AR4_0_R2_DIODriver-7594</t>
  </si>
  <si>
    <t>6.0-4.0-69.0-2</t>
  </si>
  <si>
    <t>Not applicable
(no main processing function specified)</t>
  </si>
  <si>
    <t>BSW_SWS_AR4_0_R2_DIODriver-7596</t>
  </si>
  <si>
    <t>6.0-4.0-70.0-1</t>
  </si>
  <si>
    <t xml:space="preserve">[BSW00374] Module vendor identification </t>
  </si>
  <si>
    <t>BSW_SWS_AR4_0_R2_DIODriver-7597</t>
  </si>
  <si>
    <t>6.0-4.0-70.0-2</t>
  </si>
  <si>
    <t>BSW_SWS_AR4_0_R2_DIODriver-7599</t>
  </si>
  <si>
    <t>6.0-4.0-71.0-1</t>
  </si>
  <si>
    <t>[BSW00375] Notification of wake-up reason</t>
  </si>
  <si>
    <t>BSW_SWS_AR4_0_R2_DIODriver-7600</t>
  </si>
  <si>
    <t>6.0-4.0-71.0-2</t>
  </si>
  <si>
    <t>Not applicable
(DIO does not provide a wake-up mechanism)</t>
  </si>
  <si>
    <t>BSW_SWS_AR4_0_R2_DIODriver-7602</t>
  </si>
  <si>
    <t>6.0-4.0-72.0-1</t>
  </si>
  <si>
    <t xml:space="preserve">[BSW00376] Return type and parameters of main processing functions </t>
  </si>
  <si>
    <t>BSW_SWS_AR4_0_R2_DIODriver-7603</t>
  </si>
  <si>
    <t>6.0-4.0-72.0-2</t>
  </si>
  <si>
    <t>BSW_SWS_AR4_0_R2_DIODriver-7605</t>
  </si>
  <si>
    <t>6.0-4.0-73.0-1</t>
  </si>
  <si>
    <t xml:space="preserve">[BSW00377] Module specific API return types </t>
  </si>
  <si>
    <t>BSW_SWS_AR4_0_R2_DIODriver-7606</t>
  </si>
  <si>
    <t>6.0-4.0-73.0-2</t>
  </si>
  <si>
    <t>BSW_SWS_AR4_0_R2_DIODriver-7608</t>
  </si>
  <si>
    <t>6.0-4.0-74.0-1</t>
  </si>
  <si>
    <t xml:space="preserve">[BSW00378] AUTOSAR boolean type </t>
  </si>
  <si>
    <t>BSW_SWS_AR4_0_R2_DIODriver-7609</t>
  </si>
  <si>
    <t>6.0-4.0-74.0-2</t>
  </si>
  <si>
    <t>BSW_SWS_AR4_0_R2_DIODriver-7611</t>
  </si>
  <si>
    <t>6.0-4.0-75.0-1</t>
  </si>
  <si>
    <t xml:space="preserve">[BSW00379] Module identification </t>
  </si>
  <si>
    <t>BSW_SWS_AR4_0_R2_DIODriver-7612</t>
  </si>
  <si>
    <t>6.0-4.0-75.0-2</t>
  </si>
  <si>
    <t>BSW_SWS_AR4_0_R2_DIODriver-7614</t>
  </si>
  <si>
    <t>6.0-4.0-76.0-1</t>
  </si>
  <si>
    <t>[BSW00380] Separate C-File for configuration parameters</t>
  </si>
  <si>
    <t>BSW_SWS_AR4_0_R2_DIODriver-7615</t>
  </si>
  <si>
    <t>6.0-4.0-76.0-2</t>
  </si>
  <si>
    <t>DIO117</t>
  </si>
  <si>
    <t>BSW_SWS_AR4_0_R2_DIODriver-7617</t>
  </si>
  <si>
    <t>6.0-4.0-77.0-1</t>
  </si>
  <si>
    <t>[BSW00381] Separate configuration header file for pre-compile time parameters</t>
  </si>
  <si>
    <t>BSW_SWS_AR4_0_R2_DIODriver-7618</t>
  </si>
  <si>
    <t>6.0-4.0-77.0-2</t>
  </si>
  <si>
    <t>BSW_SWS_AR4_0_R2_DIODriver-7620</t>
  </si>
  <si>
    <t>6.0-4.0-78.0-1</t>
  </si>
  <si>
    <t>[BSW00382] Not-used configuration elements need to be listed</t>
  </si>
  <si>
    <t>BSW_SWS_AR4_0_R2_DIODriver-7621</t>
  </si>
  <si>
    <t>6.0-4.0-78.0-2</t>
  </si>
  <si>
    <t>BSW_SWS_AR4_0_R2_DIODriver-7623</t>
  </si>
  <si>
    <t>6.0-4.0-79.0-1</t>
  </si>
  <si>
    <t>[BSW00383] List dependencies of configuration files</t>
  </si>
  <si>
    <t>BSW_SWS_AR4_0_R2_DIODriver-7624</t>
  </si>
  <si>
    <t>6.0-4.0-79.0-2</t>
  </si>
  <si>
    <t>BSW_SWS_AR4_0_R2_DIODriver-7626</t>
  </si>
  <si>
    <t>6.0-4.0-80.0-1</t>
  </si>
  <si>
    <t>[BSW00384] List dependencies to other modules</t>
  </si>
  <si>
    <t>BSW_SWS_AR4_0_R2_DIODriver-7627</t>
  </si>
  <si>
    <t>6.0-4.0-80.0-2</t>
  </si>
  <si>
    <t>BSW_SWS_AR4_0_R2_DIODriver-7629</t>
  </si>
  <si>
    <t>6.0-4.0-81.0-1</t>
  </si>
  <si>
    <t>[BSW00385] List possible error notificatons</t>
  </si>
  <si>
    <t>BSW_SWS_AR4_0_R2_DIODriver-7630</t>
  </si>
  <si>
    <t>6.0-4.0-81.0-2</t>
  </si>
  <si>
    <t>See Chapter 7.6</t>
  </si>
  <si>
    <t>BSW_SWS_AR4_0_R2_DIODriver-7632</t>
  </si>
  <si>
    <t>6.0-4.0-82.0-1</t>
  </si>
  <si>
    <t>[BSW00386] Configuration for detecting an error</t>
  </si>
  <si>
    <t>BSW_SWS_AR4_0_R2_DIODriver-7633</t>
  </si>
  <si>
    <t>6.0-4.0-82.0-2</t>
  </si>
  <si>
    <t>See Chapter 7.7</t>
  </si>
  <si>
    <t>BSW_SWS_AR4_0_R2_DIODriver-7635</t>
  </si>
  <si>
    <t>6.0-4.0-83.0-1</t>
  </si>
  <si>
    <t>[BSW00387] Specify the configuration class of callback function</t>
  </si>
  <si>
    <t>BSW_SWS_AR4_0_R2_DIODriver-7636</t>
  </si>
  <si>
    <t>6.0-4.0-83.0-2</t>
  </si>
  <si>
    <t>Not applicable
(DIO doesen't provide a callback meachanism)</t>
  </si>
  <si>
    <t>BSW_SWS_AR4_0_R2_DIODriver-7638</t>
  </si>
  <si>
    <t>6.0-4.0-84.0-1</t>
  </si>
  <si>
    <t>[BSW00388] Introduce containers</t>
  </si>
  <si>
    <t>BSW_SWS_AR4_0_R2_DIODriver-7639</t>
  </si>
  <si>
    <t>6.0-4.0-84.0-2</t>
  </si>
  <si>
    <t>See chapter 10.1</t>
  </si>
  <si>
    <t>BSW_SWS_AR4_0_R2_DIODriver-7641</t>
  </si>
  <si>
    <t>6.0-4.0-85.0-1</t>
  </si>
  <si>
    <t>[BSW00389] Containers shall have names</t>
  </si>
  <si>
    <t>BSW_SWS_AR4_0_R2_DIODriver-7642</t>
  </si>
  <si>
    <t>6.0-4.0-85.0-2</t>
  </si>
  <si>
    <t>BSW_SWS_AR4_0_R2_DIODriver-7644</t>
  </si>
  <si>
    <t>6.0-4.0-86.0-1</t>
  </si>
  <si>
    <t>[BSW00390] Parameter content shall be unique within the module</t>
  </si>
  <si>
    <t>BSW_SWS_AR4_0_R2_DIODriver-7645</t>
  </si>
  <si>
    <t>6.0-4.0-86.0-2</t>
  </si>
  <si>
    <t>BSW_SWS_AR4_0_R2_DIODriver-7647</t>
  </si>
  <si>
    <t>6.0-4.0-87.0-1</t>
  </si>
  <si>
    <t>[BSW00391] Parameter shall have unique names</t>
  </si>
  <si>
    <t>BSW_SWS_AR4_0_R2_DIODriver-7648</t>
  </si>
  <si>
    <t>6.0-4.0-87.0-2</t>
  </si>
  <si>
    <t>BSW_SWS_AR4_0_R2_DIODriver-7650</t>
  </si>
  <si>
    <t>6.0-4.0-88.0-1</t>
  </si>
  <si>
    <t>[BSW00392] Parameters shall have a type</t>
  </si>
  <si>
    <t>BSW_SWS_AR4_0_R2_DIODriver-7651</t>
  </si>
  <si>
    <t>6.0-4.0-88.0-2</t>
  </si>
  <si>
    <t>BSW_SWS_AR4_0_R2_DIODriver-7653</t>
  </si>
  <si>
    <t>6.0-4.0-89.0-1</t>
  </si>
  <si>
    <t>[BSW00393] Parameters shall have a range</t>
  </si>
  <si>
    <t>BSW_SWS_AR4_0_R2_DIODriver-7654</t>
  </si>
  <si>
    <t>6.0-4.0-89.0-2</t>
  </si>
  <si>
    <t>BSW_SWS_AR4_0_R2_DIODriver-7656</t>
  </si>
  <si>
    <t>6.0-4.0-90.0-1</t>
  </si>
  <si>
    <t>[BSW00394] Specify the scope of the parameters</t>
  </si>
  <si>
    <t>BSW_SWS_AR4_0_R2_DIODriver-7657</t>
  </si>
  <si>
    <t>6.0-4.0-90.0-2</t>
  </si>
  <si>
    <t>BSW_SWS_AR4_0_R2_DIODriver-7659</t>
  </si>
  <si>
    <t>6.0-4.0-91.0-1</t>
  </si>
  <si>
    <t>[BSW00395] List the required parameters (per parameter)</t>
  </si>
  <si>
    <t>BSW_SWS_AR4_0_R2_DIODriver-7660</t>
  </si>
  <si>
    <t>6.0-4.0-91.0-2</t>
  </si>
  <si>
    <t>BSW_SWS_AR4_0_R2_DIODriver-7662</t>
  </si>
  <si>
    <t>6.0-4.0-92.0-1</t>
  </si>
  <si>
    <t>[BSW00396] Configuration classes</t>
  </si>
  <si>
    <t>BSW_SWS_AR4_0_R2_DIODriver-7663</t>
  </si>
  <si>
    <t>6.0-4.0-92.0-2</t>
  </si>
  <si>
    <t>BSW_SWS_AR4_0_R2_DIODriver-7665</t>
  </si>
  <si>
    <t>6.0-4.0-93.0-1</t>
  </si>
  <si>
    <t>[BSW00397] Pre-compile-time parameters</t>
  </si>
  <si>
    <t>BSW_SWS_AR4_0_R2_DIODriver-7666</t>
  </si>
  <si>
    <t>6.0-4.0-93.0-2</t>
  </si>
  <si>
    <t>BSW_SWS_AR4_0_R2_DIODriver-7668</t>
  </si>
  <si>
    <t>6.0-4.0-94.0-1</t>
  </si>
  <si>
    <t>[BSW00398] Link-time parameters</t>
  </si>
  <si>
    <t>BSW_SWS_AR4_0_R2_DIODriver-7669</t>
  </si>
  <si>
    <t>6.0-4.0-94.0-2</t>
  </si>
  <si>
    <t>BSW_SWS_AR4_0_R2_DIODriver-7671</t>
  </si>
  <si>
    <t>6.0-4.0-95.0-1</t>
  </si>
  <si>
    <t>[BSW00399] Loadable Post-build time parameters</t>
  </si>
  <si>
    <t>BSW_SWS_AR4_0_R2_DIODriver-7672</t>
  </si>
  <si>
    <t>6.0-4.0-95.0-2</t>
  </si>
  <si>
    <t>Not applicable
(no post-build time configurable parameters specified)</t>
  </si>
  <si>
    <t>BSW_SWS_AR4_0_R2_DIODriver-7674</t>
  </si>
  <si>
    <t>6.0-4.0-96.0-1</t>
  </si>
  <si>
    <t>[BSW00400] Selectable Post-build time parameters</t>
  </si>
  <si>
    <t>BSW_SWS_AR4_0_R2_DIODriver-7675</t>
  </si>
  <si>
    <t>6.0-4.0-96.0-2</t>
  </si>
  <si>
    <t>(no post-build time configurable parameters specified)</t>
  </si>
  <si>
    <t>BSW_SWS_AR4_0_R2_DIODriver-7677</t>
  </si>
  <si>
    <t>6.0-4.0-97.0-1</t>
  </si>
  <si>
    <t>[BSW00401] Documentation of multiple instances of configuration parameters</t>
  </si>
  <si>
    <t>BSW_SWS_AR4_0_R2_DIODriver-7678</t>
  </si>
  <si>
    <t>6.0-4.0-97.0-2</t>
  </si>
  <si>
    <t>BSW_SWS_AR4_0_R2_DIODriver-7680</t>
  </si>
  <si>
    <t>6.0-4.0-98.0-1</t>
  </si>
  <si>
    <t>[BSW00402] Published information</t>
  </si>
  <si>
    <t>BSW_SWS_AR4_0_R2_DIODriver-7681</t>
  </si>
  <si>
    <t>6.0-4.0-98.0-2</t>
  </si>
  <si>
    <t>See chapter 10.4</t>
  </si>
  <si>
    <t>BSW_SWS_AR4_0_R2_DIODriver-7683</t>
  </si>
  <si>
    <t>6.0-4.0-99.0-1</t>
  </si>
  <si>
    <t>[BSW00404] Reference to post build time configuration</t>
  </si>
  <si>
    <t>BSW_SWS_AR4_0_R2_DIODriver-7684</t>
  </si>
  <si>
    <t>6.0-4.0-99.0-2</t>
  </si>
  <si>
    <t>Not applicable 
(no post-build time configurable parameters specified)</t>
  </si>
  <si>
    <t>BSW_SWS_AR4_0_R2_DIODriver-7686</t>
  </si>
  <si>
    <t>6.0-4.0-100.0-1</t>
  </si>
  <si>
    <t>[BSW00405] Reference to multiple configuration sets</t>
  </si>
  <si>
    <t>BSW_SWS_AR4_0_R2_DIODriver-7687</t>
  </si>
  <si>
    <t>6.0-4.0-100.0-2</t>
  </si>
  <si>
    <t>BSW_SWS_AR4_0_R2_DIODriver-7689</t>
  </si>
  <si>
    <t>6.0-4.0-101.0-1</t>
  </si>
  <si>
    <t>[BSW00406] Check module initialization</t>
  </si>
  <si>
    <t>BSW_SWS_AR4_0_R2_DIODriver-7690</t>
  </si>
  <si>
    <t>6.0-4.0-101.0-2</t>
  </si>
  <si>
    <t>Not applicable
(Dio has no init function)</t>
  </si>
  <si>
    <t>BSW_SWS_AR4_0_R2_DIODriver-7692</t>
  </si>
  <si>
    <t>6.0-4.0-102.0-1</t>
  </si>
  <si>
    <t>[BSW00407] Function to read out published parameters</t>
  </si>
  <si>
    <t>BSW_SWS_AR4_0_R2_DIODriver-7693</t>
  </si>
  <si>
    <t>6.0-4.0-102.0-2</t>
  </si>
  <si>
    <t>DIO123</t>
  </si>
  <si>
    <t>BSW_SWS_AR4_0_R2_DIODriver-7695</t>
  </si>
  <si>
    <t>6.0-4.0-103.0-1</t>
  </si>
  <si>
    <t>[BSW00408] Configuration parameter naming convention</t>
  </si>
  <si>
    <t>BSW_SWS_AR4_0_R2_DIODriver-7696</t>
  </si>
  <si>
    <t>6.0-4.0-103.0-2</t>
  </si>
  <si>
    <t>BSW_SWS_AR4_0_R2_DIODriver-7698</t>
  </si>
  <si>
    <t>6.0-4.0-104.0-1</t>
  </si>
  <si>
    <t>[BSW00409] Header files for production code error IDs</t>
  </si>
  <si>
    <t>BSW_SWS_AR4_0_R2_DIODriver-7699</t>
  </si>
  <si>
    <t>6.0-4.0-104.0-2</t>
  </si>
  <si>
    <t>BSW_SWS_AR4_0_R2_DIODriver-7701</t>
  </si>
  <si>
    <t>6.0-4.0-105.0-1</t>
  </si>
  <si>
    <t>[BSW00410] Compiler switches shall have defined values</t>
  </si>
  <si>
    <t>BSW_SWS_AR4_0_R2_DIODriver-7702</t>
  </si>
  <si>
    <t>6.0-4.0-105.0-2</t>
  </si>
  <si>
    <t>BSW_SWS_AR4_0_R2_DIODriver-7704</t>
  </si>
  <si>
    <t>6.0-4.0-106.0-1</t>
  </si>
  <si>
    <t>[BSW00411] Get version info keyword</t>
  </si>
  <si>
    <t>BSW_SWS_AR4_0_R2_DIODriver-7705</t>
  </si>
  <si>
    <t>6.0-4.0-106.0-2</t>
  </si>
  <si>
    <t>DIO139</t>
  </si>
  <si>
    <t>BSW_SWS_AR4_0_R2_DIODriver-7707</t>
  </si>
  <si>
    <t>6.0-4.0-107.0-1</t>
  </si>
  <si>
    <t>[BSW00412] Separate H-File for configuration parameters</t>
  </si>
  <si>
    <t>BSW_SWS_AR4_0_R2_DIODriver-7708</t>
  </si>
  <si>
    <t>6.0-4.0-107.0-2</t>
  </si>
  <si>
    <t>BSW_SWS_AR4_0_R2_DIODriver-7710</t>
  </si>
  <si>
    <t>6.0-4.0-108.0-1</t>
  </si>
  <si>
    <t>[BSW00413] Accessing instances of BSW modules</t>
  </si>
  <si>
    <t>BSW_SWS_AR4_0_R2_DIODriver-7711</t>
  </si>
  <si>
    <t>6.0-4.0-108.0-2</t>
  </si>
  <si>
    <t>BSW_SWS_AR4_0_R2_DIODriver-7713</t>
  </si>
  <si>
    <t>6.0-4.0-109.0-1</t>
  </si>
  <si>
    <t>[BSW00414] Parameter of init function</t>
  </si>
  <si>
    <t>BSW_SWS_AR4_0_R2_DIODriver-7714</t>
  </si>
  <si>
    <t>6.0-4.0-109.0-2</t>
  </si>
  <si>
    <t>BSW_SWS_AR4_0_R2_DIODriver-7716</t>
  </si>
  <si>
    <t>6.0-4.0-110.0-1</t>
  </si>
  <si>
    <t>[BSW00415] User dependent include files</t>
  </si>
  <si>
    <t>BSW_SWS_AR4_0_R2_DIODriver-7717</t>
  </si>
  <si>
    <t>6.0-4.0-110.0-2</t>
  </si>
  <si>
    <t>See Figure2</t>
  </si>
  <si>
    <t>BSW_SWS_AR4_0_R2_DIODriver-7719</t>
  </si>
  <si>
    <t>6.0-4.0-111.0-1</t>
  </si>
  <si>
    <t>[BSW00416] Sequence of Initialization</t>
  </si>
  <si>
    <t>BSW_SWS_AR4_0_R2_DIODriver-7720</t>
  </si>
  <si>
    <t>6.0-4.0-111.0-2</t>
  </si>
  <si>
    <t>Nor applicable
(DIO is not responsible for overall Autosar modules initialization)</t>
  </si>
  <si>
    <t>BSW_SWS_AR4_0_R2_DIODriver-7722</t>
  </si>
  <si>
    <t>6.0-4.0-112.0-1</t>
  </si>
  <si>
    <t>[BSW00417] Reporting of Error Events by Non-Basic Software</t>
  </si>
  <si>
    <t>BSW_SWS_AR4_0_R2_DIODriver-7723</t>
  </si>
  <si>
    <t>6.0-4.0-112.0-2</t>
  </si>
  <si>
    <t>Not applicable
(applies only for non BSW modules)</t>
  </si>
  <si>
    <t>BSW_SWS_AR4_0_R2_DIODriver-7725</t>
  </si>
  <si>
    <t>6.0-4.0-113.0-1</t>
  </si>
  <si>
    <t>[BSW00419] Separate C-Files for pre-compile time configuration parameters</t>
  </si>
  <si>
    <t>BSW_SWS_AR4_0_R2_DIODriver-7726</t>
  </si>
  <si>
    <t>6.0-4.0-113.0-2</t>
  </si>
  <si>
    <t>DIO117 and Figure2</t>
  </si>
  <si>
    <t>BSW_SWS_AR4_0_R2_DIODriver-7728</t>
  </si>
  <si>
    <t>6.0-4.0-114.0-1</t>
  </si>
  <si>
    <t>[BSW00420] Production relevant error event rate detection</t>
  </si>
  <si>
    <t>BSW_SWS_AR4_0_R2_DIODriver-7729</t>
  </si>
  <si>
    <t>6.0-4.0-114.0-2</t>
  </si>
  <si>
    <t>Not applicable
(applies only for DEM)</t>
  </si>
  <si>
    <t>BSW_SWS_AR4_0_R2_DIODriver-7731</t>
  </si>
  <si>
    <t>6.0-4.0-115.0-1</t>
  </si>
  <si>
    <t>[BSW00421] Reporting of production relevant error events</t>
  </si>
  <si>
    <t>BSW_SWS_AR4_0_R2_DIODriver-7732</t>
  </si>
  <si>
    <t>6.0-4.0-115.0-2</t>
  </si>
  <si>
    <t>BSW_SWS_AR4_0_R2_DIODriver-7734</t>
  </si>
  <si>
    <t>6.0-4.0-116.0-1</t>
  </si>
  <si>
    <t>[BSW00422] Debouncing of production relevant error status</t>
  </si>
  <si>
    <t>BSW_SWS_AR4_0_R2_DIODriver-7735</t>
  </si>
  <si>
    <t>6.0-4.0-116.0-2</t>
  </si>
  <si>
    <t>BSW_SWS_AR4_0_R2_DIODriver-7737</t>
  </si>
  <si>
    <t>6.0-4.0-117.0-1</t>
  </si>
  <si>
    <t>[BSW00423] Usage of SW-C template to describe BSW modules with AUTOSAR Interfaces</t>
  </si>
  <si>
    <t>BSW_SWS_AR4_0_R2_DIODriver-7738</t>
  </si>
  <si>
    <t>6.0-4.0-117.0-2</t>
  </si>
  <si>
    <t>Not applicable
(GPT driver has no Autosar Interface)</t>
  </si>
  <si>
    <t>BSW_SWS_AR4_0_R2_DIODriver-7740</t>
  </si>
  <si>
    <t>6.0-4.0-118.0-1</t>
  </si>
  <si>
    <t>[BSW00424] BSW main processing function task allocation</t>
  </si>
  <si>
    <t>BSW_SWS_AR4_0_R2_DIODriver-7741</t>
  </si>
  <si>
    <t>6.0-4.0-118.0-2</t>
  </si>
  <si>
    <t>BSW_SWS_AR4_0_R2_DIODriver-7743</t>
  </si>
  <si>
    <t>6.0-4.0-119.0-1</t>
  </si>
  <si>
    <t>[BSW00425] Trigger conditions for schedulable objects</t>
  </si>
  <si>
    <t>BSW_SWS_AR4_0_R2_DIODriver-7744</t>
  </si>
  <si>
    <t>6.0-4.0-119.0-2</t>
  </si>
  <si>
    <t>Not applicable
(requirement for the implementer)</t>
  </si>
  <si>
    <t>BSW_SWS_AR4_0_R2_DIODriver-7746</t>
  </si>
  <si>
    <t>6.0-4.0-120.0-1</t>
  </si>
  <si>
    <t>[BSW00426] Exclusive areas in BSW modules</t>
  </si>
  <si>
    <t>BSW_SWS_AR4_0_R2_DIODriver-7747</t>
  </si>
  <si>
    <t>6.0-4.0-120.0-2</t>
  </si>
  <si>
    <t>Not applicable
(applies only for the module description template)</t>
  </si>
  <si>
    <t>BSW_SWS_AR4_0_R2_DIODriver-7749</t>
  </si>
  <si>
    <t>6.0-4.0-121.0-1</t>
  </si>
  <si>
    <t>[BSW00427] ISR description for BSW modules</t>
  </si>
  <si>
    <t>BSW_SWS_AR4_0_R2_DIODriver-7750</t>
  </si>
  <si>
    <t>6.0-4.0-121.0-2</t>
  </si>
  <si>
    <t>BSW_SWS_AR4_0_R2_DIODriver-7752</t>
  </si>
  <si>
    <t>6.0-4.0-122.0-1</t>
  </si>
  <si>
    <t>[BSW00428] Execution order dependencies of main processing functions</t>
  </si>
  <si>
    <t>BSW_SWS_AR4_0_R2_DIODriver-7753</t>
  </si>
  <si>
    <t>6.0-4.0-122.0-2</t>
  </si>
  <si>
    <t>BSW_SWS_AR4_0_R2_DIODriver-7755</t>
  </si>
  <si>
    <t>6.0-4.0-123.0-1</t>
  </si>
  <si>
    <t>[BSW00429] Restricted BSW OS functionality access</t>
  </si>
  <si>
    <t>BSW_SWS_AR4_0_R2_DIODriver-7756</t>
  </si>
  <si>
    <t>6.0-4.0-123.0-2</t>
  </si>
  <si>
    <t>BSW_SWS_AR4_0_R2_DIODriver-7758</t>
  </si>
  <si>
    <t>6.0-4.0-124.0-1</t>
  </si>
  <si>
    <t>[BSW00431] The BSW Scheduler module implements task bodies</t>
  </si>
  <si>
    <t>BSW_SWS_AR4_0_R2_DIODriver-7759</t>
  </si>
  <si>
    <t>6.0-4.0-124.0-2</t>
  </si>
  <si>
    <t>Not applicable
(no scheduling functionality in the DIO module</t>
  </si>
  <si>
    <t>BSW_SWS_AR4_0_R2_DIODriver-7761</t>
  </si>
  <si>
    <t>6.0-4.0-125.0-1</t>
  </si>
  <si>
    <t>[BSW00432] Modules should have separate main processing functions for read/receive and write/transmit data path</t>
  </si>
  <si>
    <t>BSW_SWS_AR4_0_R2_DIODriver-7762</t>
  </si>
  <si>
    <t>6.0-4.0-125.0-2</t>
  </si>
  <si>
    <t>BSW_SWS_AR4_0_R2_DIODriver-7764</t>
  </si>
  <si>
    <t>6.0-4.0-126.0-1</t>
  </si>
  <si>
    <t>[BSW00433] The Schedule Module shall provide an API for exclusive areas</t>
  </si>
  <si>
    <t>BSW_SWS_AR4_0_R2_DIODriver-7765</t>
  </si>
  <si>
    <t>6.0-4.0-126.0-2</t>
  </si>
  <si>
    <t>BSW_SWS_AR4_0_R2_DIODriver-7767</t>
  </si>
  <si>
    <t>6.0-4.0-127.0-1</t>
  </si>
  <si>
    <t>[BSW00434] The Schedule Module shall provide an API for exclusive areas</t>
  </si>
  <si>
    <t>BSW_SWS_AR4_0_R2_DIODriver-7768</t>
  </si>
  <si>
    <t>6.0-4.0-127.0-2</t>
  </si>
  <si>
    <t>BSW_SWS_AR4_0_R2_DIODriver-7770</t>
  </si>
  <si>
    <t>6.0-4.0-128.0-1</t>
  </si>
  <si>
    <t>[BSW00435] Module Header File Structure for the Basic Software Scheduler</t>
  </si>
  <si>
    <t>BSW_SWS_AR4_0_R2_DIODriver-7771</t>
  </si>
  <si>
    <t>6.0-4.0-128.0-2</t>
  </si>
  <si>
    <t>BSW_SWS_AR4_0_R2_DIODriver-7773</t>
  </si>
  <si>
    <t>6.0-4.0-129.0-1</t>
  </si>
  <si>
    <t>[BSW00436] Module Header File Structure for the Memory Mapping</t>
  </si>
  <si>
    <t>BSW_SWS_AR4_0_R2_DIODriver-7774</t>
  </si>
  <si>
    <t>6.0-4.0-129.0-2</t>
  </si>
  <si>
    <t>BSW_SWS_AR4_0_R2_DIODriver-7775</t>
  </si>
  <si>
    <t>6.0-5</t>
  </si>
  <si>
    <r>
      <t xml:space="preserve">Document: AUTOSAR Requirements on Basic Software, Module SPAL, general </t>
    </r>
    <r>
      <rPr>
        <u/>
        <sz val="10"/>
        <color theme="1"/>
        <rFont val="Arial"/>
        <family val="2"/>
      </rPr>
      <t>[3]</t>
    </r>
  </si>
  <si>
    <t>BSW_SWS_AR4_0_R2_DIODriver-7778</t>
  </si>
  <si>
    <t>6.0-6.0-1.0-1</t>
  </si>
  <si>
    <t>BSW_SWS_AR4_0_R2_DIODriver-7779</t>
  </si>
  <si>
    <t>6.0-6.0-1.0-2</t>
  </si>
  <si>
    <t>BSW_SWS_AR4_0_R2_DIODriver-7781</t>
  </si>
  <si>
    <t>6.0-6.0-2.0-1</t>
  </si>
  <si>
    <t>[BSW157] Notification mechanisms of drivers and handlers</t>
  </si>
  <si>
    <t>BSW_SWS_AR4_0_R2_DIODriver-7782</t>
  </si>
  <si>
    <t>6.0-6.0-2.0-2</t>
  </si>
  <si>
    <t>Not applicable
(DIO does not provide any notification mechanism)</t>
  </si>
  <si>
    <t>BSW_SWS_AR4_0_R2_DIODriver-7784</t>
  </si>
  <si>
    <t>6.0-6.0-3.0-1</t>
  </si>
  <si>
    <t>[BSW12056] Configuration of notification mechanism</t>
  </si>
  <si>
    <t>BSW_SWS_AR4_0_R2_DIODriver-7785</t>
  </si>
  <si>
    <t>6.0-6.0-3.0-2</t>
  </si>
  <si>
    <t>Dio has no callbacks</t>
  </si>
  <si>
    <t>BSW_SWS_AR4_0_R2_DIODriver-7787</t>
  </si>
  <si>
    <t>6.0-6.0-4.0-1</t>
  </si>
  <si>
    <t>[BSW12057] Driver module initialization</t>
  </si>
  <si>
    <t>BSW_SWS_AR4_0_R2_DIODriver-7788</t>
  </si>
  <si>
    <t>6.0-6.0-4.0-2</t>
  </si>
  <si>
    <t>DIO001, DIO002, DIO166</t>
  </si>
  <si>
    <t>BSW_SWS_AR4_0_R2_DIODriver-7790</t>
  </si>
  <si>
    <t>6.0-6.0-5.0-1</t>
  </si>
  <si>
    <t>[BSW12063] Raw value mode</t>
  </si>
  <si>
    <t>BSW_SWS_AR4_0_R2_DIODriver-7791</t>
  </si>
  <si>
    <t>6.0-6.0-5.0-2</t>
  </si>
  <si>
    <t>Not applicable
(DIO only provides digital values)</t>
  </si>
  <si>
    <t>BSW_SWS_AR4_0_R2_DIODriver-7793</t>
  </si>
  <si>
    <t>6.0-6.0-6.0-1</t>
  </si>
  <si>
    <t>[BSW12064] Change of operation mode during running operation</t>
  </si>
  <si>
    <t>BSW_SWS_AR4_0_R2_DIODriver-7794</t>
  </si>
  <si>
    <t>6.0-6.0-6.0-2</t>
  </si>
  <si>
    <t>BSW_SWS_AR4_0_R2_DIODriver-7796</t>
  </si>
  <si>
    <t>6.0-6.0-7.0-1</t>
  </si>
  <si>
    <t>[BSW12067] Setting of wake-up conditions</t>
  </si>
  <si>
    <t>BSW_SWS_AR4_0_R2_DIODriver-7797</t>
  </si>
  <si>
    <t>6.0-6.0-7.0-2</t>
  </si>
  <si>
    <t>Not applicable
(DIO does not provide any wake-up capability)</t>
  </si>
  <si>
    <t>BSW_SWS_AR4_0_R2_DIODriver-7799</t>
  </si>
  <si>
    <t>6.0-6.0-8.0-1</t>
  </si>
  <si>
    <t>[BSW12068] MCAL initialization sequence</t>
  </si>
  <si>
    <t>BSW_SWS_AR4_0_R2_DIODriver-7800</t>
  </si>
  <si>
    <t>6.0-6.0-8.0-2</t>
  </si>
  <si>
    <t>Not applicable
(DIO does not need any initialization sequence)</t>
  </si>
  <si>
    <t>BSW_SWS_AR4_0_R2_DIODriver-7802</t>
  </si>
  <si>
    <t>6.0-6.0-9.0-1</t>
  </si>
  <si>
    <t>[BSW12069] Wake-up notification of ECU State Manager</t>
  </si>
  <si>
    <t>BSW_SWS_AR4_0_R2_DIODriver-7803</t>
  </si>
  <si>
    <t>6.0-6.0-9.0-2</t>
  </si>
  <si>
    <t>BSW_SWS_AR4_0_R2_DIODriver-7805</t>
  </si>
  <si>
    <t>6.0-6.0-10.0-1</t>
  </si>
  <si>
    <t>[BSW12075] Use of application buffers</t>
  </si>
  <si>
    <t>BSW_SWS_AR4_0_R2_DIODriver-7806</t>
  </si>
  <si>
    <t>6.0-6.0-10.0-2</t>
  </si>
  <si>
    <t>Not applicable
(DIO is no memory driver)</t>
  </si>
  <si>
    <t>BSW_SWS_AR4_0_R2_DIODriver-7808</t>
  </si>
  <si>
    <t>6.0-6.0-11.0-1</t>
  </si>
  <si>
    <t>[BSW12077] Non-blocking implementation</t>
  </si>
  <si>
    <t>BSW_SWS_AR4_0_R2_DIODriver-7809</t>
  </si>
  <si>
    <t>6.0-6.0-11.0-2</t>
  </si>
  <si>
    <t>BSW_SWS_AR4_0_R2_DIODriver-7811</t>
  </si>
  <si>
    <t>6.0-6.0-12.0-1</t>
  </si>
  <si>
    <t>[BSW12078] Runtime and memory efficiency</t>
  </si>
  <si>
    <t>BSW_SWS_AR4_0_R2_DIODriver-7812</t>
  </si>
  <si>
    <t>6.0-6.0-12.0-2</t>
  </si>
  <si>
    <t>BSW_SWS_AR4_0_R2_DIODriver-7814</t>
  </si>
  <si>
    <t>6.0-6.0-13.0-1</t>
  </si>
  <si>
    <t>[BSW12092] Access to drivers</t>
  </si>
  <si>
    <t>BSW_SWS_AR4_0_R2_DIODriver-7815</t>
  </si>
  <si>
    <t>6.0-6.0-13.0-2</t>
  </si>
  <si>
    <t>BSW_SWS_AR4_0_R2_DIODriver-7817</t>
  </si>
  <si>
    <t>6.0-6.0-14.0-1</t>
  </si>
  <si>
    <t>[BSW12125] Initialization of hardware resources</t>
  </si>
  <si>
    <t>BSW_SWS_AR4_0_R2_DIODriver-7818</t>
  </si>
  <si>
    <t>6.0-6.0-14.0-2</t>
  </si>
  <si>
    <t>BSW_SWS_AR4_0_R2_DIODriver-7820</t>
  </si>
  <si>
    <t>6.0-6.0-15.0-1</t>
  </si>
  <si>
    <t>[BSW12129] Resetting of interrupt flags</t>
  </si>
  <si>
    <t>BSW_SWS_AR4_0_R2_DIODriver-7821</t>
  </si>
  <si>
    <t>6.0-6.0-15.0-2</t>
  </si>
  <si>
    <t>Not applicable
(DIO does not provide any interrupt functionality)</t>
  </si>
  <si>
    <t>BSW_SWS_AR4_0_R2_DIODriver-7823</t>
  </si>
  <si>
    <t>6.0-6.0-16.0-1</t>
  </si>
  <si>
    <t>[BSW12163] Driver module deinitialization</t>
  </si>
  <si>
    <t>BSW_SWS_AR4_0_R2_DIODriver-7824</t>
  </si>
  <si>
    <t>6.0-6.0-16.0-2</t>
  </si>
  <si>
    <t>BSW_SWS_AR4_0_R2_DIODriver-7826</t>
  </si>
  <si>
    <t>6.0-6.0-17.0-1</t>
  </si>
  <si>
    <t>[BSW12169] Control of operation mode</t>
  </si>
  <si>
    <t>BSW_SWS_AR4_0_R2_DIODriver-7827</t>
  </si>
  <si>
    <t>6.0-6.0-17.0-2</t>
  </si>
  <si>
    <t>Not applicable
(DIO does not provide different operation modes)</t>
  </si>
  <si>
    <t>BSW_SWS_AR4_0_R2_DIODriver-7829</t>
  </si>
  <si>
    <t>6.0-6.0-18.0-1</t>
  </si>
  <si>
    <t>[BSW12263] Object code compatible configuration concept</t>
  </si>
  <si>
    <t>BSW_SWS_AR4_0_R2_DIODriver-7830</t>
  </si>
  <si>
    <t>6.0-6.0-18.0-2</t>
  </si>
  <si>
    <t>DIO017, DIO020, DIO022</t>
  </si>
  <si>
    <t>BSW_SWS_AR4_0_R2_DIODriver-7832</t>
  </si>
  <si>
    <t>6.0-6.0-19.0-1</t>
  </si>
  <si>
    <t>[BSW12264] Specification of configuration items</t>
  </si>
  <si>
    <t>BSW_SWS_AR4_0_R2_DIODriver-7833</t>
  </si>
  <si>
    <t>6.0-6.0-19.0-2</t>
  </si>
  <si>
    <t>BSW_SWS_AR4_0_R2_DIODriver-7835</t>
  </si>
  <si>
    <t>6.0-6.0-20.0-1</t>
  </si>
  <si>
    <t>[BSW12265] Configuration data shall be kept constant</t>
  </si>
  <si>
    <t>BSW_SWS_AR4_0_R2_DIODriver-7836</t>
  </si>
  <si>
    <t>6.0-6.0-20.0-2</t>
  </si>
  <si>
    <t>BSW_SWS_AR4_0_R2_DIODriver-7838</t>
  </si>
  <si>
    <t>6.0-6.0-21.0-1</t>
  </si>
  <si>
    <t>[BSW12267] Configuration of wakeup sources</t>
  </si>
  <si>
    <t>BSW_SWS_AR4_0_R2_DIODriver-7839</t>
  </si>
  <si>
    <t>6.0-6.0-21.0-2</t>
  </si>
  <si>
    <t>BSW_SWS_AR4_0_R2_DIODriver-7841</t>
  </si>
  <si>
    <t>6.0-6.0-22.0-1</t>
  </si>
  <si>
    <t>[BSW12448] Behaviour after development error detection</t>
  </si>
  <si>
    <t>BSW_SWS_AR4_0_R2_DIODriver-7842</t>
  </si>
  <si>
    <t>6.0-6.0-22.0-2</t>
  </si>
  <si>
    <t>DIO074, DIO075,DIO080, DIO081 DIO114, DIO118, DIO119</t>
  </si>
  <si>
    <t>BSW_SWS_AR4_0_R2_DIODriver-7844</t>
  </si>
  <si>
    <t>6.0-6.0-23.0-1</t>
  </si>
  <si>
    <t>[BSW12461] Responsibility for register initialization</t>
  </si>
  <si>
    <t>BSW_SWS_AR4_0_R2_DIODriver-7845</t>
  </si>
  <si>
    <t>6.0-6.0-23.0-2</t>
  </si>
  <si>
    <t>BSW_SWS_AR4_0_R2_DIODriver-7847</t>
  </si>
  <si>
    <t>6.0-6.0-24.0-1</t>
  </si>
  <si>
    <t>[BSW12462] General initialization of overall registers</t>
  </si>
  <si>
    <t>BSW_SWS_AR4_0_R2_DIODriver-7848</t>
  </si>
  <si>
    <t>6.0-6.0-24.0-2</t>
  </si>
  <si>
    <t>BSW_SWS_AR4_0_R2_DIODriver-7850</t>
  </si>
  <si>
    <t>6.0-6.0-25.0-1</t>
  </si>
  <si>
    <t>[BSW12463] Combine and forward settings for register initialization</t>
  </si>
  <si>
    <t>BSW_SWS_AR4_0_R2_DIODriver-7851</t>
  </si>
  <si>
    <t>6.0-6.0-25.0-2</t>
  </si>
  <si>
    <t>BSW_SWS_AR4_0_R2_DIODriver-7852</t>
  </si>
  <si>
    <t>6.0-7</t>
  </si>
  <si>
    <r>
      <t xml:space="preserve">Document: AUTOSAR Requirements on Basic Software, Module SPAL, DIO Driver </t>
    </r>
    <r>
      <rPr>
        <u/>
        <sz val="10"/>
        <color theme="1"/>
        <rFont val="Arial"/>
        <family val="2"/>
      </rPr>
      <t>[3]</t>
    </r>
  </si>
  <si>
    <t>BSW_SWS_AR4_0_R2_DIODriver-7855</t>
  </si>
  <si>
    <t>6.0-8.0-1.0-1</t>
  </si>
  <si>
    <t>BSW_SWS_AR4_0_R2_DIODriver-7856</t>
  </si>
  <si>
    <t>6.0-8.0-1.0-2</t>
  </si>
  <si>
    <t>BSW_SWS_AR4_0_R2_DIODriver-7858</t>
  </si>
  <si>
    <t>6.0-8.0-2.0-1</t>
  </si>
  <si>
    <t>[BSW12003] DIO port write service</t>
  </si>
  <si>
    <t>BSW_SWS_AR4_0_R2_DIODriver-7859</t>
  </si>
  <si>
    <t>6.0-8.0-2.0-2</t>
  </si>
  <si>
    <t>DIO051, DIO055DIO089, DIO057DIO004, DIO007, DIO034, DIO035</t>
  </si>
  <si>
    <t>BSW_SWS_AR4_0_R2_DIODriver-7861</t>
  </si>
  <si>
    <t>6.0-8.0-3.0-1</t>
  </si>
  <si>
    <t>[BSW12004] DIO channel group write service</t>
  </si>
  <si>
    <t>BSW_SWS_AR4_0_R2_DIODriver-7862</t>
  </si>
  <si>
    <t>6.0-8.0-3.0-2</t>
  </si>
  <si>
    <t>DIO050DIO051, DIO055DIO089, DIO056, DIO057DIO008, DIO039, DIO040, DIO090, DIO091</t>
  </si>
  <si>
    <t>BSW_SWS_AR4_0_R2_DIODriver-7864</t>
  </si>
  <si>
    <t>6.0-8.0-4.0-1</t>
  </si>
  <si>
    <t>[BSW12005] DIO channel write service</t>
  </si>
  <si>
    <t>BSW_SWS_AR4_0_R2_DIODriver-7865</t>
  </si>
  <si>
    <t>6.0-8.0-4.0-2</t>
  </si>
  <si>
    <t>DIO050DIO051, DIO055DIO089, DIO127, DIO128, DIO057 DIO006, DIO028, DIO029, DIO079</t>
  </si>
  <si>
    <t>BSW_SWS_AR4_0_R2_DIODriver-7867</t>
  </si>
  <si>
    <t>6.0-8.0-5.0-1</t>
  </si>
  <si>
    <t>[BSW12006] DIO port read service</t>
  </si>
  <si>
    <t>BSW_SWS_AR4_0_R2_DIODriver-7868</t>
  </si>
  <si>
    <t>6.0-8.0-5.0-2</t>
  </si>
  <si>
    <t>DIO050DIO051, DIO055DIO089, DIO057DIO013, DIO031</t>
  </si>
  <si>
    <t>BSW_SWS_AR4_0_R2_DIODriver-7870</t>
  </si>
  <si>
    <t>6.0-8.0-6.0-1</t>
  </si>
  <si>
    <t>[BSW12007] DIO channel group read service</t>
  </si>
  <si>
    <t>BSW_SWS_AR4_0_R2_DIODriver-7871</t>
  </si>
  <si>
    <t>6.0-8.0-6.0-2</t>
  </si>
  <si>
    <t>DIO050DIO051, DIO055DIO089, DIO056, DIO057DIO058DIO014, DIO037, DIO092, DIO093</t>
  </si>
  <si>
    <t>BSW_SWS_AR4_0_R2_DIODriver-7873</t>
  </si>
  <si>
    <t>6.0-8.0-7.0-1</t>
  </si>
  <si>
    <t>[BSW12008] DIO channel read service</t>
  </si>
  <si>
    <t>BSW_SWS_AR4_0_R2_DIODriver-7874</t>
  </si>
  <si>
    <t>6.0-8.0-7.0-2</t>
  </si>
  <si>
    <t>DIO050DIO051, DIO055DIO089, DIO127, DIO128, DIO011, DIO027</t>
  </si>
  <si>
    <t>BSW_SWS_AR4_0_R2_DIODriver-7876</t>
  </si>
  <si>
    <t>6.0-8.0-8.0-1</t>
  </si>
  <si>
    <t>[BSW12352] General read/write behavior</t>
  </si>
  <si>
    <t>BSW_SWS_AR4_0_R2_DIODriver-7877</t>
  </si>
  <si>
    <t>6.0-8.0-8.0-2</t>
  </si>
  <si>
    <t>DIO064, DIO070, DIO012, DIO083, DIO084</t>
  </si>
  <si>
    <t>BSW_SWS_AR4_0_R2_DIODriver-7879</t>
  </si>
  <si>
    <t>6.0-8.0-9.0-1</t>
  </si>
  <si>
    <t>[BSW12355] Configuration of symbolic names</t>
  </si>
  <si>
    <t>BSW_SWS_AR4_0_R2_DIODriver-7880</t>
  </si>
  <si>
    <t>6.0-8.0-9.0-2</t>
  </si>
  <si>
    <t>DIO026, DIO017, DIO020,
DIO022, DIO113</t>
  </si>
  <si>
    <t>BSW_SWS_AR4_0_R2_DIODriver-7882</t>
  </si>
  <si>
    <t>6.0-8.0-10.0-1</t>
  </si>
  <si>
    <t>[BSW12424] Provide atomicity of DIO access</t>
  </si>
  <si>
    <t>BSW_SWS_AR4_0_R2_DIODriver-7883</t>
  </si>
  <si>
    <t>6.0-8.0-10.0-2</t>
  </si>
  <si>
    <t>DIO005</t>
  </si>
  <si>
    <t>BSW_SWS_AR4_0_R2_DIODriver-7884</t>
  </si>
  <si>
    <t xml:space="preserve">	Functional specification</t>
  </si>
  <si>
    <t>BSW_SWS_AR4_0_R2_DIODriver-7885</t>
  </si>
  <si>
    <t xml:space="preserve">	General Behaviour</t>
  </si>
  <si>
    <t>BSW_SWS_AR4_0_R2_DIODriver-7886</t>
  </si>
  <si>
    <t>7.1.1</t>
  </si>
  <si>
    <t xml:space="preserve">	Background &amp; Rationale</t>
  </si>
  <si>
    <t>BSW_SWS_AR4_0_R2_DIODriver-7887</t>
  </si>
  <si>
    <t>7.1.1.0-1</t>
  </si>
  <si>
    <t>The DIO Driver abstracts the access to the microcontroller's hardware pins. Furthermore, it allows the grouping of those pins.</t>
  </si>
  <si>
    <t>BSW_SWS_AR4_0_R2_DIODriver-7888</t>
  </si>
  <si>
    <t>7.1.2</t>
  </si>
  <si>
    <t xml:space="preserve">	Requirements</t>
  </si>
  <si>
    <t>BSW_SWS_AR4_0_R2_DIODriver-7889</t>
  </si>
  <si>
    <t>7.1.2.0-1</t>
  </si>
  <si>
    <t>The Dio SWS shall define functions allowing</t>
  </si>
  <si>
    <t>BSW_SWS_AR4_0_R2_DIODriver-7890</t>
  </si>
  <si>
    <t>7.1.2.0-2</t>
  </si>
  <si>
    <t>∙	Port-</t>
  </si>
  <si>
    <t>CSCRM00527505</t>
  </si>
  <si>
    <t>BSW_SWS_AR4_0_R2_DIODriver-7891</t>
  </si>
  <si>
    <t>7.1.2.0-3</t>
  </si>
  <si>
    <t>∙	Channel-</t>
  </si>
  <si>
    <t>BSW_SWS_AR4_0_R2_DIODriver-7892</t>
  </si>
  <si>
    <t>7.1.2.0-4</t>
  </si>
  <si>
    <t>∙	Channel-group -</t>
  </si>
  <si>
    <t>BSW_SWS_AR4_0_R2_DIODriver-7893</t>
  </si>
  <si>
    <t>7.1.2.0-5</t>
  </si>
  <si>
    <t>-based read and write access to the internal general purpose I/O ports.</t>
  </si>
  <si>
    <t>BSW_SWS_AR4_0_R2_DIODriver-7894</t>
  </si>
  <si>
    <t>FUNC_REQ</t>
  </si>
  <si>
    <t>7.1.2.0-6</t>
  </si>
  <si>
    <r>
      <t>DIO051:</t>
    </r>
    <r>
      <rPr>
        <b/>
        <sz val="10"/>
        <color theme="1"/>
        <rFont val="Arial"/>
        <family val="2"/>
      </rPr>
      <t xml:space="preserve"> </t>
    </r>
    <r>
      <rPr>
        <sz val="10"/>
        <color theme="1"/>
        <rFont val="Arial"/>
        <family val="2"/>
      </rPr>
      <t>The Dio module shall not buffer data when providing read and write services.</t>
    </r>
  </si>
  <si>
    <t>The module shall provided not support for buffer data when providing read and write services.
Risk: Low.</t>
  </si>
  <si>
    <t>Yes</t>
  </si>
  <si>
    <t xml:space="preserve">Check whether read or write service shall not have buffer data in the Dio module.
</t>
  </si>
  <si>
    <t>BSW_SWS_AR4_0_R2_DIODriver-7895</t>
  </si>
  <si>
    <t>7.1.2.0-7</t>
  </si>
  <si>
    <t>The Dio SWS shall define synchronous read/write services.</t>
  </si>
  <si>
    <t>The module shall provided support for the Dio SWS shall define synchronous read/write serivices.
Risk: Low.</t>
  </si>
  <si>
    <t xml:space="preserve">Check whether read or write services shall define in synchronous mode.
</t>
  </si>
  <si>
    <t>BSW_SWS_AR4_0_R2_DIODriver-7896</t>
  </si>
  <si>
    <t>7.1.2.0-8</t>
  </si>
  <si>
    <t xml:space="preserve">DIO005: The Dio module's read and write services shall ensure for all services, that the data is consistent (Interruptible read-modify-write sequences are not allowed). </t>
  </si>
  <si>
    <t>BSW_SWS_AR4_0_R2_DIODriver-7897</t>
  </si>
  <si>
    <t>7.1.2.0-9</t>
  </si>
  <si>
    <t>DIO089: Values used by the DIO Driver for the software level of channels are either STD_HIGH or STD_LOW.</t>
  </si>
  <si>
    <t>The module shall provide support for the value is the DIO Driver for the software level of channels are either STD_HIGH or STD_LOW.
Risk:Low.</t>
  </si>
  <si>
    <t xml:space="preserve">Check whether the DIO driver for the software level of channels are return STD_HIGH or STD_LOW as a values used.
</t>
  </si>
  <si>
    <t>BSW_SWS_AR4_0_R2_DIODriver-7898</t>
  </si>
  <si>
    <t>7.1.2.0-10</t>
  </si>
  <si>
    <t xml:space="preserve">DIO128:  A general-purpose digital IO pin represents a DIO channel. </t>
  </si>
  <si>
    <t>BSW_SWS_AR4_0_R2_DIODriver-7899</t>
  </si>
  <si>
    <t>7.1.2.0-11</t>
  </si>
  <si>
    <t xml:space="preserve">DIO127: The Port module shall configure a DIO channel as input or output [DIO001 and DIO002]. </t>
  </si>
  <si>
    <t>The module shall provide support for the port module shall configure a DIO channel as input or output.
The module shall provide support to configured a DIO channel as input or output in the port module.
Risk:Low.</t>
  </si>
  <si>
    <t xml:space="preserve">Check whether a DIO channel as input or output shall be confgure by the port module.
</t>
  </si>
  <si>
    <t>BSW_SWS_AR4_0_R2_DIODriver-7900</t>
  </si>
  <si>
    <t>7.1.2.0-12</t>
  </si>
  <si>
    <t>DIO053: In the DIO Driver, it shall be possible to group several DIO channels by hardware (typically controlled by one hardware register) to represent a DIO port.</t>
  </si>
  <si>
    <t>BSW_SWS_AR4_0_R2_DIODriver-7901</t>
  </si>
  <si>
    <t>7.1.2.0-13</t>
  </si>
  <si>
    <r>
      <t>Note:</t>
    </r>
    <r>
      <rPr>
        <sz val="10"/>
        <color theme="1"/>
        <rFont val="Arial"/>
        <family val="2"/>
      </rPr>
      <t xml:space="preserve"> The single DIO channel levels inside a DIO port represent a bit in the DIO port value, depending on their position inside the port.</t>
    </r>
  </si>
  <si>
    <t>BSW_SWS_AR4_0_R2_DIODriver-7902</t>
  </si>
  <si>
    <t>7.1.2.0-14</t>
  </si>
  <si>
    <t>DIO056: A channel group is a formal logical combination of several adjoining DIO channels within a DIO port.</t>
  </si>
  <si>
    <t>BSW_SWS_AR4_0_R2_DIODriver-7903</t>
  </si>
  <si>
    <t>7.1.2.0-15</t>
  </si>
  <si>
    <t>BSW_SWS_AR4_0_R2_DIODriver-7904</t>
  </si>
  <si>
    <t>7.1.2.0-16</t>
  </si>
  <si>
    <t>Figure 3: Schematic description of a ChannelGroup</t>
  </si>
  <si>
    <t>BSW_SWS_AR4_0_R2_DIODriver-7905</t>
  </si>
  <si>
    <t>7.1.2.0-17</t>
  </si>
  <si>
    <t>The DIO Driver provides the following services:</t>
  </si>
  <si>
    <t>BSW_SWS_AR4_0_R2_DIODriver-7906</t>
  </si>
  <si>
    <t>7.1.2.0-18</t>
  </si>
  <si>
    <t>▪	The Dio SWS shall define functions to modify the levels of output channels individually, for a port or for a channel group.</t>
  </si>
  <si>
    <t>BSW_SWS_AR4_0_R2_DIODriver-7907</t>
  </si>
  <si>
    <t>7.1.2.0-19</t>
  </si>
  <si>
    <t>▪	The Dio SWS shall define functions to read the level of input and output (see DIO083) channels individually, for a port or for a channel group.</t>
  </si>
  <si>
    <t>BSW_SWS_AR4_0_R2_DIODriver-7908</t>
  </si>
  <si>
    <t>7.1.2.0-20</t>
  </si>
  <si>
    <t>Figure 4: DIO Services</t>
  </si>
  <si>
    <t>BSW_SWS_AR4_0_R2_DIODriver-7909</t>
  </si>
  <si>
    <t>7.1.2.0-21</t>
  </si>
  <si>
    <r>
      <t>DIO060:</t>
    </r>
    <r>
      <rPr>
        <b/>
        <sz val="10"/>
        <color theme="1"/>
        <rFont val="Arial"/>
        <family val="2"/>
      </rPr>
      <t xml:space="preserve"> </t>
    </r>
    <r>
      <rPr>
        <sz val="10"/>
        <color theme="1"/>
        <rFont val="Arial"/>
        <family val="2"/>
      </rPr>
      <t>All read and write functions of the Dio module shall be re-entrant.</t>
    </r>
  </si>
  <si>
    <t>Legacy: Dio_ReadWriteFunction</t>
  </si>
  <si>
    <t>BSW_SWS_AR4_0_R2_DIODriver-7910</t>
  </si>
  <si>
    <t>7.1.2.0-22</t>
  </si>
  <si>
    <t>Reason: The DIO Driver may be accessed by different upper layer handlers or drivers. These upper layer modules may access the driver concurrently.</t>
  </si>
  <si>
    <t>BSW_SWS_AR4_0_R2_DIODriver-7911</t>
  </si>
  <si>
    <t>7.1.2.0-23</t>
  </si>
  <si>
    <t>DIO026: The configuration process for Dio module shall provide symbolic names for each configured DIO channel, port and group.</t>
  </si>
  <si>
    <t>BSW_SWS_AR4_0_R2_DIODriver-7912</t>
  </si>
  <si>
    <t>7.1.2.0-24</t>
  </si>
  <si>
    <t>DIO113: The Dio module shall publish the symbolic names which have been created during the configuration process in the file “Dio_Cfg.h”.</t>
  </si>
  <si>
    <t>BSW_SWS_AR4_0_R2_DIODriver-7913</t>
  </si>
  <si>
    <t>7.1.3</t>
  </si>
  <si>
    <t xml:space="preserve">	Version check</t>
  </si>
  <si>
    <t>BSW_SWS_AR4_0_R2_DIODriver-7914</t>
  </si>
  <si>
    <t>7.1.3.1</t>
  </si>
  <si>
    <t>BSW_SWS_AR4_0_R2_DIODriver-7915</t>
  </si>
  <si>
    <t>7.1.3.1.0-1</t>
  </si>
  <si>
    <t>The integration of incompatible files must be avoided. Minimum implementation is the version check of the header file inside the C file (version numbers of C and H file shall be identical)</t>
  </si>
  <si>
    <t>BSW_SWS_AR4_0_R2_DIODriver-7916</t>
  </si>
  <si>
    <t>7.1.3.2</t>
  </si>
  <si>
    <t>BSW_SWS_AR4_0_R2_DIODriver-7917</t>
  </si>
  <si>
    <t>7.1.3.2.0-1</t>
  </si>
  <si>
    <t>DIO106: The DIO module shall perform Inter Module Checks to avoid integration of incompatible files.</t>
  </si>
  <si>
    <t>BSW_SWS_AR4_0_R2_DIODriver-7918</t>
  </si>
  <si>
    <t>7.1.3.2.0-2</t>
  </si>
  <si>
    <t>The imported included files shall be checked by preprocessing directives.</t>
  </si>
  <si>
    <t>BSW_SWS_AR4_0_R2_DIODriver-7919</t>
  </si>
  <si>
    <t>7.1.3.2.0-3</t>
  </si>
  <si>
    <t>The following version numbers shall be verified:</t>
  </si>
  <si>
    <t>BSW_SWS_AR4_0_R2_DIODriver-7920</t>
  </si>
  <si>
    <t>7.1.3.2.0-4</t>
  </si>
  <si>
    <t>▪	&lt;MODULENAME&gt;_AR_RELEASE_MAJOR_VERSION</t>
  </si>
  <si>
    <t>BSW_SWS_AR4_0_R2_DIODriver-7921</t>
  </si>
  <si>
    <t>7.1.3.2.0-5</t>
  </si>
  <si>
    <t>▪	&lt;MODULENAME&gt;_AR_RELEASE_MINOR_VERSION</t>
  </si>
  <si>
    <t>BSW_SWS_AR4_0_R2_DIODriver-7922</t>
  </si>
  <si>
    <t>7.1.3.2.0-6</t>
  </si>
  <si>
    <t>Where &lt;MODULENAME&gt; is the module short name of the other (external) modules which provide header files included by DIO module.</t>
  </si>
  <si>
    <t>BSW_SWS_AR4_0_R2_DIODriver-7923</t>
  </si>
  <si>
    <t>7.1.3.2.0-7</t>
  </si>
  <si>
    <t>If the values are not identical to the expected values, an error shall be reported.</t>
  </si>
  <si>
    <t>BSW_SWS_AR4_0_R2_DIODriver-7924</t>
  </si>
  <si>
    <t xml:space="preserve">	Initialization</t>
  </si>
  <si>
    <t>BSW_SWS_AR4_0_R2_DIODriver-7925</t>
  </si>
  <si>
    <t>7.2.1</t>
  </si>
  <si>
    <t>BSW_SWS_AR4_0_R2_DIODriver-7926</t>
  </si>
  <si>
    <t>7.2.1.0-1</t>
  </si>
  <si>
    <t>Initialization of the hardware is done by the PORT Driver.</t>
  </si>
  <si>
    <t>BSW_SWS_AR4_0_R2_DIODriver-7927</t>
  </si>
  <si>
    <t>7.2.2</t>
  </si>
  <si>
    <t>BSW_SWS_AR4_0_R2_DIODriver-7928</t>
  </si>
  <si>
    <t>7.2.2.0-1</t>
  </si>
  <si>
    <t xml:space="preserve">DIO001: The Dio module shall not provide an interface for initialization of the hardware. The Port Driver performs this. </t>
  </si>
  <si>
    <t>BSW_SWS_AR4_0_R2_DIODriver-7929</t>
  </si>
  <si>
    <t xml:space="preserve">	Runtime reconfiguration</t>
  </si>
  <si>
    <t>BSW_SWS_AR4_0_R2_DIODriver-7930</t>
  </si>
  <si>
    <t>7.3.1</t>
  </si>
  <si>
    <t>BSW_SWS_AR4_0_R2_DIODriver-7931</t>
  </si>
  <si>
    <t>7.3.1.0-1</t>
  </si>
  <si>
    <t>Runtime reconfiguration is provided by the PORT Driver.</t>
  </si>
  <si>
    <t>BSW_SWS_AR4_0_R2_DIODriver-7932</t>
  </si>
  <si>
    <t>7.3.2</t>
  </si>
  <si>
    <t>BSW_SWS_AR4_0_R2_DIODriver-7933</t>
  </si>
  <si>
    <t>7.3.2.0-1</t>
  </si>
  <si>
    <t xml:space="preserve">DIO002: The PORT driver shall provide the reconfiguration of the port pin direction during runtime. </t>
  </si>
  <si>
    <t>BSW_SWS_AR4_0_R2_DIODriver-7934</t>
  </si>
  <si>
    <t xml:space="preserve">	DIO write service</t>
  </si>
  <si>
    <t>BSW_SWS_AR4_0_R2_DIODriver-7935</t>
  </si>
  <si>
    <t>7.4.1</t>
  </si>
  <si>
    <t>BSW_SWS_AR4_0_R2_DIODriver-7936</t>
  </si>
  <si>
    <t>7.4.1.0-1</t>
  </si>
  <si>
    <t>The DIO Driver provides services to transfer data to the microcontroller's pins</t>
  </si>
  <si>
    <t>BSW_SWS_AR4_0_R2_DIODriver-7937</t>
  </si>
  <si>
    <t>7.4.2</t>
  </si>
  <si>
    <t>BSW_SWS_AR4_0_R2_DIODriver-7938</t>
  </si>
  <si>
    <t>7.4.2.0-1</t>
  </si>
  <si>
    <t>DIO064: The Dio module's write functions shall work on input and output channels.</t>
  </si>
  <si>
    <t>The module shall provide support for the input and output channels shall be work in write functions. 
Risk: Low.</t>
  </si>
  <si>
    <t xml:space="preserve">Check whether the write function work on input and output channels in the Dio module.
</t>
  </si>
  <si>
    <t>BSW_SWS_AR4_0_R2_DIODriver-7939</t>
  </si>
  <si>
    <t>7.4.2.0-2</t>
  </si>
  <si>
    <t xml:space="preserve">DIO070: If a Dio write function is used on an input channel, it shall have no effect on the physical output level. </t>
  </si>
  <si>
    <t>A check shall be provide to check a write function on an input channel, and have no effect on the physical output level.
Risk: Low.</t>
  </si>
  <si>
    <t xml:space="preserve">Check through oscilloscope whether an input channel is used by a Dio write function, and shall have no effect on the physical output level.
Verified by Manual inspection.
</t>
  </si>
  <si>
    <t>BSW_SWS_AR4_0_R2_DIODriver-7940</t>
  </si>
  <si>
    <t>7.4.2.0-3</t>
  </si>
  <si>
    <t>DIO109: If supported by hardware, the Dio module shall set/clear the output data latch of an input channel so that the required level is output from the pin when the port driver configures the pin as a DIO output pin.</t>
  </si>
  <si>
    <t>The module shall support for set/clear the output data latch of an input channel so that the required level is output from the pin when the port driver configures the pin as a DIO output pin.
Risk:Low.</t>
  </si>
  <si>
    <t xml:space="preserve">Check whether the Dio module set/clear the output data latch of an input channel so that the requirement level is output from the pin when the port driver configures the pin as a DIO output pin, only if supported by hardware.
</t>
  </si>
  <si>
    <t>BSW_SWS_AR4_0_R2_DIODriver-7941</t>
  </si>
  <si>
    <t>7.4.2.0-4</t>
  </si>
  <si>
    <t>DIO119: If development errors are enabled and an error ocurred, the Dio module's write functions shall NOT process the write command.</t>
  </si>
  <si>
    <t xml:space="preserve">A check in API shall be provide to check an error ocurred if development errors are enaled, the Dio module's write functions shall NOT process the write command.
Risk:Low.
</t>
  </si>
  <si>
    <t xml:space="preserve">Check whether the DET errors report when the channel is invalid or the post build pointer not initialised.
</t>
  </si>
  <si>
    <t>BSW_SWS_AR4_0_R2_DIODriver-7942</t>
  </si>
  <si>
    <t>7.4.2.1</t>
  </si>
  <si>
    <t xml:space="preserve">	DIO channel write service</t>
  </si>
  <si>
    <t>BSW_SWS_AR4_0_R2_DIODriver-7943</t>
  </si>
  <si>
    <t>INTERFACE_REQ</t>
  </si>
  <si>
    <t>7.4.2.1.0-1</t>
  </si>
  <si>
    <r>
      <t>DIO006:</t>
    </r>
    <r>
      <rPr>
        <sz val="10"/>
        <color theme="1"/>
        <rFont val="Arial"/>
        <family val="2"/>
      </rPr>
      <t xml:space="preserve"> The Dio_WriteChannel function shall set the level of a single DIO channel to STD_HIGH or STD_LOW. </t>
    </r>
  </si>
  <si>
    <t>The module shall provide function to set the level of a single DIO channel to STD_HIGH or STD_LOW.
Risk:Low.</t>
  </si>
  <si>
    <t>Check whether the level of a single DIO channel is set to STD_HIGH or STD_LOW by the Dio_WriteChannel function.</t>
  </si>
  <si>
    <t>BSW_SWS_AR4_0_R2_DIODriver-7944</t>
  </si>
  <si>
    <t>7.4.2.2</t>
  </si>
  <si>
    <t xml:space="preserve">	DIO port write service</t>
  </si>
  <si>
    <t>BSW_SWS_AR4_0_R2_DIODriver-7945</t>
  </si>
  <si>
    <t>7.4.2.2.0-1</t>
  </si>
  <si>
    <r>
      <t>DIO007:</t>
    </r>
    <r>
      <rPr>
        <sz val="10"/>
        <color theme="1"/>
        <rFont val="Arial"/>
        <family val="2"/>
      </rPr>
      <t xml:space="preserve"> The Dio_WritePort function shall simultaneously set the levels of all output channels. A bit value '0' sets the corresponding channel to physical STD_LOW, a bit value '1' sets the corresponding channel to physical STD_HIGH. </t>
    </r>
  </si>
  <si>
    <t>The module shall provide support to set the levels of all output channels, at the simultaneously, by the Dio_WritePort function, and a bit value '0' sets the corresponding channel to physical STD_LOW, a bit value '1' sets the corresponding channel to physical STD_HIGH.
Risk:Low.</t>
  </si>
  <si>
    <t>DRAFT</t>
  </si>
  <si>
    <t>BSW_SWS_AR4_0_R2_DIODriver-7946</t>
  </si>
  <si>
    <t>7.4.2.2.0-2</t>
  </si>
  <si>
    <t xml:space="preserve">DIO004: The Dio_WritePort function shall ensure that the functionality of the input channels of that port is not affected. </t>
  </si>
  <si>
    <t>BSW_SWS_AR4_0_R2_DIODriver-7947</t>
  </si>
  <si>
    <t>7.4.2.3</t>
  </si>
  <si>
    <t xml:space="preserve">	DIO channel group write service</t>
  </si>
  <si>
    <t>BSW_SWS_AR4_0_R2_DIODriver-7948</t>
  </si>
  <si>
    <t>7.4.2.3.0-1</t>
  </si>
  <si>
    <r>
      <t>DIO008:</t>
    </r>
    <r>
      <rPr>
        <sz val="10"/>
        <color theme="1"/>
        <rFont val="Arial"/>
        <family val="2"/>
      </rPr>
      <t xml:space="preserve"> The Dio_WriteChannelGroup function shall simultaneously set an adjoining subset of DIO channels (channel group). A bit value '0' sets the corresponding channel to physical STD_LOW, a bit value '1' sets the corresponding channel to physical STD_HIGH. </t>
    </r>
  </si>
  <si>
    <t>The module shall provide support to set an adjoining subset of DIO channels (channel group) at simultaneously by Dio_WriteChannelGroup function, and a bit value '0' sets the corresponding channel to physical STD_LOW, a bit value '1' sets the corresponding channel to physical STD_HIGH.
Risk:Low.</t>
  </si>
  <si>
    <t>BSW_SWS_AR4_0_R2_DIODriver-7949</t>
  </si>
  <si>
    <t xml:space="preserve">	DIO Read Service</t>
  </si>
  <si>
    <t>BSW_SWS_AR4_0_R2_DIODriver-7950</t>
  </si>
  <si>
    <t>7.5.1</t>
  </si>
  <si>
    <t>BSW_SWS_AR4_0_R2_DIODriver-7951</t>
  </si>
  <si>
    <t>7.5.1.0-1</t>
  </si>
  <si>
    <t>The DIO Driver provides services to transfer data from the microcontroller's pins.</t>
  </si>
  <si>
    <t>BSW_SWS_AR4_0_R2_DIODriver-7952</t>
  </si>
  <si>
    <t>7.5.2</t>
  </si>
  <si>
    <t>BSW_SWS_AR4_0_R2_DIODriver-7953</t>
  </si>
  <si>
    <t>7.5.2.0-1</t>
  </si>
  <si>
    <t>DIO012: The Dio module's read functions shall work on input and output channels.</t>
  </si>
  <si>
    <t>The module shall provide to read functions work on input and output channels.
Risk:Low.</t>
  </si>
  <si>
    <t xml:space="preserve">Check whether read function work on input and output channel in the Dio module.
</t>
  </si>
  <si>
    <t>BSW_SWS_AR4_0_R2_DIODriver-7954</t>
  </si>
  <si>
    <t>7.5.2.0-2</t>
  </si>
  <si>
    <t>DIO118: If development errors are enabled and an error ocurred the Dio module's read functions shall return with the value '0'.</t>
  </si>
  <si>
    <t>The module shall provide support for an error ocurred and read functions shall return with the value '0', when development errors are enabled.
Risk:Low.</t>
  </si>
  <si>
    <t xml:space="preserve">Check whether the DET errors are report read function shall return with the value '0', when development errors are enabled.
 </t>
  </si>
  <si>
    <t>BSW_SWS_AR4_0_R2_DIODriver-7955</t>
  </si>
  <si>
    <t>7.5.2.1</t>
  </si>
  <si>
    <t xml:space="preserve">	DIO channel read Service</t>
  </si>
  <si>
    <t>BSW_SWS_AR4_0_R2_DIODriver-7956</t>
  </si>
  <si>
    <t>7.5.2.1.0-1</t>
  </si>
  <si>
    <r>
      <t>DIO011:</t>
    </r>
    <r>
      <rPr>
        <sz val="10"/>
        <color theme="1"/>
        <rFont val="Arial"/>
        <family val="2"/>
      </rPr>
      <t xml:space="preserve"> The Dio_ReadChannel function shall read the level of a single DIO channel. </t>
    </r>
  </si>
  <si>
    <t>The module shall provide the Dio_ReadChannel function shall read the level of a single DIO channel.
Risk:Low.</t>
  </si>
  <si>
    <t>Check whether the level of a single DIO channel shall be read by the Dio_ReadChannel function.</t>
  </si>
  <si>
    <t>BSW_SWS_AR4_0_R2_DIODriver-7957</t>
  </si>
  <si>
    <t>7.5.2.2</t>
  </si>
  <si>
    <t xml:space="preserve">	DIO port read service</t>
  </si>
  <si>
    <t>BSW_SWS_AR4_0_R2_DIODriver-7958</t>
  </si>
  <si>
    <t>7.5.2.2.0-1</t>
  </si>
  <si>
    <r>
      <t>DIO013:</t>
    </r>
    <r>
      <rPr>
        <sz val="10"/>
        <color theme="1"/>
        <rFont val="Arial"/>
        <family val="2"/>
      </rPr>
      <t xml:space="preserve"> The Dio_ReadPort function shall read the levels of all channels of one port. A bit value '0' indicates that the corresponding channel is physical STD_LOW, a bit value '1' indicates that the corresponding channel is physical STD_HIGH.</t>
    </r>
  </si>
  <si>
    <t>The level of all channels of one port shall be read by the Dio_ReadPort function, and a bit value '0' indicates that the corresponding channel is physical STD_LOW, a bit value '1' indicates that the corresponding channel is physical STD_HIGH.
Risk:Low.</t>
  </si>
  <si>
    <t>Check whether the levels of all channels of one port shall be read by the Dio_ReadPort function.</t>
  </si>
  <si>
    <t>BSW_SWS_AR4_0_R2_DIODriver-7959</t>
  </si>
  <si>
    <t>7.5.2.3</t>
  </si>
  <si>
    <t xml:space="preserve">	DIO channel group read service</t>
  </si>
  <si>
    <t>BSW_SWS_AR4_0_R2_DIODriver-7960</t>
  </si>
  <si>
    <t>7.5.2.3.0-1</t>
  </si>
  <si>
    <r>
      <t>DIO014:</t>
    </r>
    <r>
      <rPr>
        <sz val="10"/>
        <color theme="1"/>
        <rFont val="Arial"/>
        <family val="2"/>
      </rPr>
      <t xml:space="preserve"> The Dio_ReadChannelGroup function shall read the levels of a DIO channel group. A bit value '0' indicates that the corresponding channel is physical STD_LOW, a bit value '1' indicates that the corresponding channel is physical STD_HIGH.</t>
    </r>
  </si>
  <si>
    <t>BSW_SWS_AR4_0_R2_DIODriver-7961</t>
  </si>
  <si>
    <t>7.5.2.4</t>
  </si>
  <si>
    <t xml:space="preserve">	DIO readback of output pins </t>
  </si>
  <si>
    <t>BSW_SWS_AR4_0_R2_DIODriver-7962</t>
  </si>
  <si>
    <t>7.5.2.4.0-1</t>
  </si>
  <si>
    <t xml:space="preserve">DIO083: If the microcontroller supports the direct read-back of a pin value, the Dio module's read functions shall provide the real pin level, when they are used on a channel which is configured as an output channel. </t>
  </si>
  <si>
    <t>The module shall provide support for the read functions to provide the real pin level, if the microcontroller supports the direct read-back of a pin value.
Risk:Low.</t>
  </si>
  <si>
    <t>Check whether the real pin level shall be provided by the Dio module's read functions, if  the microcontroller supports the direct read-back of a pin value.</t>
  </si>
  <si>
    <t>BSW_SWS_AR4_0_R2_DIODriver-7963</t>
  </si>
  <si>
    <t>7.5.2.4.0-2</t>
  </si>
  <si>
    <t xml:space="preserve">DIO084: If the microcontroller does not support the direct read-back of a pin value, the Dio module's read functions shall provide the value of the output register, when they are used on a channel which is configured as an output channel. </t>
  </si>
  <si>
    <t xml:space="preserve">The module shall provide support for the read functions to provide the value of the output register, if the microcontroller does not support the direct read-back of a pin value.
Risk:Low.
</t>
  </si>
  <si>
    <t>Check whether the value of the output register shall be provided by the Dio module's read functions, if the microcontroller does not support the direct read-back of a pin value.</t>
  </si>
  <si>
    <t>BSW_SWS_AR4_0_R2_DIODriver-7964</t>
  </si>
  <si>
    <t xml:space="preserve">	Error classification</t>
  </si>
  <si>
    <t>BSW_SWS_AR4_0_R2_DIODriver-7965</t>
  </si>
  <si>
    <t>7.6.0-1</t>
  </si>
  <si>
    <t xml:space="preserve">DIO067: The Dio module shall report production errors to the Diagnostic Event Manager. </t>
  </si>
  <si>
    <t>BSW_SWS_AR4_0_R2_DIODriver-7966</t>
  </si>
  <si>
    <t>7.6.0-2</t>
  </si>
  <si>
    <t xml:space="preserve">DIO065: The Dio module shall detect the following errors and exceptions depending on its build version (development/production mode). </t>
  </si>
  <si>
    <t>Legacy: Dio_GetVersionInfo, Dio_Init_Null, Dio_ReadWriteFunction</t>
  </si>
  <si>
    <t>BSW_SWS_AR4_0_R2_DIODriver-7969</t>
  </si>
  <si>
    <t>7.6.0-3.0-1.0-1</t>
  </si>
  <si>
    <t>Type of error</t>
  </si>
  <si>
    <t>READY FOR REVIEW</t>
  </si>
  <si>
    <t>BSW_SWS_AR4_0_R2_DIODriver-7970</t>
  </si>
  <si>
    <t>7.6.0-3.0-1.0-2</t>
  </si>
  <si>
    <t>Relevance</t>
  </si>
  <si>
    <t>BSW_SWS_AR4_0_R2_DIODriver-7971</t>
  </si>
  <si>
    <t>7.6.0-3.0-1.0-3</t>
  </si>
  <si>
    <t>Related error code</t>
  </si>
  <si>
    <t>BSW_SWS_AR4_0_R2_DIODriver-7972</t>
  </si>
  <si>
    <t>7.6.0-3.0-1.0-4</t>
  </si>
  <si>
    <r>
      <t>Value</t>
    </r>
    <r>
      <rPr>
        <sz val="10"/>
        <color theme="1"/>
        <rFont val="Arial"/>
        <family val="2"/>
      </rPr>
      <t xml:space="preserve">
</t>
    </r>
    <r>
      <rPr>
        <b/>
        <i/>
        <sz val="10"/>
        <color theme="1"/>
        <rFont val="Arial"/>
        <family val="2"/>
      </rPr>
      <t>[hex]</t>
    </r>
  </si>
  <si>
    <t>BSW_SWS_AR4_0_R2_DIODriver-7974</t>
  </si>
  <si>
    <t>7.6.0-3.0-2.0-1</t>
  </si>
  <si>
    <r>
      <t>DIO175:</t>
    </r>
    <r>
      <rPr>
        <sz val="10"/>
        <color theme="1"/>
        <rFont val="Arial"/>
        <family val="2"/>
      </rPr>
      <t xml:space="preserve"> Invalid channel name requested</t>
    </r>
  </si>
  <si>
    <t>BSW_SWS_AR4_0_R2_DIODriver-7975</t>
  </si>
  <si>
    <t>7.6.0-3.0-2.0-2</t>
  </si>
  <si>
    <t>Development</t>
  </si>
  <si>
    <t>BSW_SWS_AR4_0_R2_DIODriver-7976</t>
  </si>
  <si>
    <t>7.6.0-3.0-2.0-3</t>
  </si>
  <si>
    <t>DIO_E_PARAM_INVALID_CHANNEL_ID</t>
  </si>
  <si>
    <t>BSW_SWS_AR4_0_R2_DIODriver-7977</t>
  </si>
  <si>
    <t>7.6.0-3.0-2.0-4</t>
  </si>
  <si>
    <t>0x0A</t>
  </si>
  <si>
    <t>BSW_SWS_AR4_0_R2_DIODriver-7979</t>
  </si>
  <si>
    <t>7.6.0-3.0-3.0-1</t>
  </si>
  <si>
    <r>
      <t>DIO176:</t>
    </r>
    <r>
      <rPr>
        <sz val="10"/>
        <color theme="1"/>
        <rFont val="Arial"/>
        <family val="2"/>
      </rPr>
      <t xml:space="preserve"> API service called with “NULL pointer” parameter</t>
    </r>
  </si>
  <si>
    <t>BSW_SWS_AR4_0_R2_DIODriver-7980</t>
  </si>
  <si>
    <t>7.6.0-3.0-3.0-2</t>
  </si>
  <si>
    <t>BSW_SWS_AR4_0_R2_DIODriver-7981</t>
  </si>
  <si>
    <t>7.6.0-3.0-3.0-3</t>
  </si>
  <si>
    <t>DIO_E_PARAM_CONFIG</t>
  </si>
  <si>
    <t>BSW_SWS_AR4_0_R2_DIODriver-7982</t>
  </si>
  <si>
    <t>7.6.0-3.0-3.0-4</t>
  </si>
  <si>
    <t>0x10</t>
  </si>
  <si>
    <t>BSW_SWS_AR4_0_R2_DIODriver-7984</t>
  </si>
  <si>
    <t>7.6.0-3.0-4.0-1</t>
  </si>
  <si>
    <r>
      <t>DIO177:</t>
    </r>
    <r>
      <rPr>
        <sz val="10"/>
        <color theme="1"/>
        <rFont val="Arial"/>
        <family val="2"/>
      </rPr>
      <t xml:space="preserve"> Invalid port name requested</t>
    </r>
  </si>
  <si>
    <t>BSW_SWS_AR4_0_R2_DIODriver-7985</t>
  </si>
  <si>
    <t>7.6.0-3.0-4.0-2</t>
  </si>
  <si>
    <t>BSW_SWS_AR4_0_R2_DIODriver-7986</t>
  </si>
  <si>
    <t>7.6.0-3.0-4.0-3</t>
  </si>
  <si>
    <t>DIO_E_PARAM_INVALID_PORT_ID</t>
  </si>
  <si>
    <t>BSW_SWS_AR4_0_R2_DIODriver-7987</t>
  </si>
  <si>
    <t>7.6.0-3.0-4.0-4</t>
  </si>
  <si>
    <t>0x14</t>
  </si>
  <si>
    <t>BSW_SWS_AR4_0_R2_DIODriver-7989</t>
  </si>
  <si>
    <t>7.6.0-3.0-5.0-1</t>
  </si>
  <si>
    <r>
      <t>DIO178:</t>
    </r>
    <r>
      <rPr>
        <sz val="10"/>
        <color theme="1"/>
        <rFont val="Arial"/>
        <family val="2"/>
      </rPr>
      <t xml:space="preserve"> Invalid ChannelGroup  passed</t>
    </r>
  </si>
  <si>
    <t>BSW_SWS_AR4_0_R2_DIODriver-7990</t>
  </si>
  <si>
    <t>7.6.0-3.0-5.0-2</t>
  </si>
  <si>
    <t>BSW_SWS_AR4_0_R2_DIODriver-7991</t>
  </si>
  <si>
    <t>7.6.0-3.0-5.0-3</t>
  </si>
  <si>
    <t>DIO_E_PARAM_INVALID_GROUP</t>
  </si>
  <si>
    <t>BSW_SWS_AR4_0_R2_DIODriver-7992</t>
  </si>
  <si>
    <t>7.6.0-3.0-5.0-4</t>
  </si>
  <si>
    <t>0x1F</t>
  </si>
  <si>
    <t>BSW_SWS_AR4_0_R2_DIODriver-7994</t>
  </si>
  <si>
    <t>7.6.0-3.0-6.0-1</t>
  </si>
  <si>
    <r>
      <t xml:space="preserve">DIO188: </t>
    </r>
    <r>
      <rPr>
        <sz val="10"/>
        <color theme="1"/>
        <rFont val="Arial"/>
        <family val="2"/>
      </rPr>
      <t>API service called with a NULL pointer. In case of this error, the API service shall return immediately without any further action, beside reporting this development error.</t>
    </r>
  </si>
  <si>
    <t>BSW_SWS_AR4_0_R2_DIODriver-7995</t>
  </si>
  <si>
    <t>7.6.0-3.0-6.0-2</t>
  </si>
  <si>
    <t>BSW_SWS_AR4_0_R2_DIODriver-7996</t>
  </si>
  <si>
    <t>7.6.0-3.0-6.0-3</t>
  </si>
  <si>
    <t>DIO_E_PARAM_POINTER</t>
  </si>
  <si>
    <t>BSW_SWS_AR4_0_R2_DIODriver-7997</t>
  </si>
  <si>
    <t>7.6.0-3.0-6.0-4</t>
  </si>
  <si>
    <t>0x20</t>
  </si>
  <si>
    <t>BSW_SWS_AR4_0_R2_DIODriver-7999</t>
  </si>
  <si>
    <t>7.6.0-3.0-7.0-1</t>
  </si>
  <si>
    <t>--</t>
  </si>
  <si>
    <t>BSW_SWS_AR4_0_R2_DIODriver-8000</t>
  </si>
  <si>
    <t>7.6.0-3.0-7.0-2</t>
  </si>
  <si>
    <t>Production</t>
  </si>
  <si>
    <t>BSW_SWS_AR4_0_R2_DIODriver-8001</t>
  </si>
  <si>
    <t>7.6.0-3.0-7.0-3</t>
  </si>
  <si>
    <t xml:space="preserve">No error code specified </t>
  </si>
  <si>
    <t>BSW_SWS_AR4_0_R2_DIODriver-8002</t>
  </si>
  <si>
    <t xml:space="preserve">	Error detection</t>
  </si>
  <si>
    <t>BSW_SWS_AR4_0_R2_DIODriver-8003</t>
  </si>
  <si>
    <t>7.7.1</t>
  </si>
  <si>
    <t xml:space="preserve">	API Parameter checking</t>
  </si>
  <si>
    <t>BSW_SWS_AR4_0_R2_DIODriver-8004</t>
  </si>
  <si>
    <t>7.7.1.0-1</t>
  </si>
  <si>
    <t>DIO074: If development error detection is enabled, the services Dio_ReadChannel and Dio_WriteChannel shall check the “Channels” parameter to be valid within the current configuration. If the “Channels” parameter is invalid, the functions shall report the error code DIO_E_PARAM_INVALID_CHANNEL_ID to the DET.</t>
  </si>
  <si>
    <t>A check in API shall be provided to check  if development error detection is enabled, the services Dio_ReadChannel and Dio_WriteChannel shall check the “Channels” parameter to be valid within the current configuration. If the “Channels” parameter is invalid, the functions shall report the error code DIO_E_PARAM_INVALID_CHANNEL_ID to the DET.
Risk:Low.</t>
  </si>
  <si>
    <t xml:space="preserve">Check whether the DET errors are reported when the "Channels" parameter is invalid, the error code "DIO_E_PARAM_INVALID_CHANNEL_ID" shall report to the DET.
</t>
  </si>
  <si>
    <t>BSW_SWS_AR4_0_R2_DIODriver-8005</t>
  </si>
  <si>
    <t>7.7.1.0-2</t>
  </si>
  <si>
    <t>DIO075: If development error detection is enabled, the functions Dio_ReadPort and Dio_WritePort shall check the “Ports” parameter to be valid within the current configuration. If the “Ports” parameter is invalid, the functions shall report the error code DIO_E_PARAM_INVALID_PORT_ID to the DET.</t>
  </si>
  <si>
    <t>A check in API shall be provided to check if development error detection is enabled, the functions Dio_ReadPort and Dio_WritePort shall check the “Ports” parameter to be valid within the current configuration. If the “Ports” parameter is invalid, the functions shall report the error code DIO_E_PARAM_INVALID_PORT_ID to the DET.
Risk:Low.</t>
  </si>
  <si>
    <t xml:space="preserve">Check whether in API the DET errors are reported when the  "Ports" parameter is invalid, the function shall report the error code DIO_E_PARAM_INVALID_PORT_ID to the DET.
</t>
  </si>
  <si>
    <t>BSW_SWS_AR4_0_R2_DIODriver-8006</t>
  </si>
  <si>
    <t>7.7.1.0-3</t>
  </si>
  <si>
    <t>DIO114: If development error detection is enabled, the functions Dio_ReadChannelGroup and Dio_WriteChannelGroup shall check the “ChannelGroupIdPtr” parameter to be valid within the current configuration. If the “ChannelGroupIdPtr” parameter is invalid, the functions shall report the error code DIO_E_PARAM_INVALID_GROUP to the DET.</t>
  </si>
  <si>
    <t>A check shall be provide to check the parameter “ChannelGroupIdPtr” is valid within the current configuration, if the “ChannelGroupIdPtr” parameter is invalid, the functions shall report the error code DIO_E_PARAM_INVALID_GROUP to the DET.
Risk:Low.</t>
  </si>
  <si>
    <t xml:space="preserve">Check whether in API the DET errors are reported when the “ChannelGroupIdPtr” parameter is invalid, the function shall report the error code DIO_E_PARAM_INVALID_GROUP to the DET.
</t>
  </si>
  <si>
    <t>BSW_SWS_AR4_0_R2_DIODriver-8007</t>
  </si>
  <si>
    <t xml:space="preserve">	Error notification</t>
  </si>
  <si>
    <t>BSW_SWS_AR4_0_R2_DIODriver-8008</t>
  </si>
  <si>
    <t>7.8.0-1</t>
  </si>
  <si>
    <t>DIO066: The detection of all development errors shall be configurable (on/off) with the preprocessor switch DioDevErrorDetect.</t>
  </si>
  <si>
    <t xml:space="preserve">The module shall provide support to enable/disable reporting DET errors.
Risk:Low
</t>
  </si>
  <si>
    <t>Check whether the DETs are reported/not reported while enabling/disabling the report to DET.
Verify by manual verification.</t>
  </si>
  <si>
    <t>BSW_SWS_AR4_0_R2_DIODriver-8009</t>
  </si>
  <si>
    <t>7.8.0-2</t>
  </si>
  <si>
    <t>DIO179: The Dio module shall report detected development errors to the error hook of the Development Error Tracer (DET) if the preprocessor switch DioDevErrorDetect is set  (see chapter 10).</t>
  </si>
  <si>
    <t>A check shall be provided to check the Development Error Tracer (DET)  shall report detected development errors in the Dio module.
Risk: Low</t>
  </si>
  <si>
    <t xml:space="preserve">Check the Development Error Tracer (DET)  shall report detected development errors in the Dio module.
Verify by manual verification.
</t>
  </si>
  <si>
    <t>BSW_SWS_AR4_0_R2_DIODriver-8010</t>
  </si>
  <si>
    <t>7.8.0-3</t>
  </si>
  <si>
    <t>DIO073:  Additional errors that are detected because of specific implementation and/or specific hardware properties shall be added in the DIO device specific implementation specification. The classification and enumeration shall be compatible to the errors listed above [DIO065].</t>
  </si>
  <si>
    <t>BSW_SWS_AR4_0_R2_DIODriver-8011</t>
  </si>
  <si>
    <t xml:space="preserve">	Debugging Support</t>
  </si>
  <si>
    <t>BSW_SWS_AR4_0_R2_DIODriver-8012</t>
  </si>
  <si>
    <t>7.9.0-1</t>
  </si>
  <si>
    <t>The following requirements deal with the definition of variables and the description of debug information.</t>
  </si>
  <si>
    <t>BSW_SWS_AR4_0_R2_DIODriver-8013</t>
  </si>
  <si>
    <t>7.9.0-2</t>
  </si>
  <si>
    <t>DIO160: Each variable that shall be accessible by AUTOSAR Debugging, shall be defined as global variable.</t>
  </si>
  <si>
    <t>BSW_SWS_AR4_0_R2_DIODriver-8014</t>
  </si>
  <si>
    <t>7.9.0-3</t>
  </si>
  <si>
    <t>DIO161: All type definitions of variables which shall be debugged, shall be accessible by the header file Dio.h.</t>
  </si>
  <si>
    <t>BSW_SWS_AR4_0_R2_DIODriver-8015</t>
  </si>
  <si>
    <t>7.9.0-4</t>
  </si>
  <si>
    <t>DIO162: The declaration of variables in the header file shall allow to calculate the size of the variables by C-"sizeof".</t>
  </si>
  <si>
    <t>BSW_SWS_AR4_0_R2_DIODriver-8016</t>
  </si>
  <si>
    <t>7.9.0-5</t>
  </si>
  <si>
    <t>DIO163: Variables available for debugging shall be described in the respective Basic Software Module Description.</t>
  </si>
  <si>
    <t>BSW_SWS_AR4_0_R2_DIODriver-8017</t>
  </si>
  <si>
    <t xml:space="preserve">	API specification</t>
  </si>
  <si>
    <t>BSW_SWS_AR4_0_R2_DIODriver-8018</t>
  </si>
  <si>
    <t xml:space="preserve">	Imported types </t>
  </si>
  <si>
    <t>BSW_SWS_AR4_0_R2_DIODriver-8019</t>
  </si>
  <si>
    <t>8.1.0-1</t>
  </si>
  <si>
    <t>In this chapter all types included from the following files are listed:</t>
  </si>
  <si>
    <t>BSW_SWS_AR4_0_R2_DIODriver-8020</t>
  </si>
  <si>
    <t>8.1.0-2</t>
  </si>
  <si>
    <r>
      <t>DIO131:</t>
    </r>
    <r>
      <rPr>
        <b/>
        <sz val="10"/>
        <color theme="1"/>
        <rFont val="Arial"/>
        <family val="2"/>
      </rPr>
      <t xml:space="preserve"> </t>
    </r>
  </si>
  <si>
    <t>BSW_SWS_AR4_0_R2_DIODriver-8023</t>
  </si>
  <si>
    <t>8.1.0-3.0-1.0-1</t>
  </si>
  <si>
    <t>Module</t>
  </si>
  <si>
    <t>BSW_SWS_AR4_0_R2_DIODriver-8024</t>
  </si>
  <si>
    <t>8.1.0-3.0-1.0-2</t>
  </si>
  <si>
    <t>Imported Type</t>
  </si>
  <si>
    <t>BSW_SWS_AR4_0_R2_DIODriver-8026</t>
  </si>
  <si>
    <t>8.1.0-3.0-2.0-1</t>
  </si>
  <si>
    <t>Dem</t>
  </si>
  <si>
    <t>BSW_SWS_AR4_0_R2_DIODriver-8027</t>
  </si>
  <si>
    <t>8.1.0-3.0-2.0-2</t>
  </si>
  <si>
    <t>Dem_EventIdType</t>
  </si>
  <si>
    <t>BSW_SWS_AR4_0_R2_DIODriver-8029</t>
  </si>
  <si>
    <t>8.1.0-3.0-3.0-1</t>
  </si>
  <si>
    <t>BSW_SWS_AR4_0_R2_DIODriver-8030</t>
  </si>
  <si>
    <t>8.1.0-3.0-3.0-2</t>
  </si>
  <si>
    <t>Dem_EventStatusType</t>
  </si>
  <si>
    <t>BSW_SWS_AR4_0_R2_DIODriver-8032</t>
  </si>
  <si>
    <t>8.1.0-3.0-4.0-1</t>
  </si>
  <si>
    <t>Std_Types</t>
  </si>
  <si>
    <t>BSW_SWS_AR4_0_R2_DIODriver-8033</t>
  </si>
  <si>
    <t>8.1.0-3.0-4.0-2</t>
  </si>
  <si>
    <t>Std_ReturnType</t>
  </si>
  <si>
    <t>BSW_SWS_AR4_0_R2_DIODriver-8035</t>
  </si>
  <si>
    <t>8.1.0-3.0-5.0-1</t>
  </si>
  <si>
    <t>BSW_SWS_AR4_0_R2_DIODriver-8036</t>
  </si>
  <si>
    <t>8.1.0-3.0-5.0-2</t>
  </si>
  <si>
    <t>Std_VersionInfoType</t>
  </si>
  <si>
    <t>BSW_SWS_AR4_0_R2_DIODriver-8037</t>
  </si>
  <si>
    <t xml:space="preserve">	Type definitions</t>
  </si>
  <si>
    <t>BSW_SWS_AR4_0_R2_DIODriver-8038</t>
  </si>
  <si>
    <t>8.2.0-1</t>
  </si>
  <si>
    <t xml:space="preserve">DIO103: The port width within the types defined for the DIO Driver shall be the size of the largest port on the MCU which may be accessed by the DIO Driver. </t>
  </si>
  <si>
    <t>BSW_SWS_AR4_0_R2_DIODriver-8039</t>
  </si>
  <si>
    <t>8.2.1</t>
  </si>
  <si>
    <t xml:space="preserve">	Dio_ChannelType</t>
  </si>
  <si>
    <t>BSW_SWS_AR4_0_R2_DIODriver-8040</t>
  </si>
  <si>
    <t>8.2.1.0-1</t>
  </si>
  <si>
    <t>DIO182:</t>
  </si>
  <si>
    <t>BSW_SWS_AR4_0_R2_DIODriver-8043</t>
  </si>
  <si>
    <t>8.2.1.0-2.0-1.0-1</t>
  </si>
  <si>
    <t>Name:</t>
  </si>
  <si>
    <t>BSW_SWS_AR4_0_R2_DIODriver-8044</t>
  </si>
  <si>
    <t>8.2.1.0-2.0-1.0-2</t>
  </si>
  <si>
    <t>Dio_ChannelType</t>
  </si>
  <si>
    <t>BSW_SWS_AR4_0_R2_DIODriver-8046</t>
  </si>
  <si>
    <t>8.2.1.0-2.0-2.0-1</t>
  </si>
  <si>
    <t>Type:</t>
  </si>
  <si>
    <t>BSW_SWS_AR4_0_R2_DIODriver-8047</t>
  </si>
  <si>
    <t>8.2.1.0-2.0-2.0-2</t>
  </si>
  <si>
    <t>uint</t>
  </si>
  <si>
    <t>BSW_SWS_AR4_0_R2_DIODriver-8049</t>
  </si>
  <si>
    <t>8.2.1.0-2.0-3.0-1</t>
  </si>
  <si>
    <t>Range:</t>
  </si>
  <si>
    <t>BSW_SWS_AR4_0_R2_DIODriver-8050</t>
  </si>
  <si>
    <t>8.2.1.0-2.0-3.0-2</t>
  </si>
  <si>
    <t>This is implementation specific but not all values may be valid within the type.</t>
  </si>
  <si>
    <t>BSW_SWS_AR4_0_R2_DIODriver-8051</t>
  </si>
  <si>
    <t>8.2.1.0-2.0-3.0-3</t>
  </si>
  <si>
    <t>Shall cover all available DIO channels</t>
  </si>
  <si>
    <t>BSW_SWS_AR4_0_R2_DIODriver-8053</t>
  </si>
  <si>
    <t>8.2.1.0-2.0-4.0-1</t>
  </si>
  <si>
    <t>BSW_SWS_AR4_0_R2_DIODriver-8054</t>
  </si>
  <si>
    <t>8.2.1.0-2.0-4.0-2</t>
  </si>
  <si>
    <t>Numeric ID of a DIO channel.</t>
  </si>
  <si>
    <t>BSW_SWS_AR4_0_R2_DIODriver-8055</t>
  </si>
  <si>
    <t>8.2.1.0-3</t>
  </si>
  <si>
    <t>DIO015: Parameters of type Dio_ChannelType contain the numeric ID of a DIO channel.</t>
  </si>
  <si>
    <t>BSW_SWS_AR4_0_R2_DIODriver-8056</t>
  </si>
  <si>
    <t>8.2.1.0-4</t>
  </si>
  <si>
    <t>DIO180: The mapping of the ID is implementation specific but not configurable.</t>
  </si>
  <si>
    <t>BSW_SWS_AR4_0_R2_DIODriver-8057</t>
  </si>
  <si>
    <t>8.2.1.0-5</t>
  </si>
  <si>
    <t>DIO017: For parameter values of type Dio_ChannelType, the Dio's user shall use the symbolic names provided by the configuration description.</t>
  </si>
  <si>
    <t>Legacy: Not testable since, I don't know what the user is doing</t>
  </si>
  <si>
    <t>BSW_SWS_AR4_0_R2_DIODriver-8058</t>
  </si>
  <si>
    <t>8.2.1.0-6</t>
  </si>
  <si>
    <t>Furthermore, DIO103 applies to the type Dio_ChannelType.</t>
  </si>
  <si>
    <t>BSW_SWS_AR4_0_R2_DIODriver-8059</t>
  </si>
  <si>
    <t>8.2.2</t>
  </si>
  <si>
    <t xml:space="preserve">	Dio_PortType</t>
  </si>
  <si>
    <t>BSW_SWS_AR4_0_R2_DIODriver-8060</t>
  </si>
  <si>
    <t>8.2.2.0-1</t>
  </si>
  <si>
    <t>DIO183:</t>
  </si>
  <si>
    <t>BSW_SWS_AR4_0_R2_DIODriver-8063</t>
  </si>
  <si>
    <t>8.2.2.0-2.0-1.0-1</t>
  </si>
  <si>
    <t>BSW_SWS_AR4_0_R2_DIODriver-8064</t>
  </si>
  <si>
    <t>8.2.2.0-2.0-1.0-2</t>
  </si>
  <si>
    <t>Dio_PortType</t>
  </si>
  <si>
    <t>BSW_SWS_AR4_0_R2_DIODriver-8066</t>
  </si>
  <si>
    <t>8.2.2.0-2.0-2.0-1</t>
  </si>
  <si>
    <t>BSW_SWS_AR4_0_R2_DIODriver-8067</t>
  </si>
  <si>
    <t>8.2.2.0-2.0-2.0-2</t>
  </si>
  <si>
    <t>BSW_SWS_AR4_0_R2_DIODriver-8069</t>
  </si>
  <si>
    <t>8.2.2.0-2.0-3.0-1</t>
  </si>
  <si>
    <t>BSW_SWS_AR4_0_R2_DIODriver-8070</t>
  </si>
  <si>
    <t>8.2.2.0-2.0-3.0-2</t>
  </si>
  <si>
    <t>0..&lt;number of ports&gt;</t>
  </si>
  <si>
    <t>BSW_SWS_AR4_0_R2_DIODriver-8071</t>
  </si>
  <si>
    <t>8.2.2.0-2.0-3.0-3</t>
  </si>
  <si>
    <t>Shall cover all available DIO Ports.</t>
  </si>
  <si>
    <t>BSW_SWS_AR4_0_R2_DIODriver-8073</t>
  </si>
  <si>
    <t>8.2.2.0-2.0-4.0-1</t>
  </si>
  <si>
    <t>BSW_SWS_AR4_0_R2_DIODriver-8074</t>
  </si>
  <si>
    <t>8.2.2.0-2.0-4.0-2</t>
  </si>
  <si>
    <t>Numeric ID of a DIO port.</t>
  </si>
  <si>
    <t>BSW_SWS_AR4_0_R2_DIODriver-8075</t>
  </si>
  <si>
    <t>8.2.2.0-3</t>
  </si>
  <si>
    <t>DIO018: Parameters of type Dio_PortType contain the numeric ID of a DIO port.</t>
  </si>
  <si>
    <t>BSW_SWS_AR4_0_R2_DIODriver-8076</t>
  </si>
  <si>
    <t>8.2.2.0-4</t>
  </si>
  <si>
    <t>DIO181: The mapping of ID is implementation specific but not configurable.</t>
  </si>
  <si>
    <t>BSW_SWS_AR4_0_R2_DIODriver-8077</t>
  </si>
  <si>
    <t>8.2.2.0-5</t>
  </si>
  <si>
    <t>DIO020: For parameter values of type Dio_PortType, the user shall use the symbolic names provided by the configuration description.</t>
  </si>
  <si>
    <t>BSW_SWS_AR4_0_R2_DIODriver-8078</t>
  </si>
  <si>
    <t>8.2.2.0-6</t>
  </si>
  <si>
    <t>Furthermore, DIO103 applies to the type Dio_PortType.</t>
  </si>
  <si>
    <t>BSW_SWS_AR4_0_R2_DIODriver-8079</t>
  </si>
  <si>
    <t>8.2.3</t>
  </si>
  <si>
    <t xml:space="preserve">	Dio_ChannelGroupType</t>
  </si>
  <si>
    <t>BSW_SWS_AR4_0_R2_DIODriver-8080</t>
  </si>
  <si>
    <t>8.2.3.0-1</t>
  </si>
  <si>
    <t>DIO184:</t>
  </si>
  <si>
    <t>BSW_SWS_AR4_0_R2_DIODriver-8083</t>
  </si>
  <si>
    <t>8.2.3.0-2.0-1.0-1</t>
  </si>
  <si>
    <t>BSW_SWS_AR4_0_R2_DIODriver-8084</t>
  </si>
  <si>
    <t>8.2.3.0-2.0-1.0-2</t>
  </si>
  <si>
    <t>Dio_ChannelGroupType</t>
  </si>
  <si>
    <t>BSW_SWS_AR4_0_R2_DIODriver-8086</t>
  </si>
  <si>
    <t>8.2.3.0-2.0-2.0-1</t>
  </si>
  <si>
    <t>BSW_SWS_AR4_0_R2_DIODriver-8087</t>
  </si>
  <si>
    <t>8.2.3.0-2.0-2.0-2</t>
  </si>
  <si>
    <t>Structure</t>
  </si>
  <si>
    <t>BSW_SWS_AR4_0_R2_DIODriver-8089</t>
  </si>
  <si>
    <t>8.2.3.0-2.0-3.0-1</t>
  </si>
  <si>
    <t>Element:</t>
  </si>
  <si>
    <t>BSW_SWS_AR4_0_R2_DIODriver-8090</t>
  </si>
  <si>
    <t>8.2.3.0-2.0-3.0-2</t>
  </si>
  <si>
    <t>uint8/16/32</t>
  </si>
  <si>
    <t>BSW_SWS_AR4_0_R2_DIODriver-8091</t>
  </si>
  <si>
    <t>8.2.3.0-2.0-3.0-3</t>
  </si>
  <si>
    <t>mask</t>
  </si>
  <si>
    <t>BSW_SWS_AR4_0_R2_DIODriver-8092</t>
  </si>
  <si>
    <t>8.2.3.0-2.0-3.0-4</t>
  </si>
  <si>
    <t>This element mask which defines the positions of the channel group.</t>
  </si>
  <si>
    <t>BSW_SWS_AR4_0_R2_DIODriver-8094</t>
  </si>
  <si>
    <t>8.2.3.0-2.0-4.0-1</t>
  </si>
  <si>
    <t>BSW_SWS_AR4_0_R2_DIODriver-8095</t>
  </si>
  <si>
    <t>8.2.3.0-2.0-4.0-2</t>
  </si>
  <si>
    <t>uint8</t>
  </si>
  <si>
    <t>BSW_SWS_AR4_0_R2_DIODriver-8096</t>
  </si>
  <si>
    <t>8.2.3.0-2.0-4.0-3</t>
  </si>
  <si>
    <t>offset</t>
  </si>
  <si>
    <t>BSW_SWS_AR4_0_R2_DIODriver-8097</t>
  </si>
  <si>
    <t>8.2.3.0-2.0-4.0-4</t>
  </si>
  <si>
    <t>This element shall be the position of the Channel Group on the port, counted from the LSB.</t>
  </si>
  <si>
    <t>BSW_SWS_AR4_0_R2_DIODriver-8099</t>
  </si>
  <si>
    <t>8.2.3.0-2.0-5.0-1</t>
  </si>
  <si>
    <t>BSW_SWS_AR4_0_R2_DIODriver-8100</t>
  </si>
  <si>
    <t>8.2.3.0-2.0-5.0-2</t>
  </si>
  <si>
    <t>BSW_SWS_AR4_0_R2_DIODriver-8101</t>
  </si>
  <si>
    <t>8.2.3.0-2.0-5.0-3</t>
  </si>
  <si>
    <t>port</t>
  </si>
  <si>
    <t>BSW_SWS_AR4_0_R2_DIODriver-8102</t>
  </si>
  <si>
    <t>8.2.3.0-2.0-5.0-4</t>
  </si>
  <si>
    <t>This shall be the port on which the Channel group is defined.</t>
  </si>
  <si>
    <t>BSW_SWS_AR4_0_R2_DIODriver-8104</t>
  </si>
  <si>
    <t>8.2.3.0-2.0-6.0-1</t>
  </si>
  <si>
    <t>BSW_SWS_AR4_0_R2_DIODriver-8105</t>
  </si>
  <si>
    <t>8.2.3.0-2.0-6.0-2</t>
  </si>
  <si>
    <t>Type for the definition of a channel group, which consists of several adjoining channels within a port.</t>
  </si>
  <si>
    <t>BSW_SWS_AR4_0_R2_DIODriver-8106</t>
  </si>
  <si>
    <t>8.2.3.0-3</t>
  </si>
  <si>
    <t>DIO021: Dio_ChannelGroupType is the type for the definition of a channel group, which consists of several adjoining channels within a port.</t>
  </si>
  <si>
    <t>BSW_SWS_AR4_0_R2_DIODriver-8107</t>
  </si>
  <si>
    <t>8.2.3.0-4</t>
  </si>
  <si>
    <t>DIO022: For parameter values of type Dio_ChannelGroupType, the user shall use the symbolic names provided by the configuration description.</t>
  </si>
  <si>
    <t>BSW_SWS_AR4_0_R2_DIODriver-8108</t>
  </si>
  <si>
    <t>8.2.3.0-5</t>
  </si>
  <si>
    <t>Furthermore, DIO056 applies to the type Dio_ChannelGroupType.</t>
  </si>
  <si>
    <t>BSW_SWS_AR4_0_R2_DIODriver-8109</t>
  </si>
  <si>
    <t>8.2.4</t>
  </si>
  <si>
    <t xml:space="preserve">	Dio_LevelType</t>
  </si>
  <si>
    <t>BSW_SWS_AR4_0_R2_DIODriver-8110</t>
  </si>
  <si>
    <t>8.2.4.0-1</t>
  </si>
  <si>
    <t>DIO185:</t>
  </si>
  <si>
    <t>BSW_SWS_AR4_0_R2_DIODriver-8113</t>
  </si>
  <si>
    <t>8.2.4.0-2.0-1.0-1</t>
  </si>
  <si>
    <t>BSW_SWS_AR4_0_R2_DIODriver-8114</t>
  </si>
  <si>
    <t>8.2.4.0-2.0-1.0-2</t>
  </si>
  <si>
    <t>Dio_LevelType</t>
  </si>
  <si>
    <t>BSW_SWS_AR4_0_R2_DIODriver-8116</t>
  </si>
  <si>
    <t>8.2.4.0-2.0-2.0-1</t>
  </si>
  <si>
    <t>BSW_SWS_AR4_0_R2_DIODriver-8117</t>
  </si>
  <si>
    <t>8.2.4.0-2.0-2.0-2</t>
  </si>
  <si>
    <t>BSW_SWS_AR4_0_R2_DIODriver-8119</t>
  </si>
  <si>
    <t>8.2.4.0-2.0-3.0-1</t>
  </si>
  <si>
    <t>BSW_SWS_AR4_0_R2_DIODriver-8120</t>
  </si>
  <si>
    <t>8.2.4.0-2.0-3.0-2</t>
  </si>
  <si>
    <t>STD_LOW</t>
  </si>
  <si>
    <t>BSW_SWS_AR4_0_R2_DIODriver-8121</t>
  </si>
  <si>
    <t>8.2.4.0-2.0-3.0-3</t>
  </si>
  <si>
    <t>0x00</t>
  </si>
  <si>
    <t>BSW_SWS_AR4_0_R2_DIODriver-8122</t>
  </si>
  <si>
    <t>8.2.4.0-2.0-3.0-4</t>
  </si>
  <si>
    <t>Physical state 0V</t>
  </si>
  <si>
    <t>BSW_SWS_AR4_0_R2_DIODriver-8124</t>
  </si>
  <si>
    <t>8.2.4.0-2.0-4.0-1</t>
  </si>
  <si>
    <t>BSW_SWS_AR4_0_R2_DIODriver-8125</t>
  </si>
  <si>
    <t>8.2.4.0-2.0-4.0-2</t>
  </si>
  <si>
    <t>STD_HIGH</t>
  </si>
  <si>
    <t>BSW_SWS_AR4_0_R2_DIODriver-8126</t>
  </si>
  <si>
    <t>8.2.4.0-2.0-4.0-3</t>
  </si>
  <si>
    <t>0x01</t>
  </si>
  <si>
    <t>BSW_SWS_AR4_0_R2_DIODriver-8127</t>
  </si>
  <si>
    <t>8.2.4.0-2.0-4.0-4</t>
  </si>
  <si>
    <t>Physical state 5V or 3.3V</t>
  </si>
  <si>
    <t>BSW_SWS_AR4_0_R2_DIODriver-8129</t>
  </si>
  <si>
    <t>8.2.4.0-2.0-5.0-1</t>
  </si>
  <si>
    <t>BSW_SWS_AR4_0_R2_DIODriver-8130</t>
  </si>
  <si>
    <t>8.2.4.0-2.0-5.0-2</t>
  </si>
  <si>
    <t>These are the possible levels a DIO channel can have (input or output)</t>
  </si>
  <si>
    <t>BSW_SWS_AR4_0_R2_DIODriver-8131</t>
  </si>
  <si>
    <t>8.2.4.0-3</t>
  </si>
  <si>
    <t>DIO023: Dio_LevelType is the type for the possible levels that a DIO channel can have (input or output).</t>
  </si>
  <si>
    <t>BSW_SWS_AR4_0_R2_DIODriver-8132</t>
  </si>
  <si>
    <t>8.2.5</t>
  </si>
  <si>
    <t xml:space="preserve">	Dio_PortLevelType</t>
  </si>
  <si>
    <t>BSW_SWS_AR4_0_R2_DIODriver-8133</t>
  </si>
  <si>
    <t>8.2.5.0-1</t>
  </si>
  <si>
    <t>DIO186:</t>
  </si>
  <si>
    <t>BSW_SWS_AR4_0_R2_DIODriver-8136</t>
  </si>
  <si>
    <t>8.2.5.0-2.0-1.0-1</t>
  </si>
  <si>
    <t>BSW_SWS_AR4_0_R2_DIODriver-8137</t>
  </si>
  <si>
    <t>8.2.5.0-2.0-1.0-2</t>
  </si>
  <si>
    <t>Dio_PortLevelType</t>
  </si>
  <si>
    <t>BSW_SWS_AR4_0_R2_DIODriver-8139</t>
  </si>
  <si>
    <t>8.2.5.0-2.0-2.0-1</t>
  </si>
  <si>
    <t>BSW_SWS_AR4_0_R2_DIODriver-8140</t>
  </si>
  <si>
    <t>8.2.5.0-2.0-2.0-2</t>
  </si>
  <si>
    <t>BSW_SWS_AR4_0_R2_DIODriver-8142</t>
  </si>
  <si>
    <t>8.2.5.0-2.0-3.0-1</t>
  </si>
  <si>
    <t>BSW_SWS_AR4_0_R2_DIODriver-8143</t>
  </si>
  <si>
    <t>8.2.5.0-2.0-3.0-2</t>
  </si>
  <si>
    <t>0...xxx</t>
  </si>
  <si>
    <t>BSW_SWS_AR4_0_R2_DIODriver-8144</t>
  </si>
  <si>
    <t>8.2.5.0-2.0-3.0-3</t>
  </si>
  <si>
    <t>If the µC owns ports of different port widths (e.g. 4, 8,16...Bit) Dio_PortLevelType inherits the size of the largest port</t>
  </si>
  <si>
    <t>BSW_SWS_AR4_0_R2_DIODriver-8146</t>
  </si>
  <si>
    <t>8.2.5.0-2.0-4.0-1</t>
  </si>
  <si>
    <t>BSW_SWS_AR4_0_R2_DIODriver-8147</t>
  </si>
  <si>
    <t>8.2.5.0-2.0-4.0-2</t>
  </si>
  <si>
    <t>If the µC owns ports of different port widths (e.g. 4, 8,16...Bit) Dio_PortLevelType inherits the size of the largest port.</t>
  </si>
  <si>
    <t>BSW_SWS_AR4_0_R2_DIODriver-8148</t>
  </si>
  <si>
    <t>8.2.5.0-3</t>
  </si>
  <si>
    <t>DIO024: Dio_PortLevelType is the type for the value of a DIO port.</t>
  </si>
  <si>
    <t>BSW_SWS_AR4_0_R2_DIODriver-8149</t>
  </si>
  <si>
    <t>8.2.5.0-4</t>
  </si>
  <si>
    <t>Furthermore, DIO103 applies to the type Dio_PortLevelType.</t>
  </si>
  <si>
    <t>BSW_SWS_AR4_0_R2_DIODriver-8150</t>
  </si>
  <si>
    <t>8.2.6</t>
  </si>
  <si>
    <t xml:space="preserve">	Dio_ConfigType</t>
  </si>
  <si>
    <t>BSW_SWS_AR4_0_R2_DIODriver-8151</t>
  </si>
  <si>
    <t>8.2.6.0-1</t>
  </si>
  <si>
    <t>DIO187:</t>
  </si>
  <si>
    <t>BSW_SWS_AR4_0_R2_DIODriver-8154</t>
  </si>
  <si>
    <t>8.2.6.0-2.0-1.0-1</t>
  </si>
  <si>
    <t>BSW_SWS_AR4_0_R2_DIODriver-8155</t>
  </si>
  <si>
    <t>8.2.6.0-2.0-1.0-2</t>
  </si>
  <si>
    <t>Dio_ConfigType</t>
  </si>
  <si>
    <t>BSW_SWS_AR4_0_R2_DIODriver-8157</t>
  </si>
  <si>
    <t>8.2.6.0-2.0-2.0-1</t>
  </si>
  <si>
    <t>BSW_SWS_AR4_0_R2_DIODriver-8158</t>
  </si>
  <si>
    <t>8.2.6.0-2.0-2.0-2</t>
  </si>
  <si>
    <t>BSW_SWS_AR4_0_R2_DIODriver-8160</t>
  </si>
  <si>
    <t>8.2.6.0-2.0-3.0-1</t>
  </si>
  <si>
    <t>BSW_SWS_AR4_0_R2_DIODriver-8161</t>
  </si>
  <si>
    <t>8.2.6.0-2.0-3.0-2</t>
  </si>
  <si>
    <t>Implementation specific.</t>
  </si>
  <si>
    <t>BSW_SWS_AR4_0_R2_DIODriver-8162</t>
  </si>
  <si>
    <t>8.2.6.0-2.0-3.0-3</t>
  </si>
  <si>
    <t>BSW_SWS_AR4_0_R2_DIODriver-8163</t>
  </si>
  <si>
    <t>8.2.6.0-2.0-3.0-4</t>
  </si>
  <si>
    <t>BSW_SWS_AR4_0_R2_DIODriver-8165</t>
  </si>
  <si>
    <t>8.2.6.0-2.0-4.0-1</t>
  </si>
  <si>
    <t>BSW_SWS_AR4_0_R2_DIODriver-8166</t>
  </si>
  <si>
    <t>8.2.6.0-2.0-4.0-2</t>
  </si>
  <si>
    <t>This structure contains all post-build configurable parameters of the DIO driver. A pointer to this structure is passed to the DIO driver initialization function for configuration.</t>
  </si>
  <si>
    <t>BSW_SWS_AR4_0_R2_DIODriver-8167</t>
  </si>
  <si>
    <t>8.2.6.0-3</t>
  </si>
  <si>
    <t>DIO164: Dio_ConfigType is the type for all post-build configurable parameters of the DIO driver.</t>
  </si>
  <si>
    <t>BSW_SWS_AR4_0_R2_DIODriver-8168</t>
  </si>
  <si>
    <t xml:space="preserve">	Function definitions</t>
  </si>
  <si>
    <t>BSW_SWS_AR4_0_R2_DIODriver-8169</t>
  </si>
  <si>
    <t>8.3.0-1</t>
  </si>
  <si>
    <t>This is a list of functions provided for upper layer modules.</t>
  </si>
  <si>
    <t>BSW_SWS_AR4_0_R2_DIODriver-8170</t>
  </si>
  <si>
    <t>8.3.1</t>
  </si>
  <si>
    <t xml:space="preserve">	Dio_ReadChannel</t>
  </si>
  <si>
    <t>BSW_SWS_AR4_0_R2_DIODriver-8171</t>
  </si>
  <si>
    <t>8.3.1.0-1</t>
  </si>
  <si>
    <t xml:space="preserve">DIO133: </t>
  </si>
  <si>
    <t>BSW_SWS_AR4_0_R2_DIODriver-8174</t>
  </si>
  <si>
    <t>8.3.1.0-2.0-1.0-1</t>
  </si>
  <si>
    <t>Service name:</t>
  </si>
  <si>
    <t>BSW_SWS_AR4_0_R2_DIODriver-8175</t>
  </si>
  <si>
    <t>8.3.1.0-2.0-1.0-2</t>
  </si>
  <si>
    <t>Dio_ReadChannel</t>
  </si>
  <si>
    <t>BSW_SWS_AR4_0_R2_DIODriver-8177</t>
  </si>
  <si>
    <t>8.3.1.0-2.0-2.0-1</t>
  </si>
  <si>
    <t>Syntax:</t>
  </si>
  <si>
    <t>BSW_SWS_AR4_0_R2_DIODriver-8178</t>
  </si>
  <si>
    <t>8.3.1.0-2.0-2.0-2</t>
  </si>
  <si>
    <t>Dio_LevelType Dio_ReadChannel(
    Dio_ChannelType ChannelId
)</t>
  </si>
  <si>
    <t>BSW_SWS_AR4_0_R2_DIODriver-8180</t>
  </si>
  <si>
    <t>8.3.1.0-2.0-3.0-1</t>
  </si>
  <si>
    <t>Service ID[hex]:</t>
  </si>
  <si>
    <t>BSW_SWS_AR4_0_R2_DIODriver-8181</t>
  </si>
  <si>
    <t>8.3.1.0-2.0-3.0-2</t>
  </si>
  <si>
    <t>BSW_SWS_AR4_0_R2_DIODriver-8183</t>
  </si>
  <si>
    <t>8.3.1.0-2.0-4.0-1</t>
  </si>
  <si>
    <t>Sync/Async:</t>
  </si>
  <si>
    <t>BSW_SWS_AR4_0_R2_DIODriver-8184</t>
  </si>
  <si>
    <t>8.3.1.0-2.0-4.0-2</t>
  </si>
  <si>
    <t>Synchronous</t>
  </si>
  <si>
    <t>BSW_SWS_AR4_0_R2_DIODriver-8186</t>
  </si>
  <si>
    <t>8.3.1.0-2.0-5.0-1</t>
  </si>
  <si>
    <t>Reentrancy:</t>
  </si>
  <si>
    <t>BSW_SWS_AR4_0_R2_DIODriver-8187</t>
  </si>
  <si>
    <t>8.3.1.0-2.0-5.0-2</t>
  </si>
  <si>
    <t>Reentrant</t>
  </si>
  <si>
    <t>BSW_SWS_AR4_0_R2_DIODriver-8189</t>
  </si>
  <si>
    <t>8.3.1.0-2.0-6.0-1</t>
  </si>
  <si>
    <t>Parameters (in):</t>
  </si>
  <si>
    <t>BSW_SWS_AR4_0_R2_DIODriver-8190</t>
  </si>
  <si>
    <t>8.3.1.0-2.0-6.0-2</t>
  </si>
  <si>
    <t>ChannelId</t>
  </si>
  <si>
    <t>BSW_SWS_AR4_0_R2_DIODriver-8191</t>
  </si>
  <si>
    <t>8.3.1.0-2.0-6.0-3</t>
  </si>
  <si>
    <t>ID of DIO channel</t>
  </si>
  <si>
    <t>BSW_SWS_AR4_0_R2_DIODriver-8193</t>
  </si>
  <si>
    <t>8.3.1.0-2.0-7.0-1</t>
  </si>
  <si>
    <t>Parameters (inout):</t>
  </si>
  <si>
    <t>BSW_SWS_AR4_0_R2_DIODriver-8194</t>
  </si>
  <si>
    <t>8.3.1.0-2.0-7.0-2</t>
  </si>
  <si>
    <t>None</t>
  </si>
  <si>
    <t>BSW_SWS_AR4_0_R2_DIODriver-8196</t>
  </si>
  <si>
    <t>8.3.1.0-2.0-8.0-1</t>
  </si>
  <si>
    <t>Parameters (out):</t>
  </si>
  <si>
    <t>BSW_SWS_AR4_0_R2_DIODriver-8197</t>
  </si>
  <si>
    <t>8.3.1.0-2.0-8.0-2</t>
  </si>
  <si>
    <t>BSW_SWS_AR4_0_R2_DIODriver-8199</t>
  </si>
  <si>
    <t>8.3.1.0-2.0-9.0-1</t>
  </si>
  <si>
    <t>Return value:</t>
  </si>
  <si>
    <t>BSW_SWS_AR4_0_R2_DIODriver-8200</t>
  </si>
  <si>
    <t>8.3.1.0-2.0-9.0-2</t>
  </si>
  <si>
    <t>BSW_SWS_AR4_0_R2_DIODriver-8201</t>
  </si>
  <si>
    <t>8.3.1.0-2.0-9.0-3</t>
  </si>
  <si>
    <t>STD_HIGH The physical level of the corresponding Pin is STD_HIGH
STD_LOW The physical level of the corresponding Pin is STD_LOW</t>
  </si>
  <si>
    <t>BSW_SWS_AR4_0_R2_DIODriver-8203</t>
  </si>
  <si>
    <t>8.3.1.0-2.0-10.0-1</t>
  </si>
  <si>
    <t>BSW_SWS_AR4_0_R2_DIODriver-8204</t>
  </si>
  <si>
    <t>8.3.1.0-2.0-10.0-2</t>
  </si>
  <si>
    <t>Returns the value of the specified DIO channel.</t>
  </si>
  <si>
    <t>BSW_SWS_AR4_0_R2_DIODriver-8205</t>
  </si>
  <si>
    <t>8.3.1.0-3</t>
  </si>
  <si>
    <r>
      <t>DIO027:</t>
    </r>
    <r>
      <rPr>
        <sz val="10"/>
        <color theme="1"/>
        <rFont val="Arial"/>
        <family val="2"/>
      </rPr>
      <t xml:space="preserve"> The Dio_ReadChannel function shall return the value of the specified DIO channel.</t>
    </r>
  </si>
  <si>
    <t>The module shall provide the Dio_ReadChannel function shall return the value of the specified DIO channel.
Risk:Low.</t>
  </si>
  <si>
    <t xml:space="preserve">Check whether the value of the specified DIO channel is return by the Dio_ReadChannel function.
</t>
  </si>
  <si>
    <t>BSW_SWS_AR4_0_R2_DIODriver-8206</t>
  </si>
  <si>
    <t>8.3.1.0-4</t>
  </si>
  <si>
    <t>Regarding the return value of the Dio_ReadChannel function, the requirements [DIO083] and [DIO084] are applicable.</t>
  </si>
  <si>
    <t>BSW_SWS_AR4_0_R2_DIODriver-8207</t>
  </si>
  <si>
    <t>8.3.1.0-5</t>
  </si>
  <si>
    <t>Furthermore, the requirements DIO005, DIO118 and DIO026 are applicable to the Dio_ReadChannel function.</t>
  </si>
  <si>
    <t>BSW_SWS_AR4_0_R2_DIODriver-8208</t>
  </si>
  <si>
    <t>8.3.2</t>
  </si>
  <si>
    <t xml:space="preserve">	Dio_WriteChannel</t>
  </si>
  <si>
    <t>BSW_SWS_AR4_0_R2_DIODriver-8209</t>
  </si>
  <si>
    <t>8.3.2.0-1</t>
  </si>
  <si>
    <t xml:space="preserve">DIO134: </t>
  </si>
  <si>
    <t>BSW_SWS_AR4_0_R2_DIODriver-8212</t>
  </si>
  <si>
    <t>8.3.2.0-2.0-1.0-1</t>
  </si>
  <si>
    <t>BSW_SWS_AR4_0_R2_DIODriver-8213</t>
  </si>
  <si>
    <t>8.3.2.0-2.0-1.0-2</t>
  </si>
  <si>
    <t>Dio_WriteChannel</t>
  </si>
  <si>
    <t>BSW_SWS_AR4_0_R2_DIODriver-8215</t>
  </si>
  <si>
    <t>8.3.2.0-2.0-2.0-1</t>
  </si>
  <si>
    <t>BSW_SWS_AR4_0_R2_DIODriver-8216</t>
  </si>
  <si>
    <t>8.3.2.0-2.0-2.0-2</t>
  </si>
  <si>
    <t>void Dio_WriteChannel(
    Dio_ChannelType ChannelId,
    Dio_LevelType Level
)</t>
  </si>
  <si>
    <t>BSW_SWS_AR4_0_R2_DIODriver-8218</t>
  </si>
  <si>
    <t>8.3.2.0-2.0-3.0-1</t>
  </si>
  <si>
    <t>BSW_SWS_AR4_0_R2_DIODriver-8219</t>
  </si>
  <si>
    <t>8.3.2.0-2.0-3.0-2</t>
  </si>
  <si>
    <t>BSW_SWS_AR4_0_R2_DIODriver-8221</t>
  </si>
  <si>
    <t>8.3.2.0-2.0-4.0-1</t>
  </si>
  <si>
    <t>BSW_SWS_AR4_0_R2_DIODriver-8222</t>
  </si>
  <si>
    <t>8.3.2.0-2.0-4.0-2</t>
  </si>
  <si>
    <t>BSW_SWS_AR4_0_R2_DIODriver-8224</t>
  </si>
  <si>
    <t>8.3.2.0-2.0-5.0-1</t>
  </si>
  <si>
    <t>BSW_SWS_AR4_0_R2_DIODriver-8225</t>
  </si>
  <si>
    <t>8.3.2.0-2.0-5.0-2</t>
  </si>
  <si>
    <t>BSW_SWS_AR4_0_R2_DIODriver-8227</t>
  </si>
  <si>
    <t>8.3.2.0-2.0-6.0-1</t>
  </si>
  <si>
    <t>BSW_SWS_AR4_0_R2_DIODriver-8228</t>
  </si>
  <si>
    <t>8.3.2.0-2.0-6.0-2</t>
  </si>
  <si>
    <t>BSW_SWS_AR4_0_R2_DIODriver-8229</t>
  </si>
  <si>
    <t>8.3.2.0-2.0-6.0-3</t>
  </si>
  <si>
    <t>BSW_SWS_AR4_0_R2_DIODriver-8231</t>
  </si>
  <si>
    <t>8.3.2.0-2.0-7.0-1</t>
  </si>
  <si>
    <t>BSW_SWS_AR4_0_R2_DIODriver-8232</t>
  </si>
  <si>
    <t>8.3.2.0-2.0-7.0-2</t>
  </si>
  <si>
    <t>Level</t>
  </si>
  <si>
    <t>BSW_SWS_AR4_0_R2_DIODriver-8233</t>
  </si>
  <si>
    <t>8.3.2.0-2.0-7.0-3</t>
  </si>
  <si>
    <t>Value to be written</t>
  </si>
  <si>
    <t>BSW_SWS_AR4_0_R2_DIODriver-8235</t>
  </si>
  <si>
    <t>8.3.2.0-2.0-8.0-1</t>
  </si>
  <si>
    <t>BSW_SWS_AR4_0_R2_DIODriver-8236</t>
  </si>
  <si>
    <t>8.3.2.0-2.0-8.0-2</t>
  </si>
  <si>
    <t>BSW_SWS_AR4_0_R2_DIODriver-8238</t>
  </si>
  <si>
    <t>8.3.2.0-2.0-9.0-1</t>
  </si>
  <si>
    <t>BSW_SWS_AR4_0_R2_DIODriver-8239</t>
  </si>
  <si>
    <t>8.3.2.0-2.0-9.0-2</t>
  </si>
  <si>
    <t>BSW_SWS_AR4_0_R2_DIODriver-8241</t>
  </si>
  <si>
    <t>8.3.2.0-2.0-10.0-1</t>
  </si>
  <si>
    <t>BSW_SWS_AR4_0_R2_DIODriver-8242</t>
  </si>
  <si>
    <t>8.3.2.0-2.0-10.0-2</t>
  </si>
  <si>
    <t>BSW_SWS_AR4_0_R2_DIODriver-8244</t>
  </si>
  <si>
    <t>8.3.2.0-2.0-11.0-1</t>
  </si>
  <si>
    <t>BSW_SWS_AR4_0_R2_DIODriver-8245</t>
  </si>
  <si>
    <t>8.3.2.0-2.0-11.0-2</t>
  </si>
  <si>
    <t>Service to set a level of a channel.</t>
  </si>
  <si>
    <t>BSW_SWS_AR4_0_R2_DIODriver-8246</t>
  </si>
  <si>
    <t>8.3.2.0-3</t>
  </si>
  <si>
    <t xml:space="preserve">DIO028: If the specified channel is configured as an output channel, the Dio_WriteChannel function shall set the specified Level for the specified channel. </t>
  </si>
  <si>
    <t xml:space="preserve">The module shall provide function to the Dio_WriteChannel function shall set the specified Level for the specified channel when the specified channel is configured as an output channel.
Risk:Low.
</t>
  </si>
  <si>
    <t xml:space="preserve">Check whether the specified Level for the specified channel is set by the Dio_WriteChannel function when the specified channel is configured as an output channel.
 </t>
  </si>
  <si>
    <t>BSW_SWS_AR4_0_R2_DIODriver-8247</t>
  </si>
  <si>
    <t>8.3.2.0-4</t>
  </si>
  <si>
    <t xml:space="preserve">DIO029: If the specified channel is configured as an input channel, the Dio_WriteChannel function shall have no influence on the physical output. </t>
  </si>
  <si>
    <t xml:space="preserve">The module shall provide support for the specified channel is configured as an input channel, the Dio_WriteChannel function shall have no influence on the physical output.
Risk:Low. 
</t>
  </si>
  <si>
    <t xml:space="preserve">Check whether the Dio_WriteChannel function shall have no influence on the physical output, when the specified channel is configured as an input channel.
</t>
  </si>
  <si>
    <t>BSW_SWS_AR4_0_R2_DIODriver-8248</t>
  </si>
  <si>
    <t>8.3.2.0-5</t>
  </si>
  <si>
    <t>DIO079: If the specified channel is configured as an input channel, the Dio_WriteChannel function shall have no influence on the result of the next Read-Service.</t>
  </si>
  <si>
    <t xml:space="preserve">The module shall provide support for the specified channel is configured as an input channel, the Dio_WriteChannel function shall have no influence on the result of the next Read-Service.
Risk:Low.
</t>
  </si>
  <si>
    <t xml:space="preserve">Check whether the Dio_WriteChannel function shall have no influence on the result of the next Read-Service, when the specified channel is configured as an input channel.
</t>
  </si>
  <si>
    <t>BSW_SWS_AR4_0_R2_DIODriver-8249</t>
  </si>
  <si>
    <t>8.3.2.0-6</t>
  </si>
  <si>
    <t>Furthermore, the requirements DIO005, DIO119 and DIO026 are applicable to the Dio_WriteChannel function.</t>
  </si>
  <si>
    <t>BSW_SWS_AR4_0_R2_DIODriver-8250</t>
  </si>
  <si>
    <t>8.3.3</t>
  </si>
  <si>
    <t xml:space="preserve">	Dio_ReadPort</t>
  </si>
  <si>
    <t>BSW_SWS_AR4_0_R2_DIODriver-8251</t>
  </si>
  <si>
    <t>8.3.3.0-1</t>
  </si>
  <si>
    <t xml:space="preserve">DIO135: </t>
  </si>
  <si>
    <t>Legacy: eASEE.BASD_Dio_AR4.1.2.0_TC_01::1.2.0</t>
  </si>
  <si>
    <t>BSW_SWS_AR4_0_R2_DIODriver-8254</t>
  </si>
  <si>
    <t>8.3.3.0-2.0-1.0-1</t>
  </si>
  <si>
    <t>BSW_SWS_AR4_0_R2_DIODriver-8255</t>
  </si>
  <si>
    <t>8.3.3.0-2.0-1.0-2</t>
  </si>
  <si>
    <t>Dio_ReadPort</t>
  </si>
  <si>
    <t>BSW_SWS_AR4_0_R2_DIODriver-8257</t>
  </si>
  <si>
    <t>8.3.3.0-2.0-2.0-1</t>
  </si>
  <si>
    <t>BSW_SWS_AR4_0_R2_DIODriver-8258</t>
  </si>
  <si>
    <t>8.3.3.0-2.0-2.0-2</t>
  </si>
  <si>
    <t>Dio_PortLevelType Dio_ReadPort(
    Dio_PortType PortId
)</t>
  </si>
  <si>
    <t>BSW_SWS_AR4_0_R2_DIODriver-8260</t>
  </si>
  <si>
    <t>8.3.3.0-2.0-3.0-1</t>
  </si>
  <si>
    <t>BSW_SWS_AR4_0_R2_DIODriver-8261</t>
  </si>
  <si>
    <t>8.3.3.0-2.0-3.0-2</t>
  </si>
  <si>
    <t>0x02</t>
  </si>
  <si>
    <t>BSW_SWS_AR4_0_R2_DIODriver-8263</t>
  </si>
  <si>
    <t>8.3.3.0-2.0-4.0-1</t>
  </si>
  <si>
    <t>BSW_SWS_AR4_0_R2_DIODriver-8264</t>
  </si>
  <si>
    <t>8.3.3.0-2.0-4.0-2</t>
  </si>
  <si>
    <t>BSW_SWS_AR4_0_R2_DIODriver-8266</t>
  </si>
  <si>
    <t>8.3.3.0-2.0-5.0-1</t>
  </si>
  <si>
    <t>BSW_SWS_AR4_0_R2_DIODriver-8267</t>
  </si>
  <si>
    <t>8.3.3.0-2.0-5.0-2</t>
  </si>
  <si>
    <t>BSW_SWS_AR4_0_R2_DIODriver-8269</t>
  </si>
  <si>
    <t>8.3.3.0-2.0-6.0-1</t>
  </si>
  <si>
    <t>BSW_SWS_AR4_0_R2_DIODriver-8270</t>
  </si>
  <si>
    <t>8.3.3.0-2.0-6.0-2</t>
  </si>
  <si>
    <t>PortId</t>
  </si>
  <si>
    <t>BSW_SWS_AR4_0_R2_DIODriver-8271</t>
  </si>
  <si>
    <t>8.3.3.0-2.0-6.0-3</t>
  </si>
  <si>
    <t>ID of DIO Port</t>
  </si>
  <si>
    <t>BSW_SWS_AR4_0_R2_DIODriver-8273</t>
  </si>
  <si>
    <t>8.3.3.0-2.0-7.0-1</t>
  </si>
  <si>
    <t>BSW_SWS_AR4_0_R2_DIODriver-8274</t>
  </si>
  <si>
    <t>8.3.3.0-2.0-7.0-2</t>
  </si>
  <si>
    <t>BSW_SWS_AR4_0_R2_DIODriver-8276</t>
  </si>
  <si>
    <t>8.3.3.0-2.0-8.0-1</t>
  </si>
  <si>
    <t>BSW_SWS_AR4_0_R2_DIODriver-8277</t>
  </si>
  <si>
    <t>8.3.3.0-2.0-8.0-2</t>
  </si>
  <si>
    <t>BSW_SWS_AR4_0_R2_DIODriver-8279</t>
  </si>
  <si>
    <t>8.3.3.0-2.0-9.0-1</t>
  </si>
  <si>
    <t>BSW_SWS_AR4_0_R2_DIODriver-8280</t>
  </si>
  <si>
    <t>8.3.3.0-2.0-9.0-2</t>
  </si>
  <si>
    <t>BSW_SWS_AR4_0_R2_DIODriver-8281</t>
  </si>
  <si>
    <t>8.3.3.0-2.0-9.0-3</t>
  </si>
  <si>
    <t>Level of all channels of that port</t>
  </si>
  <si>
    <t>BSW_SWS_AR4_0_R2_DIODriver-8283</t>
  </si>
  <si>
    <t>8.3.3.0-2.0-10.0-1</t>
  </si>
  <si>
    <t>BSW_SWS_AR4_0_R2_DIODriver-8284</t>
  </si>
  <si>
    <t>8.3.3.0-2.0-10.0-2</t>
  </si>
  <si>
    <t>Returns the level of all channels of that port.</t>
  </si>
  <si>
    <t>BSW_SWS_AR4_0_R2_DIODriver-8285</t>
  </si>
  <si>
    <t>8.3.3.0-3</t>
  </si>
  <si>
    <r>
      <t>DIO031:</t>
    </r>
    <r>
      <rPr>
        <sz val="10"/>
        <color theme="1"/>
        <rFont val="Arial"/>
        <family val="2"/>
      </rPr>
      <t xml:space="preserve"> The Dio_ReadPort function shall return the level of all channels of that port.</t>
    </r>
  </si>
  <si>
    <t xml:space="preserve">The module shall provide function to The Dio_ReadPort function shall set the specified Level for the specified channel when the specified channel is configured as an output channel.
Risk:Low.
</t>
  </si>
  <si>
    <t xml:space="preserve">Check whether the specified Level for the specified channel is set by the Dio_ReadPort function when the specified channel is configured as an output channel.
Verify by calling function.
</t>
  </si>
  <si>
    <t>BSW_SWS_AR4_0_R2_DIODriver-8286</t>
  </si>
  <si>
    <t>8.3.3.0-4</t>
  </si>
  <si>
    <t>DIO104: When reading a port which is smaller than the Dio_PortType using the Dio_ReadPort function (see [DIO103]), the function shall set the bits corresponding to undefined port pins to 0.</t>
  </si>
  <si>
    <t xml:space="preserve">The module shall provide support for the function to set the bits corresponding to undefined port pins to 0 when readung a port which is smaller than the Dio_PortType using the Dio_ReadPort function.
</t>
  </si>
  <si>
    <t xml:space="preserve">Check whether the bits corresponding shall be set to undefined port pins to 0 by the function When reading a port which is smaller than the Dio_PortType using the Dio_ReadPort function.  </t>
  </si>
  <si>
    <t>BSW_SWS_AR4_0_R2_DIODriver-8287</t>
  </si>
  <si>
    <t>8.3.3.0-5</t>
  </si>
  <si>
    <t>Furthermore, the requirements DIO005, DIO118 and DIO026 are applicable to the Dio_ReadPort function.</t>
  </si>
  <si>
    <t>BSW_SWS_AR4_0_R2_DIODriver-8288</t>
  </si>
  <si>
    <t>8.3.3.0-6</t>
  </si>
  <si>
    <t xml:space="preserve">	</t>
  </si>
  <si>
    <t>BSW_SWS_AR4_0_R2_DIODriver-8289</t>
  </si>
  <si>
    <t>8.3.4</t>
  </si>
  <si>
    <t xml:space="preserve">	Dio_WritePort</t>
  </si>
  <si>
    <t>BSW_SWS_AR4_0_R2_DIODriver-8290</t>
  </si>
  <si>
    <t>8.3.4.0-1</t>
  </si>
  <si>
    <t xml:space="preserve">DIO136: </t>
  </si>
  <si>
    <t>BSW_SWS_AR4_0_R2_DIODriver-8293</t>
  </si>
  <si>
    <t>8.3.4.0-2.0-1.0-1</t>
  </si>
  <si>
    <t>BSW_SWS_AR4_0_R2_DIODriver-8294</t>
  </si>
  <si>
    <t>8.3.4.0-2.0-1.0-2</t>
  </si>
  <si>
    <t>Dio_WritePort</t>
  </si>
  <si>
    <t>BSW_SWS_AR4_0_R2_DIODriver-8296</t>
  </si>
  <si>
    <t>8.3.4.0-2.0-2.0-1</t>
  </si>
  <si>
    <t>BSW_SWS_AR4_0_R2_DIODriver-8297</t>
  </si>
  <si>
    <t>8.3.4.0-2.0-2.0-2</t>
  </si>
  <si>
    <t>void Dio_WritePort(
    Dio_PortType PortId,
    Dio_PortLevelType Level
)</t>
  </si>
  <si>
    <t>BSW_SWS_AR4_0_R2_DIODriver-8299</t>
  </si>
  <si>
    <t>8.3.4.0-2.0-3.0-1</t>
  </si>
  <si>
    <t>BSW_SWS_AR4_0_R2_DIODriver-8300</t>
  </si>
  <si>
    <t>8.3.4.0-2.0-3.0-2</t>
  </si>
  <si>
    <t>0x03</t>
  </si>
  <si>
    <t>BSW_SWS_AR4_0_R2_DIODriver-8302</t>
  </si>
  <si>
    <t>8.3.4.0-2.0-4.0-1</t>
  </si>
  <si>
    <t>BSW_SWS_AR4_0_R2_DIODriver-8303</t>
  </si>
  <si>
    <t>8.3.4.0-2.0-4.0-2</t>
  </si>
  <si>
    <t>BSW_SWS_AR4_0_R2_DIODriver-8305</t>
  </si>
  <si>
    <t>8.3.4.0-2.0-5.0-1</t>
  </si>
  <si>
    <t>BSW_SWS_AR4_0_R2_DIODriver-8306</t>
  </si>
  <si>
    <t>8.3.4.0-2.0-5.0-2</t>
  </si>
  <si>
    <t>BSW_SWS_AR4_0_R2_DIODriver-8308</t>
  </si>
  <si>
    <t>8.3.4.0-2.0-6.0-1</t>
  </si>
  <si>
    <t>BSW_SWS_AR4_0_R2_DIODriver-8309</t>
  </si>
  <si>
    <t>8.3.4.0-2.0-6.0-2</t>
  </si>
  <si>
    <t>BSW_SWS_AR4_0_R2_DIODriver-8310</t>
  </si>
  <si>
    <t>8.3.4.0-2.0-6.0-3</t>
  </si>
  <si>
    <t>BSW_SWS_AR4_0_R2_DIODriver-8312</t>
  </si>
  <si>
    <t>8.3.4.0-2.0-7.0-1</t>
  </si>
  <si>
    <t>BSW_SWS_AR4_0_R2_DIODriver-8313</t>
  </si>
  <si>
    <t>8.3.4.0-2.0-7.0-2</t>
  </si>
  <si>
    <t>BSW_SWS_AR4_0_R2_DIODriver-8314</t>
  </si>
  <si>
    <t>8.3.4.0-2.0-7.0-3</t>
  </si>
  <si>
    <t>BSW_SWS_AR4_0_R2_DIODriver-8316</t>
  </si>
  <si>
    <t>8.3.4.0-2.0-8.0-1</t>
  </si>
  <si>
    <t>BSW_SWS_AR4_0_R2_DIODriver-8317</t>
  </si>
  <si>
    <t>8.3.4.0-2.0-8.0-2</t>
  </si>
  <si>
    <t>BSW_SWS_AR4_0_R2_DIODriver-8319</t>
  </si>
  <si>
    <t>8.3.4.0-2.0-9.0-1</t>
  </si>
  <si>
    <t>BSW_SWS_AR4_0_R2_DIODriver-8320</t>
  </si>
  <si>
    <t>8.3.4.0-2.0-9.0-2</t>
  </si>
  <si>
    <t>BSW_SWS_AR4_0_R2_DIODriver-8322</t>
  </si>
  <si>
    <t>8.3.4.0-2.0-10.0-1</t>
  </si>
  <si>
    <t>BSW_SWS_AR4_0_R2_DIODriver-8323</t>
  </si>
  <si>
    <t>8.3.4.0-2.0-10.0-2</t>
  </si>
  <si>
    <t>BSW_SWS_AR4_0_R2_DIODriver-8325</t>
  </si>
  <si>
    <t>8.3.4.0-2.0-11.0-1</t>
  </si>
  <si>
    <t>BSW_SWS_AR4_0_R2_DIODriver-8326</t>
  </si>
  <si>
    <t>8.3.4.0-2.0-11.0-2</t>
  </si>
  <si>
    <t>Service to set a value of the port.</t>
  </si>
  <si>
    <t>BSW_SWS_AR4_0_R2_DIODriver-8327</t>
  </si>
  <si>
    <t>8.3.4.0-3</t>
  </si>
  <si>
    <t>DIO034: The Dio_WritePort function shall set the specified value for the specified port.</t>
  </si>
  <si>
    <t xml:space="preserve">The Dio module shall provide the specified value shall be set the  Dio_WritePort function.
Risk:Low.
</t>
  </si>
  <si>
    <t>BSW_SWS_AR4_0_R2_DIODriver-8328</t>
  </si>
  <si>
    <t>8.3.4.0-4</t>
  </si>
  <si>
    <t>DIO035: When the Dio_WritePort function is called, DIO Channels that are configured as input shall remain unchanged.</t>
  </si>
  <si>
    <t xml:space="preserve">The Dio module shall provide support for the DIO Channels that are configured as input shall remain unchanged when the Dio_WritePort function is called.
Risk:Low.
</t>
  </si>
  <si>
    <t>BSW_SWS_AR4_0_R2_DIODriver-8329</t>
  </si>
  <si>
    <t>8.3.4.0-5</t>
  </si>
  <si>
    <t>DIO105: When writing a port which is smaller than the Dio_PortType using the Dio_WritePort function (see [DIO103]), the function shall ignore the MSB.</t>
  </si>
  <si>
    <t>The Dio module shall provide support for the function ignore the MSB, when writing a port which is smaller than the Dio_PortType using the Dio_WritePort function.
Risk:Low.</t>
  </si>
  <si>
    <t>BSW_SWS_AR4_0_R2_DIODriver-8330</t>
  </si>
  <si>
    <t>8.3.4.0-6</t>
  </si>
  <si>
    <t xml:space="preserve">DIO108: The Dio_WritePort function shall have no effect on channels within this port which are configured as input channels. </t>
  </si>
  <si>
    <t xml:space="preserve">A check shall be provide to check the Dio_WritePort function shall have no effect on channels within this port which are configured as input channels. 
Risk:Low.
</t>
  </si>
  <si>
    <t>BSW_SWS_AR4_0_R2_DIODriver-8331</t>
  </si>
  <si>
    <t>8.3.4.0-7</t>
  </si>
  <si>
    <t>Furthermore, the requirements DIO005, DIO119 and DIO026 are applicable to the Dio_WritePort function.</t>
  </si>
  <si>
    <t>BSW_SWS_AR4_0_R2_DIODriver-8332</t>
  </si>
  <si>
    <t>8.3.5</t>
  </si>
  <si>
    <t xml:space="preserve">	Dio_ReadChannelGroup</t>
  </si>
  <si>
    <t>BSW_SWS_AR4_0_R2_DIODriver-8333</t>
  </si>
  <si>
    <t>8.3.5.0-1</t>
  </si>
  <si>
    <t xml:space="preserve">DIO137: </t>
  </si>
  <si>
    <t>BSW_SWS_AR4_0_R2_DIODriver-8336</t>
  </si>
  <si>
    <t>8.3.5.0-2.0-1.0-1</t>
  </si>
  <si>
    <t>BSW_SWS_AR4_0_R2_DIODriver-8337</t>
  </si>
  <si>
    <t>8.3.5.0-2.0-1.0-2</t>
  </si>
  <si>
    <t>Dio_ReadChannelGroup</t>
  </si>
  <si>
    <t>BSW_SWS_AR4_0_R2_DIODriver-8339</t>
  </si>
  <si>
    <t>8.3.5.0-2.0-2.0-1</t>
  </si>
  <si>
    <t>BSW_SWS_AR4_0_R2_DIODriver-8340</t>
  </si>
  <si>
    <t>8.3.5.0-2.0-2.0-2</t>
  </si>
  <si>
    <t>Dio_PortLevelType Dio_ReadChannelGroup(
    const Dio_ChannelGroupType* ChannelGroupIdPtr
)</t>
  </si>
  <si>
    <t>BSW_SWS_AR4_0_R2_DIODriver-8342</t>
  </si>
  <si>
    <t>8.3.5.0-2.0-3.0-1</t>
  </si>
  <si>
    <t>BSW_SWS_AR4_0_R2_DIODriver-8343</t>
  </si>
  <si>
    <t>8.3.5.0-2.0-3.0-2</t>
  </si>
  <si>
    <t>0x04</t>
  </si>
  <si>
    <t>BSW_SWS_AR4_0_R2_DIODriver-8345</t>
  </si>
  <si>
    <t>8.3.5.0-2.0-4.0-1</t>
  </si>
  <si>
    <t>BSW_SWS_AR4_0_R2_DIODriver-8346</t>
  </si>
  <si>
    <t>8.3.5.0-2.0-4.0-2</t>
  </si>
  <si>
    <t>BSW_SWS_AR4_0_R2_DIODriver-8348</t>
  </si>
  <si>
    <t>8.3.5.0-2.0-5.0-1</t>
  </si>
  <si>
    <t>BSW_SWS_AR4_0_R2_DIODriver-8349</t>
  </si>
  <si>
    <t>8.3.5.0-2.0-5.0-2</t>
  </si>
  <si>
    <t>BSW_SWS_AR4_0_R2_DIODriver-8351</t>
  </si>
  <si>
    <t>8.3.5.0-2.0-6.0-1</t>
  </si>
  <si>
    <t>BSW_SWS_AR4_0_R2_DIODriver-8352</t>
  </si>
  <si>
    <t>8.3.5.0-2.0-6.0-2</t>
  </si>
  <si>
    <t>ChannelGroupIdPtr</t>
  </si>
  <si>
    <t>BSW_SWS_AR4_0_R2_DIODriver-8353</t>
  </si>
  <si>
    <t>8.3.5.0-2.0-6.0-3</t>
  </si>
  <si>
    <t>Pointer to ChannelGroup</t>
  </si>
  <si>
    <t>BSW_SWS_AR4_0_R2_DIODriver-8355</t>
  </si>
  <si>
    <t>8.3.5.0-2.0-7.0-1</t>
  </si>
  <si>
    <t>BSW_SWS_AR4_0_R2_DIODriver-8356</t>
  </si>
  <si>
    <t>8.3.5.0-2.0-7.0-2</t>
  </si>
  <si>
    <t>BSW_SWS_AR4_0_R2_DIODriver-8358</t>
  </si>
  <si>
    <t>8.3.5.0-2.0-8.0-1</t>
  </si>
  <si>
    <t>BSW_SWS_AR4_0_R2_DIODriver-8359</t>
  </si>
  <si>
    <t>8.3.5.0-2.0-8.0-2</t>
  </si>
  <si>
    <t>BSW_SWS_AR4_0_R2_DIODriver-8361</t>
  </si>
  <si>
    <t>8.3.5.0-2.0-9.0-1</t>
  </si>
  <si>
    <t>BSW_SWS_AR4_0_R2_DIODriver-8362</t>
  </si>
  <si>
    <t>8.3.5.0-2.0-9.0-2</t>
  </si>
  <si>
    <t>BSW_SWS_AR4_0_R2_DIODriver-8363</t>
  </si>
  <si>
    <t>8.3.5.0-2.0-9.0-3</t>
  </si>
  <si>
    <t>Level of a subset of the adjoining bits of a port</t>
  </si>
  <si>
    <t>BSW_SWS_AR4_0_R2_DIODriver-8365</t>
  </si>
  <si>
    <t>8.3.5.0-2.0-10.0-1</t>
  </si>
  <si>
    <t>BSW_SWS_AR4_0_R2_DIODriver-8366</t>
  </si>
  <si>
    <t>8.3.5.0-2.0-10.0-2</t>
  </si>
  <si>
    <t>This Service reads a subset of the adjoining bits of a port.</t>
  </si>
  <si>
    <t>BSW_SWS_AR4_0_R2_DIODriver-8367</t>
  </si>
  <si>
    <t>8.3.5.0-3</t>
  </si>
  <si>
    <t>DIO037: The Dio_ReadChannelGroup function shall read a subset of the adjoining bits of a port (channel group).</t>
  </si>
  <si>
    <t>The Dio module shall provide support for a subset of the adjoining bits of a port shall be read by the Dio_ReadChannelGroup function.
Risk:Low.</t>
  </si>
  <si>
    <t>BSW_SWS_AR4_0_R2_DIODriver-8368</t>
  </si>
  <si>
    <t>8.3.5.0-4</t>
  </si>
  <si>
    <t>DIO092: The Dio_ReadChannelGroup function shall do the masking of the channel group.</t>
  </si>
  <si>
    <t xml:space="preserve">The masking of the channel group shall be do by Dio_ReadChannelGroup function.
Risk:Low.
</t>
  </si>
  <si>
    <t>BSW_SWS_AR4_0_R2_DIODriver-8369</t>
  </si>
  <si>
    <t>8.3.5.0-5</t>
  </si>
  <si>
    <t>DIO093: The Dio_ReadChannelGroup function shall do the shifting so that the values read by the function are aligned to the LSB.</t>
  </si>
  <si>
    <t xml:space="preserve">The shifting shall be do by the Dio_ReadChannelGroup function so that the values read by the functionare aligned to the LSB.
Risk:Low.
</t>
  </si>
  <si>
    <t>BSW_SWS_AR4_0_R2_DIODriver-8370</t>
  </si>
  <si>
    <t>8.3.5.0-6</t>
  </si>
  <si>
    <t>Furthermore, the requirements DIO005, DIO056, DIO083, DIO084, DIO118 and DIO026 are applicable to the Dio_ReadChannelGroup function.</t>
  </si>
  <si>
    <t>BSW_SWS_AR4_0_R2_DIODriver-8371</t>
  </si>
  <si>
    <t>8.3.6</t>
  </si>
  <si>
    <t xml:space="preserve">	Dio_WriteChannelGroup</t>
  </si>
  <si>
    <t>BSW_SWS_AR4_0_R2_DIODriver-8372</t>
  </si>
  <si>
    <t>8.3.6.0-1</t>
  </si>
  <si>
    <t xml:space="preserve">DIO138: </t>
  </si>
  <si>
    <t>BSW_SWS_AR4_0_R2_DIODriver-8375</t>
  </si>
  <si>
    <t>8.3.6.0-2.0-1.0-1</t>
  </si>
  <si>
    <t>BSW_SWS_AR4_0_R2_DIODriver-8376</t>
  </si>
  <si>
    <t>8.3.6.0-2.0-1.0-2</t>
  </si>
  <si>
    <t>Dio_WriteChannelGroup</t>
  </si>
  <si>
    <t>BSW_SWS_AR4_0_R2_DIODriver-8378</t>
  </si>
  <si>
    <t>8.3.6.0-2.0-2.0-1</t>
  </si>
  <si>
    <t>BSW_SWS_AR4_0_R2_DIODriver-8379</t>
  </si>
  <si>
    <t>8.3.6.0-2.0-2.0-2</t>
  </si>
  <si>
    <t>void Dio_WriteChannelGroup(
    const Dio_ChannelGroupType* ChannelGroupIdPtr,
    Dio_PortLevelType Level
)</t>
  </si>
  <si>
    <t>BSW_SWS_AR4_0_R2_DIODriver-8381</t>
  </si>
  <si>
    <t>8.3.6.0-2.0-3.0-1</t>
  </si>
  <si>
    <t>BSW_SWS_AR4_0_R2_DIODriver-8382</t>
  </si>
  <si>
    <t>8.3.6.0-2.0-3.0-2</t>
  </si>
  <si>
    <t>0x05</t>
  </si>
  <si>
    <t>BSW_SWS_AR4_0_R2_DIODriver-8384</t>
  </si>
  <si>
    <t>8.3.6.0-2.0-4.0-1</t>
  </si>
  <si>
    <t>BSW_SWS_AR4_0_R2_DIODriver-8385</t>
  </si>
  <si>
    <t>8.3.6.0-2.0-4.0-2</t>
  </si>
  <si>
    <t>BSW_SWS_AR4_0_R2_DIODriver-8387</t>
  </si>
  <si>
    <t>8.3.6.0-2.0-5.0-1</t>
  </si>
  <si>
    <t>BSW_SWS_AR4_0_R2_DIODriver-8388</t>
  </si>
  <si>
    <t>8.3.6.0-2.0-5.0-2</t>
  </si>
  <si>
    <t>BSW_SWS_AR4_0_R2_DIODriver-8390</t>
  </si>
  <si>
    <t>8.3.6.0-2.0-6.0-1</t>
  </si>
  <si>
    <t>BSW_SWS_AR4_0_R2_DIODriver-8391</t>
  </si>
  <si>
    <t>8.3.6.0-2.0-6.0-2</t>
  </si>
  <si>
    <t>BSW_SWS_AR4_0_R2_DIODriver-8392</t>
  </si>
  <si>
    <t>8.3.6.0-2.0-6.0-3</t>
  </si>
  <si>
    <t>BSW_SWS_AR4_0_R2_DIODriver-8394</t>
  </si>
  <si>
    <t>8.3.6.0-2.0-7.0-1</t>
  </si>
  <si>
    <t>BSW_SWS_AR4_0_R2_DIODriver-8395</t>
  </si>
  <si>
    <t>8.3.6.0-2.0-7.0-2</t>
  </si>
  <si>
    <t>BSW_SWS_AR4_0_R2_DIODriver-8396</t>
  </si>
  <si>
    <t>8.3.6.0-2.0-7.0-3</t>
  </si>
  <si>
    <t>BSW_SWS_AR4_0_R2_DIODriver-8398</t>
  </si>
  <si>
    <t>8.3.6.0-2.0-8.0-1</t>
  </si>
  <si>
    <t>BSW_SWS_AR4_0_R2_DIODriver-8399</t>
  </si>
  <si>
    <t>8.3.6.0-2.0-8.0-2</t>
  </si>
  <si>
    <t>BSW_SWS_AR4_0_R2_DIODriver-8401</t>
  </si>
  <si>
    <t>8.3.6.0-2.0-9.0-1</t>
  </si>
  <si>
    <t>BSW_SWS_AR4_0_R2_DIODriver-8402</t>
  </si>
  <si>
    <t>8.3.6.0-2.0-9.0-2</t>
  </si>
  <si>
    <t>BSW_SWS_AR4_0_R2_DIODriver-8404</t>
  </si>
  <si>
    <t>8.3.6.0-2.0-10.0-1</t>
  </si>
  <si>
    <t>BSW_SWS_AR4_0_R2_DIODriver-8405</t>
  </si>
  <si>
    <t>8.3.6.0-2.0-10.0-2</t>
  </si>
  <si>
    <t>BSW_SWS_AR4_0_R2_DIODriver-8407</t>
  </si>
  <si>
    <t>8.3.6.0-2.0-11.0-1</t>
  </si>
  <si>
    <t>BSW_SWS_AR4_0_R2_DIODriver-8408</t>
  </si>
  <si>
    <t>8.3.6.0-2.0-11.0-2</t>
  </si>
  <si>
    <t>Service to set a subset of the adjoining bits of a port to a specified level.</t>
  </si>
  <si>
    <t>BSW_SWS_AR4_0_R2_DIODriver-8409</t>
  </si>
  <si>
    <t>8.3.6.0-3</t>
  </si>
  <si>
    <t>DIO039: The Dio_WriteChannelGroup function shall set a subset of the adjoining bits of a port (channel group) to a specified level.</t>
  </si>
  <si>
    <t xml:space="preserve">A subset of the adjoining bits of a port shall be do by the Dio_WriteChannelGroup function.
Risk:Low.
</t>
  </si>
  <si>
    <t>BSW_SWS_AR4_0_R2_DIODriver-8410</t>
  </si>
  <si>
    <t>8.3.6.0-4</t>
  </si>
  <si>
    <t>DIO040: The Dio_WriteChannelGroup shall not change the remaining channels of the port and channels which are configured as input.</t>
  </si>
  <si>
    <t xml:space="preserve">The remaining channels of the port and channels shall not be change which are configured as input by  Dio_WriteChannelGroup
Risk:Low.
</t>
  </si>
  <si>
    <t>BSW_SWS_AR4_0_R2_DIODriver-8411</t>
  </si>
  <si>
    <t>8.3.6.0-5</t>
  </si>
  <si>
    <t>DIO090: The Dio_WriteChannelGroup function shall do the masking of the channel group.</t>
  </si>
  <si>
    <t xml:space="preserve">The masking of the channel group shall be do by Dio_WriteChannelGroup function
Risk:Low.
</t>
  </si>
  <si>
    <t>BSW_SWS_AR4_0_R2_DIODriver-8412</t>
  </si>
  <si>
    <t>8.3.6.0-6</t>
  </si>
  <si>
    <t>DIO091: The function Dio_WriteChannelGroup shall do the shifting so that the values written by the function are aligned to the LSB.</t>
  </si>
  <si>
    <t xml:space="preserve">The shifting shall be do by the function Dio_WriteChannelGroup so that the values written by the function are aligned to the LSB.
Risk:Low.
</t>
  </si>
  <si>
    <t>BSW_SWS_AR4_0_R2_DIODriver-8413</t>
  </si>
  <si>
    <t>8.3.6.0-7</t>
  </si>
  <si>
    <t>Furthermore, the requirements DIO005, DIO056, DIO119 and DIO026 are applicable for the Dio_WriteChannelGroup function.</t>
  </si>
  <si>
    <t>BSW_SWS_AR4_0_R2_DIODriver-8414</t>
  </si>
  <si>
    <t>8.3.7</t>
  </si>
  <si>
    <t xml:space="preserve">	Dio_GetVersionInfo</t>
  </si>
  <si>
    <t>BSW_SWS_AR4_0_R2_DIODriver-8415</t>
  </si>
  <si>
    <t>8.3.7.0-1</t>
  </si>
  <si>
    <t xml:space="preserve"> </t>
  </si>
  <si>
    <t>BSW_SWS_AR4_0_R2_DIODriver-8416</t>
  </si>
  <si>
    <t>8.3.7.0-2</t>
  </si>
  <si>
    <t xml:space="preserve">DIO139: </t>
  </si>
  <si>
    <t>Legacy: Dio_GetVersionInfo</t>
  </si>
  <si>
    <t>BSW_SWS_AR4_0_R2_DIODriver-8419</t>
  </si>
  <si>
    <t>8.3.7.0-3.0-1.0-1</t>
  </si>
  <si>
    <t>BSW_SWS_AR4_0_R2_DIODriver-8420</t>
  </si>
  <si>
    <t>8.3.7.0-3.0-1.0-2</t>
  </si>
  <si>
    <t>Dio_GetVersionInfo</t>
  </si>
  <si>
    <t>BSW_SWS_AR4_0_R2_DIODriver-8422</t>
  </si>
  <si>
    <t>8.3.7.0-3.0-2.0-1</t>
  </si>
  <si>
    <t>BSW_SWS_AR4_0_R2_DIODriver-8423</t>
  </si>
  <si>
    <t>8.3.7.0-3.0-2.0-2</t>
  </si>
  <si>
    <t>void Dio_GetVersionInfo(
    Std_VersionInfoType* VersionInfo
)</t>
  </si>
  <si>
    <t>BSW_SWS_AR4_0_R2_DIODriver-8425</t>
  </si>
  <si>
    <t>8.3.7.0-3.0-3.0-1</t>
  </si>
  <si>
    <t>BSW_SWS_AR4_0_R2_DIODriver-8426</t>
  </si>
  <si>
    <t>8.3.7.0-3.0-3.0-2</t>
  </si>
  <si>
    <t>0x12</t>
  </si>
  <si>
    <t>BSW_SWS_AR4_0_R2_DIODriver-8428</t>
  </si>
  <si>
    <t>8.3.7.0-3.0-4.0-1</t>
  </si>
  <si>
    <t>BSW_SWS_AR4_0_R2_DIODriver-8429</t>
  </si>
  <si>
    <t>8.3.7.0-3.0-4.0-2</t>
  </si>
  <si>
    <t>BSW_SWS_AR4_0_R2_DIODriver-8431</t>
  </si>
  <si>
    <t>8.3.7.0-3.0-5.0-1</t>
  </si>
  <si>
    <t>BSW_SWS_AR4_0_R2_DIODriver-8432</t>
  </si>
  <si>
    <t>8.3.7.0-3.0-5.0-2</t>
  </si>
  <si>
    <t>Non Reentrant</t>
  </si>
  <si>
    <t>BSW_SWS_AR4_0_R2_DIODriver-8434</t>
  </si>
  <si>
    <t>8.3.7.0-3.0-6.0-1</t>
  </si>
  <si>
    <t>BSW_SWS_AR4_0_R2_DIODriver-8435</t>
  </si>
  <si>
    <t>8.3.7.0-3.0-6.0-2</t>
  </si>
  <si>
    <t>BSW_SWS_AR4_0_R2_DIODriver-8437</t>
  </si>
  <si>
    <t>8.3.7.0-3.0-7.0-1</t>
  </si>
  <si>
    <t>BSW_SWS_AR4_0_R2_DIODriver-8438</t>
  </si>
  <si>
    <t>8.3.7.0-3.0-7.0-2</t>
  </si>
  <si>
    <t>BSW_SWS_AR4_0_R2_DIODriver-8440</t>
  </si>
  <si>
    <t>8.3.7.0-3.0-8.0-1</t>
  </si>
  <si>
    <t>BSW_SWS_AR4_0_R2_DIODriver-8441</t>
  </si>
  <si>
    <t>8.3.7.0-3.0-8.0-2</t>
  </si>
  <si>
    <t>VersionInfo</t>
  </si>
  <si>
    <t>BSW_SWS_AR4_0_R2_DIODriver-8442</t>
  </si>
  <si>
    <t>8.3.7.0-3.0-8.0-3</t>
  </si>
  <si>
    <t>Pointer to where to store the version information of this module.</t>
  </si>
  <si>
    <t>BSW_SWS_AR4_0_R2_DIODriver-8444</t>
  </si>
  <si>
    <t>8.3.7.0-3.0-9.0-1</t>
  </si>
  <si>
    <t>BSW_SWS_AR4_0_R2_DIODriver-8445</t>
  </si>
  <si>
    <t>8.3.7.0-3.0-9.0-2</t>
  </si>
  <si>
    <t>BSW_SWS_AR4_0_R2_DIODriver-8447</t>
  </si>
  <si>
    <t>8.3.7.0-3.0-10.0-1</t>
  </si>
  <si>
    <t>BSW_SWS_AR4_0_R2_DIODriver-8448</t>
  </si>
  <si>
    <t>8.3.7.0-3.0-10.0-2</t>
  </si>
  <si>
    <t>Service to get the version information of this module.</t>
  </si>
  <si>
    <t>BSW_SWS_AR4_0_R2_DIODriver-8449</t>
  </si>
  <si>
    <t>8.3.7.0-4</t>
  </si>
  <si>
    <r>
      <t>DIO123:</t>
    </r>
    <r>
      <rPr>
        <sz val="10"/>
        <color theme="1"/>
        <rFont val="Arial"/>
        <family val="2"/>
      </rPr>
      <t xml:space="preserve"> The Dio_GetVersionInfo function shall return the version information of this module. The version information includes:</t>
    </r>
  </si>
  <si>
    <t>The module shall provide the Dio_GetVersionInfo function return the version information of this module
Risk: Low</t>
  </si>
  <si>
    <t>Check whether function Dio_GetVersionInfo shall return the version information of the DIO module.</t>
  </si>
  <si>
    <t>BSW_SWS_AR4_0_R2_DIODriver-8450</t>
  </si>
  <si>
    <t>8.3.7.0-5</t>
  </si>
  <si>
    <t>∙	Module Id (See Literature [2])</t>
  </si>
  <si>
    <t>BSW_SWS_AR4_0_R2_DIODriver-8451</t>
  </si>
  <si>
    <t>8.3.7.0-6</t>
  </si>
  <si>
    <t>∙	Vendor Id</t>
  </si>
  <si>
    <t>BSW_SWS_AR4_0_R2_DIODriver-8452</t>
  </si>
  <si>
    <t>8.3.7.0-7</t>
  </si>
  <si>
    <t>∙	Vendor specific version numbers (BSW00407).</t>
  </si>
  <si>
    <t>BSW_SWS_AR4_0_R2_DIODriver-8453</t>
  </si>
  <si>
    <t>8.3.7.0-8</t>
  </si>
  <si>
    <t>DIO126: If source code for caller and callee is available, the module Dio should realize the function Dio_GetVersionInfo as a macro defined in the module's header file.</t>
  </si>
  <si>
    <t>BSW_SWS_AR4_0_R2_DIODriver-8454</t>
  </si>
  <si>
    <t>8.3.7.0-9</t>
  </si>
  <si>
    <t>DIO124: The Dio_GetVersionInfo function shall be pre-compile time configurable (On/Off) by the configuration parameter DioVersionInfoApi.</t>
  </si>
  <si>
    <t xml:space="preserve">The module shall provide support for pre-compile time configurable (On/Off) in Dio_GetVersionInfo function by the configuration parameter DioVersionInfoApi.
Risk:Low.
</t>
  </si>
  <si>
    <t>Check whether Dio_GetVersionInfo function only available when the configuration parameter DioVersionInfoApi is set to true, otherwise is disbled.</t>
  </si>
  <si>
    <t xml:space="preserve">Legacy: Covered by review </t>
  </si>
  <si>
    <t>BSW_SWS_AR4_0_R2_DIODriver-8455</t>
  </si>
  <si>
    <t>8.3.7.0-10</t>
  </si>
  <si>
    <r>
      <t>DIO189:</t>
    </r>
    <r>
      <rPr>
        <b/>
        <sz val="10"/>
        <color theme="1"/>
        <rFont val="Arial"/>
        <family val="2"/>
      </rPr>
      <t xml:space="preserve"> </t>
    </r>
    <r>
      <rPr>
        <sz val="10"/>
        <color theme="1"/>
        <rFont val="Arial"/>
        <family val="2"/>
      </rPr>
      <t>If DET is enabled for the DIO Driver module, the function Dio_GetVersionInfo shall raise DIO_E_PARAM_POINTER, if the argument is NULL pointer and return without any action.</t>
    </r>
  </si>
  <si>
    <t>A check shall be provided to check if the NULL pointer parameter is pass to function, the error code "DIO_E_PARAM_POINTER" shall report to the DET.
Risk: Low.</t>
  </si>
  <si>
    <t xml:space="preserve">Check whether the DET errors are reported when the NULL pointer parameter is pass to function, the error code "DIO_E_PARAM_POINTER" shall report to the DET.
</t>
  </si>
  <si>
    <t xml:space="preserve">Legacy: Dio_GetVersionInfo </t>
  </si>
  <si>
    <t>BSW_SWS_AR4_0_R2_DIODriver-8456</t>
  </si>
  <si>
    <t>8.3.7.0-11</t>
  </si>
  <si>
    <t>See also Chapter 10.</t>
  </si>
  <si>
    <t>BSW_SWS_AR4_0_R2_DIODriver-8457</t>
  </si>
  <si>
    <t>8.3.8</t>
  </si>
  <si>
    <t xml:space="preserve">	Dio_Init</t>
  </si>
  <si>
    <t>BSW_SWS_AR4_0_R2_DIODriver-8458</t>
  </si>
  <si>
    <t>8.3.8.0-1</t>
  </si>
  <si>
    <t>DIO165:</t>
  </si>
  <si>
    <t>Legacy: Dio_Init_Null</t>
  </si>
  <si>
    <t>BSW_SWS_AR4_0_R2_DIODriver-8461</t>
  </si>
  <si>
    <t>8.3.8.0-2.0-1.0-1</t>
  </si>
  <si>
    <t>BSW_SWS_AR4_0_R2_DIODriver-8462</t>
  </si>
  <si>
    <t>8.3.8.0-2.0-1.0-2</t>
  </si>
  <si>
    <t>Dio_Init</t>
  </si>
  <si>
    <t>BSW_SWS_AR4_0_R2_DIODriver-8464</t>
  </si>
  <si>
    <t>8.3.8.0-2.0-2.0-1</t>
  </si>
  <si>
    <t>BSW_SWS_AR4_0_R2_DIODriver-8465</t>
  </si>
  <si>
    <t>8.3.8.0-2.0-2.0-2</t>
  </si>
  <si>
    <t>void Dio_Init(
    const Dio_ConfigType* ConfigPtr
)</t>
  </si>
  <si>
    <t>BSW_SWS_AR4_0_R2_DIODriver-8467</t>
  </si>
  <si>
    <t>8.3.8.0-2.0-3.0-1</t>
  </si>
  <si>
    <t>BSW_SWS_AR4_0_R2_DIODriver-8468</t>
  </si>
  <si>
    <t>8.3.8.0-2.0-3.0-2</t>
  </si>
  <si>
    <t>BSW_SWS_AR4_0_R2_DIODriver-8470</t>
  </si>
  <si>
    <t>8.3.8.0-2.0-4.0-1</t>
  </si>
  <si>
    <t>BSW_SWS_AR4_0_R2_DIODriver-8471</t>
  </si>
  <si>
    <t>8.3.8.0-2.0-4.0-2</t>
  </si>
  <si>
    <t>BSW_SWS_AR4_0_R2_DIODriver-8473</t>
  </si>
  <si>
    <t>8.3.8.0-2.0-5.0-1</t>
  </si>
  <si>
    <t>BSW_SWS_AR4_0_R2_DIODriver-8474</t>
  </si>
  <si>
    <t>8.3.8.0-2.0-5.0-2</t>
  </si>
  <si>
    <t>BSW_SWS_AR4_0_R2_DIODriver-8476</t>
  </si>
  <si>
    <t>8.3.8.0-2.0-6.0-1</t>
  </si>
  <si>
    <t>BSW_SWS_AR4_0_R2_DIODriver-8477</t>
  </si>
  <si>
    <t>8.3.8.0-2.0-6.0-2</t>
  </si>
  <si>
    <t>ConfigPtr</t>
  </si>
  <si>
    <t>BSW_SWS_AR4_0_R2_DIODriver-8478</t>
  </si>
  <si>
    <t>8.3.8.0-2.0-6.0-3</t>
  </si>
  <si>
    <t>Pointer to post-build configuration data</t>
  </si>
  <si>
    <t>BSW_SWS_AR4_0_R2_DIODriver-8480</t>
  </si>
  <si>
    <t>8.3.8.0-2.0-7.0-1</t>
  </si>
  <si>
    <t>BSW_SWS_AR4_0_R2_DIODriver-8481</t>
  </si>
  <si>
    <t>8.3.8.0-2.0-7.0-2</t>
  </si>
  <si>
    <t>BSW_SWS_AR4_0_R2_DIODriver-8483</t>
  </si>
  <si>
    <t>8.3.8.0-2.0-8.0-1</t>
  </si>
  <si>
    <t>BSW_SWS_AR4_0_R2_DIODriver-8484</t>
  </si>
  <si>
    <t>8.3.8.0-2.0-8.0-2</t>
  </si>
  <si>
    <t>BSW_SWS_AR4_0_R2_DIODriver-8486</t>
  </si>
  <si>
    <t>8.3.8.0-2.0-9.0-1</t>
  </si>
  <si>
    <t>BSW_SWS_AR4_0_R2_DIODriver-8487</t>
  </si>
  <si>
    <t>8.3.8.0-2.0-9.0-2</t>
  </si>
  <si>
    <t>BSW_SWS_AR4_0_R2_DIODriver-8489</t>
  </si>
  <si>
    <t>8.3.8.0-2.0-10.0-1</t>
  </si>
  <si>
    <t>BSW_SWS_AR4_0_R2_DIODriver-8490</t>
  </si>
  <si>
    <t>8.3.8.0-2.0-10.0-2</t>
  </si>
  <si>
    <t>Initializes the module.</t>
  </si>
  <si>
    <t>BSW_SWS_AR4_0_R2_DIODriver-8491</t>
  </si>
  <si>
    <t>8.3.8.0-3</t>
  </si>
  <si>
    <t>DIO166: The Dio_Init function shall initialize all global variables of the DIO module.</t>
  </si>
  <si>
    <t>The module shall provide function Dio_Init initialize all global variables of the DIO module.
Risk:Low.</t>
  </si>
  <si>
    <t xml:space="preserve">Check whether all global variables of DIO module shall be initialize in funtion Dio_Init.
</t>
  </si>
  <si>
    <t>BSW_SWS_AR4_0_R2_DIODriver-8492</t>
  </si>
  <si>
    <t>8.3.8.0-4</t>
  </si>
  <si>
    <t>DIO167: When development error detection is enabled for the DIO module: The function Dio_Init shall check that the parameter ConfigPtr is not NULL. If this error is detected, the function Dio_Init shall not execute the initialization but raise the development error DIO_E_PARAM_CONFIG.</t>
  </si>
  <si>
    <t>A check shall be provide to check the parameter ConfigPtr of function and report the error to DET when the parameter ConfigPtr is NULL.
Risk:Low.</t>
  </si>
  <si>
    <t xml:space="preserve">Check whether the DET errors are reported when the pointer Dio_PbConfig_pcst is NULL, the function Dio_Init shall not execute the initialization but raise the development error DIO_E_PARAM_CONFIG.
</t>
  </si>
  <si>
    <t>BSW_SWS_AR4_0_R2_DIODriver-8493</t>
  </si>
  <si>
    <t>8.3.9</t>
  </si>
  <si>
    <t xml:space="preserve">	Dio_FlipChannel</t>
  </si>
  <si>
    <t>BSW_SWS_AR4_0_R2_DIODriver-8494</t>
  </si>
  <si>
    <t>8.3.9.0-1</t>
  </si>
  <si>
    <t>DIO190:</t>
  </si>
  <si>
    <t>BSW_SWS_AR4_0_R2_DIODriver-8497</t>
  </si>
  <si>
    <t>8.3.9.0-2.0-1.0-1</t>
  </si>
  <si>
    <t>BSW_SWS_AR4_0_R2_DIODriver-8498</t>
  </si>
  <si>
    <t>8.3.9.0-2.0-1.0-2</t>
  </si>
  <si>
    <t>Dio_FlipChannel</t>
  </si>
  <si>
    <t>BSW_SWS_AR4_0_R2_DIODriver-8500</t>
  </si>
  <si>
    <t>8.3.9.0-2.0-2.0-1</t>
  </si>
  <si>
    <t>BSW_SWS_AR4_0_R2_DIODriver-8501</t>
  </si>
  <si>
    <t>8.3.9.0-2.0-2.0-2</t>
  </si>
  <si>
    <t>Dio_LevelType Dio_FlipChannel(
    Dio_ChannelType ChannelId
)</t>
  </si>
  <si>
    <t>BSW_SWS_AR4_0_R2_DIODriver-8503</t>
  </si>
  <si>
    <t>8.3.9.0-2.0-3.0-1</t>
  </si>
  <si>
    <t>BSW_SWS_AR4_0_R2_DIODriver-8504</t>
  </si>
  <si>
    <t>8.3.9.0-2.0-3.0-2</t>
  </si>
  <si>
    <t>0x11</t>
  </si>
  <si>
    <t>BSW_SWS_AR4_0_R2_DIODriver-8506</t>
  </si>
  <si>
    <t>8.3.9.0-2.0-4.0-1</t>
  </si>
  <si>
    <t>BSW_SWS_AR4_0_R2_DIODriver-8507</t>
  </si>
  <si>
    <t>8.3.9.0-2.0-4.0-2</t>
  </si>
  <si>
    <t>BSW_SWS_AR4_0_R2_DIODriver-8509</t>
  </si>
  <si>
    <t>8.3.9.0-2.0-5.0-1</t>
  </si>
  <si>
    <t>BSW_SWS_AR4_0_R2_DIODriver-8510</t>
  </si>
  <si>
    <t>8.3.9.0-2.0-5.0-2</t>
  </si>
  <si>
    <t>BSW_SWS_AR4_0_R2_DIODriver-8512</t>
  </si>
  <si>
    <t>8.3.9.0-2.0-6.0-1</t>
  </si>
  <si>
    <t>BSW_SWS_AR4_0_R2_DIODriver-8513</t>
  </si>
  <si>
    <t>8.3.9.0-2.0-6.0-2</t>
  </si>
  <si>
    <t>BSW_SWS_AR4_0_R2_DIODriver-8514</t>
  </si>
  <si>
    <t>8.3.9.0-2.0-6.0-3</t>
  </si>
  <si>
    <t>BSW_SWS_AR4_0_R2_DIODriver-8516</t>
  </si>
  <si>
    <t>8.3.9.0-2.0-7.0-1</t>
  </si>
  <si>
    <t>BSW_SWS_AR4_0_R2_DIODriver-8517</t>
  </si>
  <si>
    <t>8.3.9.0-2.0-7.0-2</t>
  </si>
  <si>
    <t>BSW_SWS_AR4_0_R2_DIODriver-8519</t>
  </si>
  <si>
    <t>8.3.9.0-2.0-8.0-1</t>
  </si>
  <si>
    <t>BSW_SWS_AR4_0_R2_DIODriver-8520</t>
  </si>
  <si>
    <t>8.3.9.0-2.0-8.0-2</t>
  </si>
  <si>
    <t>BSW_SWS_AR4_0_R2_DIODriver-8522</t>
  </si>
  <si>
    <t>8.3.9.0-2.0-9.0-1</t>
  </si>
  <si>
    <t>BSW_SWS_AR4_0_R2_DIODriver-8523</t>
  </si>
  <si>
    <t>8.3.9.0-2.0-9.0-2</t>
  </si>
  <si>
    <t>BSW_SWS_AR4_0_R2_DIODriver-8524</t>
  </si>
  <si>
    <t>8.3.9.0-2.0-9.0-3</t>
  </si>
  <si>
    <t>STD_HIGH: The physical level of the corresponding Pin is STD_HIGH.
STD_LOW: The physical level of the corresponding Pin is STD_LOW.</t>
  </si>
  <si>
    <t>BSW_SWS_AR4_0_R2_DIODriver-8526</t>
  </si>
  <si>
    <t>8.3.9.0-2.0-10.0-1</t>
  </si>
  <si>
    <t>BSW_SWS_AR4_0_R2_DIODriver-8527</t>
  </si>
  <si>
    <t>8.3.9.0-2.0-10.0-2</t>
  </si>
  <si>
    <t>Service to flip (change from 1 to 0 or from 0 to 1) the level of a channel and return the level of the channel after flip.</t>
  </si>
  <si>
    <t>BSW_SWS_AR4_0_R2_DIODriver-8528</t>
  </si>
  <si>
    <t>8.3.9.0-3</t>
  </si>
  <si>
    <r>
      <t>DIO191:</t>
    </r>
    <r>
      <rPr>
        <b/>
        <sz val="10"/>
        <color theme="1"/>
        <rFont val="Arial"/>
        <family val="2"/>
      </rPr>
      <t xml:space="preserve"> </t>
    </r>
    <r>
      <rPr>
        <sz val="10"/>
        <color theme="1"/>
        <rFont val="Arial"/>
        <family val="2"/>
      </rPr>
      <t>If the specified channel is configured as an output channel, the Dio_FlipChannel function shall read level of the channel (requirements [DIO083] &amp; [DIO084] are applicable) and invert it, then write the inverted level to the channel. The return value shall be the inverted level of the specified channel.</t>
    </r>
  </si>
  <si>
    <t>The module shall provide support to read level of the channel and invert it, then write the inverted level to the channel by the Dio_FlipChannel function when the specified channel is configured as an output channel.
Risk:Low.</t>
  </si>
  <si>
    <t>BSW_SWS_AR4_0_R2_DIODriver-8529</t>
  </si>
  <si>
    <t>8.3.9.0-4</t>
  </si>
  <si>
    <t xml:space="preserve">DIO192: If the specified channel is configured as an input channel, the Dio_FlipChannel function shall have no influence on the physical output. </t>
  </si>
  <si>
    <t xml:space="preserve">A check shall be provide to check the Dio_FlipChannel function shall have no influence on the physical output, when the specified channel is configured as an input channel.
Risk:Low.
</t>
  </si>
  <si>
    <t>BSW_SWS_AR4_0_R2_DIODriver-8530</t>
  </si>
  <si>
    <t>8.3.9.0-5</t>
  </si>
  <si>
    <t>The return value shall be the level of the specified channel.</t>
  </si>
  <si>
    <t>BSW_SWS_AR4_0_R2_DIODriver-8531</t>
  </si>
  <si>
    <t>8.3.9.0-6</t>
  </si>
  <si>
    <t>DIO193: If the specified channel is configured as an input channel, the Dio_FlipChannel function shall have no influence on the result of the next Read-Service.</t>
  </si>
  <si>
    <t>A check shall be provide to check the Dio_FlipChannel function shall have no influence on the result of the next Read-Service when the specified channel is configured as an input channel.
Risk:Low.</t>
  </si>
  <si>
    <t>BSW_SWS_AR4_0_R2_DIODriver-8532</t>
  </si>
  <si>
    <t>8.3.9.0-7</t>
  </si>
  <si>
    <t>Furthermore, the requirements DIO005, DIO119 and DIO026 are applicable to the Dio_FlipChannel function.</t>
  </si>
  <si>
    <t>BSW_SWS_AR4_0_R2_DIODriver-8533</t>
  </si>
  <si>
    <t>8.3.9.0-8</t>
  </si>
  <si>
    <t>BSW_SWS_AR4_0_R2_DIODriver-8534</t>
  </si>
  <si>
    <t xml:space="preserve">	Call-back notifications</t>
  </si>
  <si>
    <t>BSW_SWS_AR4_0_R2_DIODriver-8535</t>
  </si>
  <si>
    <t>8.4.0-1</t>
  </si>
  <si>
    <t>This chaper lists all functions provided by the Dio module to lower layers.</t>
  </si>
  <si>
    <t>BSW_SWS_AR4_0_R2_DIODriver-8536</t>
  </si>
  <si>
    <t>8.4.0-2</t>
  </si>
  <si>
    <t>The Dio module does not provide any callback notifications. Callbacks related to the functionality of the Dio module are implemented in another module (ICU Driver and/or complex drivers).</t>
  </si>
  <si>
    <t>BSW_SWS_AR4_0_R2_DIODriver-8537</t>
  </si>
  <si>
    <t xml:space="preserve">	Scheduled functions</t>
  </si>
  <si>
    <t>BSW_SWS_AR4_0_R2_DIODriver-8538</t>
  </si>
  <si>
    <t>8.5.0-1</t>
  </si>
  <si>
    <t>This chaper lists all functions called directly by the Basic Software Module Scheduler.</t>
  </si>
  <si>
    <t>BSW_SWS_AR4_0_R2_DIODriver-8539</t>
  </si>
  <si>
    <t>8.5.0-2</t>
  </si>
  <si>
    <t>The Dio module has no scheduled functions.</t>
  </si>
  <si>
    <t>BSW_SWS_AR4_0_R2_DIODriver-8540</t>
  </si>
  <si>
    <t xml:space="preserve">	Expected Interfaces</t>
  </si>
  <si>
    <t>BSW_SWS_AR4_0_R2_DIODriver-8541</t>
  </si>
  <si>
    <t>8.6.0-1</t>
  </si>
  <si>
    <t>This chapter lists all functions the Dio module requires from other modules.</t>
  </si>
  <si>
    <t>BSW_SWS_AR4_0_R2_DIODriver-8542</t>
  </si>
  <si>
    <t>8.6.1</t>
  </si>
  <si>
    <t xml:space="preserve">	Mandatory Interfaces</t>
  </si>
  <si>
    <t>BSW_SWS_AR4_0_R2_DIODriver-8543</t>
  </si>
  <si>
    <t>8.6.1.0-1</t>
  </si>
  <si>
    <t>BSW_SWS_AR4_0_R2_DIODriver-8544</t>
  </si>
  <si>
    <t>8.6.2</t>
  </si>
  <si>
    <t xml:space="preserve">	Optional Interfaces</t>
  </si>
  <si>
    <t>BSW_SWS_AR4_0_R2_DIODriver-8545</t>
  </si>
  <si>
    <t>8.6.2.0-1</t>
  </si>
  <si>
    <t>This chapter defines all interfaces which are required to fulfill an optional functionality of the module.</t>
  </si>
  <si>
    <t>BSW_SWS_AR4_0_R2_DIODriver-8546</t>
  </si>
  <si>
    <t>8.6.2.0-2</t>
  </si>
  <si>
    <r>
      <t>DIO140:</t>
    </r>
    <r>
      <rPr>
        <b/>
        <sz val="10"/>
        <color theme="1"/>
        <rFont val="Arial"/>
        <family val="2"/>
      </rPr>
      <t xml:space="preserve"> </t>
    </r>
  </si>
  <si>
    <t>BSW_SWS_AR4_0_R2_DIODriver-8549</t>
  </si>
  <si>
    <t>8.6.2.0-3.0-1.0-1</t>
  </si>
  <si>
    <t>API function</t>
  </si>
  <si>
    <t>BSW_SWS_AR4_0_R2_DIODriver-8550</t>
  </si>
  <si>
    <t>8.6.2.0-3.0-1.0-2</t>
  </si>
  <si>
    <t>Description</t>
  </si>
  <si>
    <t>BSW_SWS_AR4_0_R2_DIODriver-8552</t>
  </si>
  <si>
    <t>8.6.2.0-3.0-2.0-1</t>
  </si>
  <si>
    <t>Dem_ReportErrorStatus</t>
  </si>
  <si>
    <t>BSW_SWS_AR4_0_R2_DIODriver-8553</t>
  </si>
  <si>
    <t>8.6.2.0-3.0-2.0-2</t>
  </si>
  <si>
    <t>Queues the reported events from the BSW modules (API is only used by BSW modules). The interface has an asynchronous behavior, because the processing of the event is done within the Dem main function.</t>
  </si>
  <si>
    <t>BSW_SWS_AR4_0_R2_DIODriver-8555</t>
  </si>
  <si>
    <t>8.6.2.0-3.0-3.0-1</t>
  </si>
  <si>
    <t>Det_ReportError</t>
  </si>
  <si>
    <t>BSW_SWS_AR4_0_R2_DIODriver-8556</t>
  </si>
  <si>
    <t>8.6.2.0-3.0-3.0-2</t>
  </si>
  <si>
    <t>Service to report development errors.</t>
  </si>
  <si>
    <t>BSW_SWS_AR4_0_R2_DIODriver-8557</t>
  </si>
  <si>
    <t xml:space="preserve">	Sequence diagrams</t>
  </si>
  <si>
    <t>BSW_SWS_AR4_0_R2_DIODriver-8558</t>
  </si>
  <si>
    <t>9.0-1</t>
  </si>
  <si>
    <t>The diagrams below show the sequences when calling the Dio_ReadChannel() and Dio_WriteChannel() service. They show normal operation mode and development mode with error condition. For development mode with no error the diagrams for normal operation mode are valid. Since all other services which are defined in chapter 8.3 have exactly the same synchronous behavior concerning, there are intentionally no further sequence diagrams in this document.</t>
  </si>
  <si>
    <t>BSW_SWS_AR4_0_R2_DIODriver-8559</t>
  </si>
  <si>
    <t xml:space="preserve">	Read a value from a digital I/O - 1</t>
  </si>
  <si>
    <t>BSW_SWS_AR4_0_R2_DIODriver-8560</t>
  </si>
  <si>
    <t>9.1.0-1</t>
  </si>
  <si>
    <t>BSW_SWS_AR4_0_R2_DIODriver-8561</t>
  </si>
  <si>
    <t>9.1.0-2</t>
  </si>
  <si>
    <t>Figure 5: Read Service Sequence Chart (normal operation mode)</t>
  </si>
  <si>
    <t>BSW_SWS_AR4_0_R2_DIODriver-8562</t>
  </si>
  <si>
    <t>BSW_SWS_AR4_0_R2_DIODriver-8563</t>
  </si>
  <si>
    <t>9.2.0-1</t>
  </si>
  <si>
    <t>BSW_SWS_AR4_0_R2_DIODriver-8564</t>
  </si>
  <si>
    <t>9.2.0-2</t>
  </si>
  <si>
    <t>Figure 6: Read Service Sequence Chart (development error mode)</t>
  </si>
  <si>
    <t>BSW_SWS_AR4_0_R2_DIODriver-8565</t>
  </si>
  <si>
    <t xml:space="preserve">	Write a value to a digital I/O - 1</t>
  </si>
  <si>
    <t>BSW_SWS_AR4_0_R2_DIODriver-8566</t>
  </si>
  <si>
    <t>9.3.0-1</t>
  </si>
  <si>
    <t>BSW_SWS_AR4_0_R2_DIODriver-8567</t>
  </si>
  <si>
    <t>9.3.0-2</t>
  </si>
  <si>
    <t>Figure 7: Write Service Sequence Chart (normal operation mode)</t>
  </si>
  <si>
    <t>BSW_SWS_AR4_0_R2_DIODriver-8568</t>
  </si>
  <si>
    <t xml:space="preserve">	Write a value to a digital I/O - 2</t>
  </si>
  <si>
    <t>BSW_SWS_AR4_0_R2_DIODriver-8569</t>
  </si>
  <si>
    <t>9.4.0-1</t>
  </si>
  <si>
    <t>BSW_SWS_AR4_0_R2_DIODriver-8570</t>
  </si>
  <si>
    <t>9.4.0-2</t>
  </si>
  <si>
    <t>Figure 8: Write Service Sequence Chart (development error mode)</t>
  </si>
  <si>
    <t>BSW_SWS_AR4_0_R2_DIODriver-8571</t>
  </si>
  <si>
    <t xml:space="preserve">	Configuration specification</t>
  </si>
  <si>
    <t>BSW_SWS_AR4_0_R2_DIODriver-8572</t>
  </si>
  <si>
    <t>10.0-1</t>
  </si>
  <si>
    <t>This chapter defines configuration parameters and their clustering into containers.</t>
  </si>
  <si>
    <t>BSW_SWS_AR4_0_R2_DIODriver-8573</t>
  </si>
  <si>
    <t xml:space="preserve">	 Containers and configuration parameters</t>
  </si>
  <si>
    <t>BSW_SWS_AR4_0_R2_DIODriver-8574</t>
  </si>
  <si>
    <t>10.1.0-1</t>
  </si>
  <si>
    <t>The following chapters summarize all configuration parameters. The detailed meanings of the parameters describe Chapters 7 and Chapter 8.</t>
  </si>
  <si>
    <t>BSW_SWS_AR4_0_R2_DIODriver-8575</t>
  </si>
  <si>
    <t>10.1.1</t>
  </si>
  <si>
    <t xml:space="preserve">	Variants</t>
  </si>
  <si>
    <t>BSW_SWS_AR4_0_R2_DIODriver-8576</t>
  </si>
  <si>
    <t>10.1.1.0-1</t>
  </si>
  <si>
    <t>Configuration variants describe sets of configuration parameters:</t>
  </si>
  <si>
    <t>BSW_SWS_AR4_0_R2_DIODriver-8577</t>
  </si>
  <si>
    <t>10.1.1.0-2</t>
  </si>
  <si>
    <t>-	VARIANT-PRE-COMPILE (PC)
Only parameters with "Pre-compile time" configuration are allowed in this variant.</t>
  </si>
  <si>
    <t>BSW_SWS_AR4_0_R2_DIODriver-8578</t>
  </si>
  <si>
    <t>10.1.1.0-3</t>
  </si>
  <si>
    <t>-	VARIANT-LINK-TIME (LT)
Only parameters with "Pre-compile time" and "Link time" are allowed in this variant.</t>
  </si>
  <si>
    <t>BSW_SWS_AR4_0_R2_DIODriver-8579</t>
  </si>
  <si>
    <t>10.1.1.0-4</t>
  </si>
  <si>
    <t xml:space="preserve">-	VARIANT-POST-BUILD (PB)
Parameters with "Pre-compile time", "Link time" and "Post-build time" are allowed in this variant. </t>
  </si>
  <si>
    <t>BSW_SWS_AR4_0_R2_DIODriver-8580</t>
  </si>
  <si>
    <t>10.1.1.0-5</t>
  </si>
  <si>
    <t>DIO129: At least one of the following variants has to be supported by implementation:</t>
  </si>
  <si>
    <t>BSW_SWS_AR4_0_R2_DIODriver-8581</t>
  </si>
  <si>
    <t>10.1.1.0-6</t>
  </si>
  <si>
    <t>- VARIANT-PRE-COMPILE
- VARIANT-POST-BUILD</t>
  </si>
  <si>
    <t>BSW_SWS_AR4_0_R2_DIODriver-8582</t>
  </si>
  <si>
    <t>10.1.2</t>
  </si>
  <si>
    <t xml:space="preserve">	Dio</t>
  </si>
  <si>
    <t>BSW_SWS_AR4_0_R2_DIODriver-8585</t>
  </si>
  <si>
    <t>10.1.2.0-1.0-1.0-1</t>
  </si>
  <si>
    <t xml:space="preserve">Module Name </t>
  </si>
  <si>
    <t>BSW_SWS_AR4_0_R2_DIODriver-8586</t>
  </si>
  <si>
    <t>10.1.2.0-1.0-1.0-2</t>
  </si>
  <si>
    <r>
      <t>Dio</t>
    </r>
    <r>
      <rPr>
        <b/>
        <i/>
        <sz val="10"/>
        <color theme="1"/>
        <rFont val="Arial"/>
        <family val="2"/>
      </rPr>
      <t xml:space="preserve"> </t>
    </r>
  </si>
  <si>
    <t>BSW_SWS_AR4_0_R2_DIODriver-8588</t>
  </si>
  <si>
    <t>10.1.2.0-1.0-2.0-1</t>
  </si>
  <si>
    <t xml:space="preserve">Module Description </t>
  </si>
  <si>
    <t>BSW_SWS_AR4_0_R2_DIODriver-8589</t>
  </si>
  <si>
    <t>10.1.2.0-1.0-2.0-2</t>
  </si>
  <si>
    <t>Configuration of the Dio (Digital IO) module.</t>
  </si>
  <si>
    <t>BSW_SWS_AR4_0_R2_DIODriver-8590</t>
  </si>
  <si>
    <t>10.1.2.0-2</t>
  </si>
  <si>
    <t xml:space="preserve">  </t>
  </si>
  <si>
    <t>BSW_SWS_AR4_0_R2_DIODriver-8593</t>
  </si>
  <si>
    <t>10.1.2.0-3.0-1.0-1</t>
  </si>
  <si>
    <t xml:space="preserve">Included Containers </t>
  </si>
  <si>
    <t>BSW_SWS_AR4_0_R2_DIODriver-8595</t>
  </si>
  <si>
    <t>10.1.2.0-3.0-2.0-1</t>
  </si>
  <si>
    <t xml:space="preserve">Container Name </t>
  </si>
  <si>
    <t>BSW_SWS_AR4_0_R2_DIODriver-8596</t>
  </si>
  <si>
    <t>10.1.2.0-3.0-2.0-2</t>
  </si>
  <si>
    <t xml:space="preserve">Multiplicity </t>
  </si>
  <si>
    <t>BSW_SWS_AR4_0_R2_DIODriver-8597</t>
  </si>
  <si>
    <t>10.1.2.0-3.0-2.0-3</t>
  </si>
  <si>
    <t xml:space="preserve">Scope / Dependency </t>
  </si>
  <si>
    <t>BSW_SWS_AR4_0_R2_DIODriver-8599</t>
  </si>
  <si>
    <t>10.1.2.0-3.0-3.0-1</t>
  </si>
  <si>
    <t xml:space="preserve">DioConfig </t>
  </si>
  <si>
    <t>BSW_SWS_AR4_0_R2_DIODriver-8600</t>
  </si>
  <si>
    <t>10.1.2.0-3.0-3.0-2</t>
  </si>
  <si>
    <t>BSW_SWS_AR4_0_R2_DIODriver-8601</t>
  </si>
  <si>
    <t>10.1.2.0-3.0-3.0-3</t>
  </si>
  <si>
    <t xml:space="preserve">This container contains the configuration parameters and sub containers of the AUTOSAR DIO module. This container is a MultipleConfigurationContainer, i.e. this container and its sub-containers exist once per configuration set. </t>
  </si>
  <si>
    <t>BSW_SWS_AR4_0_R2_DIODriver-8603</t>
  </si>
  <si>
    <t>10.1.2.0-3.0-4.0-1</t>
  </si>
  <si>
    <t xml:space="preserve">DioGeneral </t>
  </si>
  <si>
    <t>BSW_SWS_AR4_0_R2_DIODriver-8604</t>
  </si>
  <si>
    <t>10.1.2.0-3.0-4.0-2</t>
  </si>
  <si>
    <t>BSW_SWS_AR4_0_R2_DIODriver-8605</t>
  </si>
  <si>
    <t>10.1.2.0-3.0-4.0-3</t>
  </si>
  <si>
    <t xml:space="preserve">General DIO module configuration parameters. </t>
  </si>
  <si>
    <t>BSW_SWS_AR4_0_R2_DIODriver-8606</t>
  </si>
  <si>
    <t>10.1.2.0-4</t>
  </si>
  <si>
    <t>BSW_SWS_AR4_0_R2_DIODriver-8607</t>
  </si>
  <si>
    <t>10.1.3</t>
  </si>
  <si>
    <t xml:space="preserve">	DioGeneral</t>
  </si>
  <si>
    <t>BSW_SWS_AR4_0_R2_DIODriver-8610</t>
  </si>
  <si>
    <t>10.1.3.0-1.0-1.0-1</t>
  </si>
  <si>
    <t xml:space="preserve">SWS Item </t>
  </si>
  <si>
    <t>BSW_SWS_AR4_0_R2_DIODriver-8611</t>
  </si>
  <si>
    <t>10.1.3.0-1.0-1.0-2</t>
  </si>
  <si>
    <t xml:space="preserve">DIO141_Conf : </t>
  </si>
  <si>
    <t>BSW_SWS_AR4_0_R2_DIODriver-8613</t>
  </si>
  <si>
    <t>10.1.3.0-1.0-2.0-1</t>
  </si>
  <si>
    <t>BSW_SWS_AR4_0_R2_DIODriver-8614</t>
  </si>
  <si>
    <t>10.1.3.0-1.0-2.0-2</t>
  </si>
  <si>
    <t>BSW_SWS_AR4_0_R2_DIODriver-8616</t>
  </si>
  <si>
    <t>10.1.3.0-1.0-3.0-1</t>
  </si>
  <si>
    <t xml:space="preserve">Description </t>
  </si>
  <si>
    <t>BSW_SWS_AR4_0_R2_DIODriver-8617</t>
  </si>
  <si>
    <t>10.1.3.0-1.0-3.0-2</t>
  </si>
  <si>
    <t>General DIO module configuration parameters.</t>
  </si>
  <si>
    <t>BSW_SWS_AR4_0_R2_DIODriver-8619</t>
  </si>
  <si>
    <t>10.1.3.0-1.0-4.0-1</t>
  </si>
  <si>
    <t xml:space="preserve">Configuration Parameters </t>
  </si>
  <si>
    <t>BSW_SWS_AR4_0_R2_DIODriver-8620</t>
  </si>
  <si>
    <t>10.1.3.0-2</t>
  </si>
  <si>
    <t>BSW_SWS_AR4_0_R2_DIODriver-8623</t>
  </si>
  <si>
    <t>10.1.3.0-3.0-1.0-1</t>
  </si>
  <si>
    <t>BSW_SWS_AR4_0_R2_DIODriver-8624</t>
  </si>
  <si>
    <t>10.1.3.0-3.0-1.0-2</t>
  </si>
  <si>
    <t xml:space="preserve">DIO142_Conf : </t>
  </si>
  <si>
    <t>BSW_SWS_AR4_0_R2_DIODriver-8626</t>
  </si>
  <si>
    <t>10.1.3.0-3.0-2.0-1</t>
  </si>
  <si>
    <r>
      <t xml:space="preserve">Name </t>
    </r>
    <r>
      <rPr>
        <sz val="10"/>
        <color theme="1"/>
        <rFont val="Arial"/>
        <family val="2"/>
      </rPr>
      <t xml:space="preserve">
</t>
    </r>
  </si>
  <si>
    <t>BSW_SWS_AR4_0_R2_DIODriver-8627</t>
  </si>
  <si>
    <t>10.1.3.0-3.0-2.0-2</t>
  </si>
  <si>
    <t xml:space="preserve">DioDevErrorDetect {DIO_DEV_ERROR_DETECT} </t>
  </si>
  <si>
    <t>BSW_SWS_AR4_0_R2_DIODriver-8629</t>
  </si>
  <si>
    <t>10.1.3.0-3.0-3.0-1</t>
  </si>
  <si>
    <t>BSW_SWS_AR4_0_R2_DIODriver-8630</t>
  </si>
  <si>
    <t>10.1.3.0-3.0-3.0-2</t>
  </si>
  <si>
    <t>Switches the Development Error Detection and Notification ON or OFF</t>
  </si>
  <si>
    <t>BSW_SWS_AR4_0_R2_DIODriver-8632</t>
  </si>
  <si>
    <t>10.1.3.0-3.0-4.0-1</t>
  </si>
  <si>
    <t>BSW_SWS_AR4_0_R2_DIODriver-8633</t>
  </si>
  <si>
    <t>10.1.3.0-3.0-4.0-2</t>
  </si>
  <si>
    <t>BSW_SWS_AR4_0_R2_DIODriver-8635</t>
  </si>
  <si>
    <t>10.1.3.0-3.0-5.0-1</t>
  </si>
  <si>
    <t xml:space="preserve">Type </t>
  </si>
  <si>
    <t>BSW_SWS_AR4_0_R2_DIODriver-8636</t>
  </si>
  <si>
    <t>10.1.3.0-3.0-5.0-2</t>
  </si>
  <si>
    <t xml:space="preserve">EcucBooleanParamDef </t>
  </si>
  <si>
    <t>BSW_SWS_AR4_0_R2_DIODriver-8638</t>
  </si>
  <si>
    <t>10.1.3.0-3.0-6.0-1</t>
  </si>
  <si>
    <t xml:space="preserve">Default value </t>
  </si>
  <si>
    <t>BSW_SWS_AR4_0_R2_DIODriver-8639</t>
  </si>
  <si>
    <t>10.1.3.0-3.0-6.0-2</t>
  </si>
  <si>
    <t xml:space="preserve">-- </t>
  </si>
  <si>
    <t>BSW_SWS_AR4_0_R2_DIODriver-8641</t>
  </si>
  <si>
    <t>10.1.3.0-3.0-7.0-1</t>
  </si>
  <si>
    <t xml:space="preserve">ConfigurationClass </t>
  </si>
  <si>
    <t>BSW_SWS_AR4_0_R2_DIODriver-8642</t>
  </si>
  <si>
    <t>10.1.3.0-3.0-7.0-2</t>
  </si>
  <si>
    <t xml:space="preserve">Pre-compile time </t>
  </si>
  <si>
    <t>BSW_SWS_AR4_0_R2_DIODriver-8643</t>
  </si>
  <si>
    <t>10.1.3.0-3.0-7.0-3</t>
  </si>
  <si>
    <t xml:space="preserve">X </t>
  </si>
  <si>
    <t>BSW_SWS_AR4_0_R2_DIODriver-8644</t>
  </si>
  <si>
    <t>10.1.3.0-3.0-7.0-4</t>
  </si>
  <si>
    <t xml:space="preserve">All Variants </t>
  </si>
  <si>
    <t>BSW_SWS_AR4_0_R2_DIODriver-8646</t>
  </si>
  <si>
    <t>10.1.3.0-3.0-8.0-1</t>
  </si>
  <si>
    <t>BSW_SWS_AR4_0_R2_DIODriver-8647</t>
  </si>
  <si>
    <t>10.1.3.0-3.0-8.0-2</t>
  </si>
  <si>
    <t xml:space="preserve">Link time </t>
  </si>
  <si>
    <t>BSW_SWS_AR4_0_R2_DIODriver-8648</t>
  </si>
  <si>
    <t>10.1.3.0-3.0-8.0-3</t>
  </si>
  <si>
    <t>BSW_SWS_AR4_0_R2_DIODriver-8649</t>
  </si>
  <si>
    <t>10.1.3.0-3.0-8.0-4</t>
  </si>
  <si>
    <t>BSW_SWS_AR4_0_R2_DIODriver-8651</t>
  </si>
  <si>
    <t>10.1.3.0-3.0-9.0-1</t>
  </si>
  <si>
    <t>BSW_SWS_AR4_0_R2_DIODriver-8652</t>
  </si>
  <si>
    <t>10.1.3.0-3.0-9.0-2</t>
  </si>
  <si>
    <t xml:space="preserve">Post-build time </t>
  </si>
  <si>
    <t>BSW_SWS_AR4_0_R2_DIODriver-8653</t>
  </si>
  <si>
    <t>10.1.3.0-3.0-9.0-3</t>
  </si>
  <si>
    <t>BSW_SWS_AR4_0_R2_DIODriver-8654</t>
  </si>
  <si>
    <t>10.1.3.0-3.0-9.0-4</t>
  </si>
  <si>
    <t>BSW_SWS_AR4_0_R2_DIODriver-8656</t>
  </si>
  <si>
    <t>10.1.3.0-3.0-10.0-1</t>
  </si>
  <si>
    <t>BSW_SWS_AR4_0_R2_DIODriver-8657</t>
  </si>
  <si>
    <t>10.1.3.0-3.0-10.0-2</t>
  </si>
  <si>
    <t xml:space="preserve">scope: Module </t>
  </si>
  <si>
    <t>BSW_SWS_AR4_0_R2_DIODriver-8658</t>
  </si>
  <si>
    <t>10.1.3.0-4</t>
  </si>
  <si>
    <t>BSW_SWS_AR4_0_R2_DIODriver-8661</t>
  </si>
  <si>
    <t>10.1.3.0-5.0-1.0-1</t>
  </si>
  <si>
    <t>BSW_SWS_AR4_0_R2_DIODriver-8662</t>
  </si>
  <si>
    <t>10.1.3.0-5.0-1.0-2</t>
  </si>
  <si>
    <t xml:space="preserve">DIO153_Conf : </t>
  </si>
  <si>
    <t>BSW_SWS_AR4_0_R2_DIODriver-8664</t>
  </si>
  <si>
    <t>10.1.3.0-5.0-2.0-1</t>
  </si>
  <si>
    <t>BSW_SWS_AR4_0_R2_DIODriver-8665</t>
  </si>
  <si>
    <t>10.1.3.0-5.0-2.0-2</t>
  </si>
  <si>
    <t xml:space="preserve">DioFlipChannelApi {DIO_FLIP_CHANNEL_API} </t>
  </si>
  <si>
    <t>BSW_SWS_AR4_0_R2_DIODriver-8667</t>
  </si>
  <si>
    <t>10.1.3.0-5.0-3.0-1</t>
  </si>
  <si>
    <t>BSW_SWS_AR4_0_R2_DIODriver-8668</t>
  </si>
  <si>
    <t>10.1.3.0-5.0-3.0-2</t>
  </si>
  <si>
    <t>Adds / removes the service Dio_FlipChannel() from the code.</t>
  </si>
  <si>
    <t>BSW_SWS_AR4_0_R2_DIODriver-8670</t>
  </si>
  <si>
    <t>10.1.3.0-5.0-4.0-1</t>
  </si>
  <si>
    <t>BSW_SWS_AR4_0_R2_DIODriver-8671</t>
  </si>
  <si>
    <t>10.1.3.0-5.0-4.0-2</t>
  </si>
  <si>
    <t>BSW_SWS_AR4_0_R2_DIODriver-8673</t>
  </si>
  <si>
    <t>10.1.3.0-5.0-5.0-1</t>
  </si>
  <si>
    <t>BSW_SWS_AR4_0_R2_DIODriver-8674</t>
  </si>
  <si>
    <t>10.1.3.0-5.0-5.0-2</t>
  </si>
  <si>
    <t>BSW_SWS_AR4_0_R2_DIODriver-8676</t>
  </si>
  <si>
    <t>10.1.3.0-5.0-6.0-1</t>
  </si>
  <si>
    <t>BSW_SWS_AR4_0_R2_DIODriver-8677</t>
  </si>
  <si>
    <t>10.1.3.0-5.0-6.0-2</t>
  </si>
  <si>
    <t>BSW_SWS_AR4_0_R2_DIODriver-8679</t>
  </si>
  <si>
    <t>10.1.3.0-5.0-7.0-1</t>
  </si>
  <si>
    <t>BSW_SWS_AR4_0_R2_DIODriver-8680</t>
  </si>
  <si>
    <t>10.1.3.0-5.0-7.0-2</t>
  </si>
  <si>
    <t>BSW_SWS_AR4_0_R2_DIODriver-8681</t>
  </si>
  <si>
    <t>10.1.3.0-5.0-7.0-3</t>
  </si>
  <si>
    <t>BSW_SWS_AR4_0_R2_DIODriver-8682</t>
  </si>
  <si>
    <t>10.1.3.0-5.0-7.0-4</t>
  </si>
  <si>
    <t>BSW_SWS_AR4_0_R2_DIODriver-8684</t>
  </si>
  <si>
    <t>10.1.3.0-5.0-8.0-1</t>
  </si>
  <si>
    <t>BSW_SWS_AR4_0_R2_DIODriver-8685</t>
  </si>
  <si>
    <t>10.1.3.0-5.0-8.0-2</t>
  </si>
  <si>
    <t>BSW_SWS_AR4_0_R2_DIODriver-8686</t>
  </si>
  <si>
    <t>10.1.3.0-5.0-8.0-3</t>
  </si>
  <si>
    <t>BSW_SWS_AR4_0_R2_DIODriver-8687</t>
  </si>
  <si>
    <t>10.1.3.0-5.0-8.0-4</t>
  </si>
  <si>
    <t>BSW_SWS_AR4_0_R2_DIODriver-8689</t>
  </si>
  <si>
    <t>10.1.3.0-5.0-9.0-1</t>
  </si>
  <si>
    <t>BSW_SWS_AR4_0_R2_DIODriver-8690</t>
  </si>
  <si>
    <t>10.1.3.0-5.0-9.0-2</t>
  </si>
  <si>
    <t>BSW_SWS_AR4_0_R2_DIODriver-8691</t>
  </si>
  <si>
    <t>10.1.3.0-5.0-9.0-3</t>
  </si>
  <si>
    <t>BSW_SWS_AR4_0_R2_DIODriver-8692</t>
  </si>
  <si>
    <t>10.1.3.0-5.0-9.0-4</t>
  </si>
  <si>
    <t>BSW_SWS_AR4_0_R2_DIODriver-8694</t>
  </si>
  <si>
    <t>10.1.3.0-5.0-10.0-1</t>
  </si>
  <si>
    <t>BSW_SWS_AR4_0_R2_DIODriver-8695</t>
  </si>
  <si>
    <t>10.1.3.0-5.0-10.0-2</t>
  </si>
  <si>
    <t>BSW_SWS_AR4_0_R2_DIODriver-8696</t>
  </si>
  <si>
    <t>10.1.3.0-6</t>
  </si>
  <si>
    <t>BSW_SWS_AR4_0_R2_DIODriver-8699</t>
  </si>
  <si>
    <t>10.1.3.0-7.0-1.0-1</t>
  </si>
  <si>
    <t>BSW_SWS_AR4_0_R2_DIODriver-8700</t>
  </si>
  <si>
    <t>10.1.3.0-7.0-1.0-2</t>
  </si>
  <si>
    <t xml:space="preserve">DIO143_Conf : </t>
  </si>
  <si>
    <t>BSW_SWS_AR4_0_R2_DIODriver-8702</t>
  </si>
  <si>
    <t>10.1.3.0-7.0-2.0-1</t>
  </si>
  <si>
    <t>BSW_SWS_AR4_0_R2_DIODriver-8703</t>
  </si>
  <si>
    <t>10.1.3.0-7.0-2.0-2</t>
  </si>
  <si>
    <t xml:space="preserve">DioVersionInfoApi {DIO_VERSION_INFO_API} </t>
  </si>
  <si>
    <t>BSW_SWS_AR4_0_R2_DIODriver-8705</t>
  </si>
  <si>
    <t>10.1.3.0-7.0-3.0-1</t>
  </si>
  <si>
    <t>BSW_SWS_AR4_0_R2_DIODriver-8706</t>
  </si>
  <si>
    <t>10.1.3.0-7.0-3.0-2</t>
  </si>
  <si>
    <t>Adds / removes the service Dio_ GetVersionInfo() from the code.</t>
  </si>
  <si>
    <t>BSW_SWS_AR4_0_R2_DIODriver-8708</t>
  </si>
  <si>
    <t>10.1.3.0-7.0-4.0-1</t>
  </si>
  <si>
    <t>BSW_SWS_AR4_0_R2_DIODriver-8709</t>
  </si>
  <si>
    <t>10.1.3.0-7.0-4.0-2</t>
  </si>
  <si>
    <t>BSW_SWS_AR4_0_R2_DIODriver-8711</t>
  </si>
  <si>
    <t>10.1.3.0-7.0-5.0-1</t>
  </si>
  <si>
    <t>BSW_SWS_AR4_0_R2_DIODriver-8712</t>
  </si>
  <si>
    <t>10.1.3.0-7.0-5.0-2</t>
  </si>
  <si>
    <t>BSW_SWS_AR4_0_R2_DIODriver-8714</t>
  </si>
  <si>
    <t>10.1.3.0-7.0-6.0-1</t>
  </si>
  <si>
    <t>BSW_SWS_AR4_0_R2_DIODriver-8715</t>
  </si>
  <si>
    <t>10.1.3.0-7.0-6.0-2</t>
  </si>
  <si>
    <t>BSW_SWS_AR4_0_R2_DIODriver-8717</t>
  </si>
  <si>
    <t>10.1.3.0-7.0-7.0-1</t>
  </si>
  <si>
    <t>BSW_SWS_AR4_0_R2_DIODriver-8718</t>
  </si>
  <si>
    <t>10.1.3.0-7.0-7.0-2</t>
  </si>
  <si>
    <t>BSW_SWS_AR4_0_R2_DIODriver-8719</t>
  </si>
  <si>
    <t>10.1.3.0-7.0-7.0-3</t>
  </si>
  <si>
    <t>BSW_SWS_AR4_0_R2_DIODriver-8720</t>
  </si>
  <si>
    <t>10.1.3.0-7.0-7.0-4</t>
  </si>
  <si>
    <t>BSW_SWS_AR4_0_R2_DIODriver-8722</t>
  </si>
  <si>
    <t>10.1.3.0-7.0-8.0-1</t>
  </si>
  <si>
    <t>BSW_SWS_AR4_0_R2_DIODriver-8723</t>
  </si>
  <si>
    <t>10.1.3.0-7.0-8.0-2</t>
  </si>
  <si>
    <t>BSW_SWS_AR4_0_R2_DIODriver-8724</t>
  </si>
  <si>
    <t>10.1.3.0-7.0-8.0-3</t>
  </si>
  <si>
    <t>BSW_SWS_AR4_0_R2_DIODriver-8725</t>
  </si>
  <si>
    <t>10.1.3.0-7.0-8.0-4</t>
  </si>
  <si>
    <t>BSW_SWS_AR4_0_R2_DIODriver-8727</t>
  </si>
  <si>
    <t>10.1.3.0-7.0-9.0-1</t>
  </si>
  <si>
    <t>BSW_SWS_AR4_0_R2_DIODriver-8728</t>
  </si>
  <si>
    <t>10.1.3.0-7.0-9.0-2</t>
  </si>
  <si>
    <t>BSW_SWS_AR4_0_R2_DIODriver-8729</t>
  </si>
  <si>
    <t>10.1.3.0-7.0-9.0-3</t>
  </si>
  <si>
    <t>BSW_SWS_AR4_0_R2_DIODriver-8730</t>
  </si>
  <si>
    <t>10.1.3.0-7.0-9.0-4</t>
  </si>
  <si>
    <t>BSW_SWS_AR4_0_R2_DIODriver-8732</t>
  </si>
  <si>
    <t>10.1.3.0-7.0-10.0-1</t>
  </si>
  <si>
    <t>BSW_SWS_AR4_0_R2_DIODriver-8733</t>
  </si>
  <si>
    <t>10.1.3.0-7.0-10.0-2</t>
  </si>
  <si>
    <t>BSW_SWS_AR4_0_R2_DIODriver-8734</t>
  </si>
  <si>
    <t>10.1.3.0-8</t>
  </si>
  <si>
    <t>BSW_SWS_AR4_0_R2_DIODriver-8737</t>
  </si>
  <si>
    <t>10.1.3.0-9.0-1.0-1</t>
  </si>
  <si>
    <t xml:space="preserve">No Included Containers </t>
  </si>
  <si>
    <t>BSW_SWS_AR4_0_R2_DIODriver-8738</t>
  </si>
  <si>
    <t>10.1.3.0-10</t>
  </si>
  <si>
    <t>BSW_SWS_AR4_0_R2_DIODriver-8739</t>
  </si>
  <si>
    <t>10.1.4</t>
  </si>
  <si>
    <t xml:space="preserve">	DioPort</t>
  </si>
  <si>
    <t>BSW_SWS_AR4_0_R2_DIODriver-8742</t>
  </si>
  <si>
    <t>10.1.4.0-1.0-1.0-1</t>
  </si>
  <si>
    <t>BSW_SWS_AR4_0_R2_DIODriver-8743</t>
  </si>
  <si>
    <t>10.1.4.0-1.0-1.0-2</t>
  </si>
  <si>
    <t xml:space="preserve">DIO144_Conf : </t>
  </si>
  <si>
    <t>BSW_SWS_AR4_0_R2_DIODriver-8745</t>
  </si>
  <si>
    <t>10.1.4.0-1.0-2.0-1</t>
  </si>
  <si>
    <t>BSW_SWS_AR4_0_R2_DIODriver-8746</t>
  </si>
  <si>
    <t>10.1.4.0-1.0-2.0-2</t>
  </si>
  <si>
    <t xml:space="preserve">DioPort </t>
  </si>
  <si>
    <t>BSW_SWS_AR4_0_R2_DIODriver-8748</t>
  </si>
  <si>
    <t>10.1.4.0-1.0-3.0-1</t>
  </si>
  <si>
    <t>BSW_SWS_AR4_0_R2_DIODriver-8749</t>
  </si>
  <si>
    <t>10.1.4.0-1.0-3.0-2</t>
  </si>
  <si>
    <t>Configuration of individual DIO ports, consisting of channels and possible channel groups. Note that this container definition does not explicitly define a symbolic name parameter. Instead, the container's short name will be used in the Ecu Configuration Description to specify the symbolic name of the port.</t>
  </si>
  <si>
    <t>BSW_SWS_AR4_0_R2_DIODriver-8751</t>
  </si>
  <si>
    <t>10.1.4.0-1.0-4.0-1</t>
  </si>
  <si>
    <t>BSW_SWS_AR4_0_R2_DIODriver-8752</t>
  </si>
  <si>
    <t>10.1.4.0-2</t>
  </si>
  <si>
    <t>BSW_SWS_AR4_0_R2_DIODriver-8755</t>
  </si>
  <si>
    <t>10.1.4.0-3.0-1.0-1</t>
  </si>
  <si>
    <t>BSW_SWS_AR4_0_R2_DIODriver-8756</t>
  </si>
  <si>
    <t>10.1.4.0-3.0-1.0-2</t>
  </si>
  <si>
    <t xml:space="preserve">DIO145_Conf : </t>
  </si>
  <si>
    <t>BSW_SWS_AR4_0_R2_DIODriver-8758</t>
  </si>
  <si>
    <t>10.1.4.0-3.0-2.0-1</t>
  </si>
  <si>
    <t>BSW_SWS_AR4_0_R2_DIODriver-8759</t>
  </si>
  <si>
    <t>10.1.4.0-3.0-2.0-2</t>
  </si>
  <si>
    <t xml:space="preserve">DioPortId {DIO_PORT_ID} </t>
  </si>
  <si>
    <t>BSW_SWS_AR4_0_R2_DIODriver-8761</t>
  </si>
  <si>
    <t>10.1.4.0-3.0-3.0-1</t>
  </si>
  <si>
    <t>BSW_SWS_AR4_0_R2_DIODriver-8762</t>
  </si>
  <si>
    <t>10.1.4.0-3.0-3.0-2</t>
  </si>
  <si>
    <t>Numeric identifier of the DIO port. Not all MCU ports may be used for DIO, thus there may be "gaps" in the list of all IDs. This value will be assigned to the DIO port symbolic name (i.e. the SHORT-NAME of the DioPort container).</t>
  </si>
  <si>
    <t>BSW_SWS_AR4_0_R2_DIODriver-8764</t>
  </si>
  <si>
    <t>10.1.4.0-3.0-4.0-1</t>
  </si>
  <si>
    <t>BSW_SWS_AR4_0_R2_DIODriver-8765</t>
  </si>
  <si>
    <t>10.1.4.0-3.0-4.0-2</t>
  </si>
  <si>
    <t>BSW_SWS_AR4_0_R2_DIODriver-8767</t>
  </si>
  <si>
    <t>10.1.4.0-3.0-5.0-1</t>
  </si>
  <si>
    <t>BSW_SWS_AR4_0_R2_DIODriver-8768</t>
  </si>
  <si>
    <t>10.1.4.0-3.0-5.0-2</t>
  </si>
  <si>
    <t xml:space="preserve">EcucIntegerParamDef (Symbolic Name generated for this parameter) </t>
  </si>
  <si>
    <t>BSW_SWS_AR4_0_R2_DIODriver-8770</t>
  </si>
  <si>
    <t>10.1.4.0-3.0-6.0-1</t>
  </si>
  <si>
    <t xml:space="preserve">Range </t>
  </si>
  <si>
    <t>BSW_SWS_AR4_0_R2_DIODriver-8771</t>
  </si>
  <si>
    <t>10.1.4.0-3.0-6.0-2</t>
  </si>
  <si>
    <t xml:space="preserve">0 .. 4294967295 </t>
  </si>
  <si>
    <t>BSW_SWS_AR4_0_R2_DIODriver-8772</t>
  </si>
  <si>
    <t>10.1.4.0-3.0-6.0-3</t>
  </si>
  <si>
    <t>BSW_SWS_AR4_0_R2_DIODriver-8774</t>
  </si>
  <si>
    <t>10.1.4.0-3.0-7.0-1</t>
  </si>
  <si>
    <t>BSW_SWS_AR4_0_R2_DIODriver-8775</t>
  </si>
  <si>
    <t>10.1.4.0-3.0-7.0-2</t>
  </si>
  <si>
    <t>BSW_SWS_AR4_0_R2_DIODriver-8777</t>
  </si>
  <si>
    <t>10.1.4.0-3.0-8.0-1</t>
  </si>
  <si>
    <t>BSW_SWS_AR4_0_R2_DIODriver-8778</t>
  </si>
  <si>
    <t>10.1.4.0-3.0-8.0-2</t>
  </si>
  <si>
    <t>BSW_SWS_AR4_0_R2_DIODriver-8779</t>
  </si>
  <si>
    <t>10.1.4.0-3.0-8.0-3</t>
  </si>
  <si>
    <t>BSW_SWS_AR4_0_R2_DIODriver-8780</t>
  </si>
  <si>
    <t>10.1.4.0-3.0-8.0-4</t>
  </si>
  <si>
    <t xml:space="preserve">VARIANT-PRE-COMPILE </t>
  </si>
  <si>
    <t>BSW_SWS_AR4_0_R2_DIODriver-8782</t>
  </si>
  <si>
    <t>10.1.4.0-3.0-9.0-1</t>
  </si>
  <si>
    <t>BSW_SWS_AR4_0_R2_DIODriver-8783</t>
  </si>
  <si>
    <t>10.1.4.0-3.0-9.0-2</t>
  </si>
  <si>
    <t>BSW_SWS_AR4_0_R2_DIODriver-8784</t>
  </si>
  <si>
    <t>10.1.4.0-3.0-9.0-3</t>
  </si>
  <si>
    <t>BSW_SWS_AR4_0_R2_DIODriver-8785</t>
  </si>
  <si>
    <t>10.1.4.0-3.0-9.0-4</t>
  </si>
  <si>
    <t>BSW_SWS_AR4_0_R2_DIODriver-8787</t>
  </si>
  <si>
    <t>10.1.4.0-3.0-10.0-1</t>
  </si>
  <si>
    <t>BSW_SWS_AR4_0_R2_DIODriver-8788</t>
  </si>
  <si>
    <t>10.1.4.0-3.0-10.0-2</t>
  </si>
  <si>
    <t>BSW_SWS_AR4_0_R2_DIODriver-8789</t>
  </si>
  <si>
    <t>10.1.4.0-3.0-10.0-3</t>
  </si>
  <si>
    <t>BSW_SWS_AR4_0_R2_DIODriver-8790</t>
  </si>
  <si>
    <t>10.1.4.0-3.0-10.0-4</t>
  </si>
  <si>
    <t xml:space="preserve">VARIANT-POST-BUILD </t>
  </si>
  <si>
    <t>BSW_SWS_AR4_0_R2_DIODriver-8792</t>
  </si>
  <si>
    <t>10.1.4.0-3.0-11.0-1</t>
  </si>
  <si>
    <t>BSW_SWS_AR4_0_R2_DIODriver-8793</t>
  </si>
  <si>
    <t>10.1.4.0-3.0-11.0-2</t>
  </si>
  <si>
    <t>BSW_SWS_AR4_0_R2_DIODriver-8794</t>
  </si>
  <si>
    <t>10.1.4.0-4</t>
  </si>
  <si>
    <t>BSW_SWS_AR4_0_R2_DIODriver-8797</t>
  </si>
  <si>
    <t>10.1.4.0-5.0-1.0-1</t>
  </si>
  <si>
    <t>BSW_SWS_AR4_0_R2_DIODriver-8799</t>
  </si>
  <si>
    <t>10.1.4.0-5.0-2.0-1</t>
  </si>
  <si>
    <t>BSW_SWS_AR4_0_R2_DIODriver-8800</t>
  </si>
  <si>
    <t>10.1.4.0-5.0-2.0-2</t>
  </si>
  <si>
    <t>BSW_SWS_AR4_0_R2_DIODriver-8801</t>
  </si>
  <si>
    <t>10.1.4.0-5.0-2.0-3</t>
  </si>
  <si>
    <t>BSW_SWS_AR4_0_R2_DIODriver-8803</t>
  </si>
  <si>
    <t>10.1.4.0-5.0-3.0-1</t>
  </si>
  <si>
    <t xml:space="preserve">DioChannel </t>
  </si>
  <si>
    <t>BSW_SWS_AR4_0_R2_DIODriver-8804</t>
  </si>
  <si>
    <t>10.1.4.0-5.0-3.0-2</t>
  </si>
  <si>
    <t xml:space="preserve">0..* </t>
  </si>
  <si>
    <t>BSW_SWS_AR4_0_R2_DIODriver-8805</t>
  </si>
  <si>
    <t>10.1.4.0-5.0-3.0-3</t>
  </si>
  <si>
    <t xml:space="preserve">Configuration of an individual DIO channel. Besides a HW specific channel name which is typically fixed for a specific micro controller, additional symbolic names can be defined per channel. Note hat this container definition does not explicitly define a symbolic name parameter. Instead, the container's short name will be used in the Ecu Configuration Description to specify the symbolic name of the channel. </t>
  </si>
  <si>
    <t>BSW_SWS_AR4_0_R2_DIODriver-8807</t>
  </si>
  <si>
    <t>10.1.4.0-5.0-4.0-1</t>
  </si>
  <si>
    <t xml:space="preserve">DioChannelGroup </t>
  </si>
  <si>
    <t>BSW_SWS_AR4_0_R2_DIODriver-8808</t>
  </si>
  <si>
    <t>10.1.4.0-5.0-4.0-2</t>
  </si>
  <si>
    <t>BSW_SWS_AR4_0_R2_DIODriver-8809</t>
  </si>
  <si>
    <t>10.1.4.0-5.0-4.0-3</t>
  </si>
  <si>
    <t xml:space="preserve">Definition and configuration of DIO channel groups. A channel group represents several adjoining DIO channels represented by a logical group. Note hat this container definition does not explicitly define a symbolic name parameter. Instead, the container's short name will be used in the Ecu Configuration Description to specify the symbolic name of the channel group. </t>
  </si>
  <si>
    <t>BSW_SWS_AR4_0_R2_DIODriver-8810</t>
  </si>
  <si>
    <t>10.1.4.0-6</t>
  </si>
  <si>
    <t>BSW_SWS_AR4_0_R2_DIODriver-8811</t>
  </si>
  <si>
    <t>10.1.5</t>
  </si>
  <si>
    <t xml:space="preserve">	DioChannel</t>
  </si>
  <si>
    <t>BSW_SWS_AR4_0_R2_DIODriver-8814</t>
  </si>
  <si>
    <t>10.1.5.0-1.0-1.0-1</t>
  </si>
  <si>
    <t>BSW_SWS_AR4_0_R2_DIODriver-8815</t>
  </si>
  <si>
    <t>10.1.5.0-1.0-1.0-2</t>
  </si>
  <si>
    <t xml:space="preserve">DIO146_Conf : </t>
  </si>
  <si>
    <t>BSW_SWS_AR4_0_R2_DIODriver-8817</t>
  </si>
  <si>
    <t>10.1.5.0-1.0-2.0-1</t>
  </si>
  <si>
    <t>BSW_SWS_AR4_0_R2_DIODriver-8818</t>
  </si>
  <si>
    <t>10.1.5.0-1.0-2.0-2</t>
  </si>
  <si>
    <t>BSW_SWS_AR4_0_R2_DIODriver-8820</t>
  </si>
  <si>
    <t>10.1.5.0-1.0-3.0-1</t>
  </si>
  <si>
    <t>BSW_SWS_AR4_0_R2_DIODriver-8821</t>
  </si>
  <si>
    <t>10.1.5.0-1.0-3.0-2</t>
  </si>
  <si>
    <t>Configuration of an individual DIO channel. Besides a HW specific channel name which is typically fixed for a specific micro controller, additional symbolic names can be defined per channel. Note hat this container definition does not explicitly define a symbolic name parameter. Instead, the container's short name will be used in the Ecu Configuration Description to specify the symbolic name of the channel.</t>
  </si>
  <si>
    <t>BSW_SWS_AR4_0_R2_DIODriver-8823</t>
  </si>
  <si>
    <t>10.1.5.0-1.0-4.0-1</t>
  </si>
  <si>
    <t>BSW_SWS_AR4_0_R2_DIODriver-8824</t>
  </si>
  <si>
    <t>10.1.5.0-2</t>
  </si>
  <si>
    <t>BSW_SWS_AR4_0_R2_DIODriver-8827</t>
  </si>
  <si>
    <t>10.1.5.0-3.0-1.0-1</t>
  </si>
  <si>
    <t>BSW_SWS_AR4_0_R2_DIODriver-8828</t>
  </si>
  <si>
    <t>10.1.5.0-3.0-1.0-2</t>
  </si>
  <si>
    <t xml:space="preserve">DIO147_Conf : </t>
  </si>
  <si>
    <t>BSW_SWS_AR4_0_R2_DIODriver-8830</t>
  </si>
  <si>
    <t>10.1.5.0-3.0-2.0-1</t>
  </si>
  <si>
    <t>BSW_SWS_AR4_0_R2_DIODriver-8831</t>
  </si>
  <si>
    <t>10.1.5.0-3.0-2.0-2</t>
  </si>
  <si>
    <t xml:space="preserve">DioChannelId {DIO_CHANNEL_ID} </t>
  </si>
  <si>
    <t>BSW_SWS_AR4_0_R2_DIODriver-8833</t>
  </si>
  <si>
    <t>10.1.5.0-3.0-3.0-1</t>
  </si>
  <si>
    <t>BSW_SWS_AR4_0_R2_DIODriver-8834</t>
  </si>
  <si>
    <t>10.1.5.0-3.0-3.0-2</t>
  </si>
  <si>
    <t>Channel Id of the DIO channel. This value will be assigned to the symbolic names.</t>
  </si>
  <si>
    <t>BSW_SWS_AR4_0_R2_DIODriver-8836</t>
  </si>
  <si>
    <t>10.1.5.0-3.0-4.0-1</t>
  </si>
  <si>
    <t>BSW_SWS_AR4_0_R2_DIODriver-8837</t>
  </si>
  <si>
    <t>10.1.5.0-3.0-4.0-2</t>
  </si>
  <si>
    <t>BSW_SWS_AR4_0_R2_DIODriver-8839</t>
  </si>
  <si>
    <t>10.1.5.0-3.0-5.0-1</t>
  </si>
  <si>
    <t>BSW_SWS_AR4_0_R2_DIODriver-8840</t>
  </si>
  <si>
    <t>10.1.5.0-3.0-5.0-2</t>
  </si>
  <si>
    <t>BSW_SWS_AR4_0_R2_DIODriver-8842</t>
  </si>
  <si>
    <t>10.1.5.0-3.0-6.0-1</t>
  </si>
  <si>
    <t>BSW_SWS_AR4_0_R2_DIODriver-8843</t>
  </si>
  <si>
    <t>10.1.5.0-3.0-6.0-2</t>
  </si>
  <si>
    <t>BSW_SWS_AR4_0_R2_DIODriver-8844</t>
  </si>
  <si>
    <t>10.1.5.0-3.0-6.0-3</t>
  </si>
  <si>
    <t>BSW_SWS_AR4_0_R2_DIODriver-8846</t>
  </si>
  <si>
    <t>10.1.5.0-3.0-7.0-1</t>
  </si>
  <si>
    <t>BSW_SWS_AR4_0_R2_DIODriver-8847</t>
  </si>
  <si>
    <t>10.1.5.0-3.0-7.0-2</t>
  </si>
  <si>
    <t>BSW_SWS_AR4_0_R2_DIODriver-8849</t>
  </si>
  <si>
    <t>10.1.5.0-3.0-8.0-1</t>
  </si>
  <si>
    <t>BSW_SWS_AR4_0_R2_DIODriver-8850</t>
  </si>
  <si>
    <t>10.1.5.0-3.0-8.0-2</t>
  </si>
  <si>
    <t>BSW_SWS_AR4_0_R2_DIODriver-8851</t>
  </si>
  <si>
    <t>10.1.5.0-3.0-8.0-3</t>
  </si>
  <si>
    <t>BSW_SWS_AR4_0_R2_DIODriver-8852</t>
  </si>
  <si>
    <t>10.1.5.0-3.0-8.0-4</t>
  </si>
  <si>
    <t>BSW_SWS_AR4_0_R2_DIODriver-8854</t>
  </si>
  <si>
    <t>10.1.5.0-3.0-9.0-1</t>
  </si>
  <si>
    <t>BSW_SWS_AR4_0_R2_DIODriver-8855</t>
  </si>
  <si>
    <t>10.1.5.0-3.0-9.0-2</t>
  </si>
  <si>
    <t>BSW_SWS_AR4_0_R2_DIODriver-8856</t>
  </si>
  <si>
    <t>10.1.5.0-3.0-9.0-3</t>
  </si>
  <si>
    <t>BSW_SWS_AR4_0_R2_DIODriver-8857</t>
  </si>
  <si>
    <t>10.1.5.0-3.0-9.0-4</t>
  </si>
  <si>
    <t>BSW_SWS_AR4_0_R2_DIODriver-8859</t>
  </si>
  <si>
    <t>10.1.5.0-3.0-10.0-1</t>
  </si>
  <si>
    <t>BSW_SWS_AR4_0_R2_DIODriver-8860</t>
  </si>
  <si>
    <t>10.1.5.0-3.0-10.0-2</t>
  </si>
  <si>
    <t>BSW_SWS_AR4_0_R2_DIODriver-8861</t>
  </si>
  <si>
    <t>10.1.5.0-3.0-10.0-3</t>
  </si>
  <si>
    <t>BSW_SWS_AR4_0_R2_DIODriver-8862</t>
  </si>
  <si>
    <t>10.1.5.0-3.0-10.0-4</t>
  </si>
  <si>
    <t>BSW_SWS_AR4_0_R2_DIODriver-8864</t>
  </si>
  <si>
    <t>10.1.5.0-3.0-11.0-1</t>
  </si>
  <si>
    <t>BSW_SWS_AR4_0_R2_DIODriver-8865</t>
  </si>
  <si>
    <t>10.1.5.0-3.0-11.0-2</t>
  </si>
  <si>
    <t>BSW_SWS_AR4_0_R2_DIODriver-8866</t>
  </si>
  <si>
    <t>10.1.5.0-4</t>
  </si>
  <si>
    <t>BSW_SWS_AR4_0_R2_DIODriver-8869</t>
  </si>
  <si>
    <t>10.1.5.0-5.0-1.0-1</t>
  </si>
  <si>
    <t>BSW_SWS_AR4_0_R2_DIODriver-8870</t>
  </si>
  <si>
    <t>10.1.5.0-6</t>
  </si>
  <si>
    <t>BSW_SWS_AR4_0_R2_DIODriver-8871</t>
  </si>
  <si>
    <t>10.1.6</t>
  </si>
  <si>
    <t xml:space="preserve">	DioChannelGroup</t>
  </si>
  <si>
    <t>BSW_SWS_AR4_0_R2_DIODriver-8874</t>
  </si>
  <si>
    <t>10.1.6.0-1.0-1.0-1</t>
  </si>
  <si>
    <t>BSW_SWS_AR4_0_R2_DIODriver-8875</t>
  </si>
  <si>
    <t>10.1.6.0-1.0-1.0-2</t>
  </si>
  <si>
    <t xml:space="preserve">DIO148_Conf : </t>
  </si>
  <si>
    <t>BSW_SWS_AR4_0_R2_DIODriver-8877</t>
  </si>
  <si>
    <t>10.1.6.0-1.0-2.0-1</t>
  </si>
  <si>
    <t>BSW_SWS_AR4_0_R2_DIODriver-8878</t>
  </si>
  <si>
    <t>10.1.6.0-1.0-2.0-2</t>
  </si>
  <si>
    <t>BSW_SWS_AR4_0_R2_DIODriver-8880</t>
  </si>
  <si>
    <t>10.1.6.0-1.0-3.0-1</t>
  </si>
  <si>
    <t>BSW_SWS_AR4_0_R2_DIODriver-8881</t>
  </si>
  <si>
    <t>10.1.6.0-1.0-3.0-2</t>
  </si>
  <si>
    <t>Definition and configuration of DIO channel groups. A channel group represents several adjoining DIO channels represented by a logical group. Note hat this container definition does not explicitly define a symbolic name parameter. Instead, the container's short name will be used in the Ecu Configuration Description to specify the symbolic name of the channel group.</t>
  </si>
  <si>
    <t>BSW_SWS_AR4_0_R2_DIODriver-8883</t>
  </si>
  <si>
    <t>10.1.6.0-1.0-4.0-1</t>
  </si>
  <si>
    <t>BSW_SWS_AR4_0_R2_DIODriver-8884</t>
  </si>
  <si>
    <t>10.1.6.0-2</t>
  </si>
  <si>
    <t>BSW_SWS_AR4_0_R2_DIODriver-8887</t>
  </si>
  <si>
    <t>10.1.6.0-3.0-1.0-1</t>
  </si>
  <si>
    <t>BSW_SWS_AR4_0_R2_DIODriver-8888</t>
  </si>
  <si>
    <t>10.1.6.0-3.0-1.0-2</t>
  </si>
  <si>
    <t xml:space="preserve">DIO149_Conf : </t>
  </si>
  <si>
    <t>BSW_SWS_AR4_0_R2_DIODriver-8890</t>
  </si>
  <si>
    <t>10.1.6.0-3.0-2.0-1</t>
  </si>
  <si>
    <t>BSW_SWS_AR4_0_R2_DIODriver-8891</t>
  </si>
  <si>
    <t>10.1.6.0-3.0-2.0-2</t>
  </si>
  <si>
    <t xml:space="preserve">DioChannelGroupIdentification {DIO_CHANNEL_GROUP_IDENTIFICATION} </t>
  </si>
  <si>
    <t>BSW_SWS_AR4_0_R2_DIODriver-8893</t>
  </si>
  <si>
    <t>10.1.6.0-3.0-3.0-1</t>
  </si>
  <si>
    <t>BSW_SWS_AR4_0_R2_DIODriver-8894</t>
  </si>
  <si>
    <t>10.1.6.0-3.0-3.0-2</t>
  </si>
  <si>
    <t>The DIO channel group is identified in DIO API by a pointer to a data structure (of type Dio_ChannelGroupType). That data structure contains the channel group information. This parameter contains the code fragment that has to be inserted in the API call of the calling module to get the address of the variable in memory which holds the channel group information. Example values are "&amp;MyDioGroup1" or "&amp;MyDioGroupArray[0]"</t>
  </si>
  <si>
    <t>BSW_SWS_AR4_0_R2_DIODriver-8896</t>
  </si>
  <si>
    <t>10.1.6.0-3.0-4.0-1</t>
  </si>
  <si>
    <t>BSW_SWS_AR4_0_R2_DIODriver-8897</t>
  </si>
  <si>
    <t>10.1.6.0-3.0-4.0-2</t>
  </si>
  <si>
    <t>BSW_SWS_AR4_0_R2_DIODriver-8899</t>
  </si>
  <si>
    <t>10.1.6.0-3.0-5.0-1</t>
  </si>
  <si>
    <t>BSW_SWS_AR4_0_R2_DIODriver-8900</t>
  </si>
  <si>
    <t>10.1.6.0-3.0-5.0-2</t>
  </si>
  <si>
    <t xml:space="preserve">EcucStringParamDef (Symbolic Name generated for this parameter) </t>
  </si>
  <si>
    <t>BSW_SWS_AR4_0_R2_DIODriver-8902</t>
  </si>
  <si>
    <t>10.1.6.0-3.0-6.0-1</t>
  </si>
  <si>
    <t>BSW_SWS_AR4_0_R2_DIODriver-8903</t>
  </si>
  <si>
    <t>10.1.6.0-3.0-6.0-2</t>
  </si>
  <si>
    <t>BSW_SWS_AR4_0_R2_DIODriver-8905</t>
  </si>
  <si>
    <t>10.1.6.0-3.0-7.0-1</t>
  </si>
  <si>
    <t xml:space="preserve">maxLength </t>
  </si>
  <si>
    <t>BSW_SWS_AR4_0_R2_DIODriver-8906</t>
  </si>
  <si>
    <t>10.1.6.0-3.0-7.0-2</t>
  </si>
  <si>
    <t>BSW_SWS_AR4_0_R2_DIODriver-8908</t>
  </si>
  <si>
    <t>10.1.6.0-3.0-8.0-1</t>
  </si>
  <si>
    <t xml:space="preserve">minLength </t>
  </si>
  <si>
    <t>BSW_SWS_AR4_0_R2_DIODriver-8909</t>
  </si>
  <si>
    <t>10.1.6.0-3.0-8.0-2</t>
  </si>
  <si>
    <t>BSW_SWS_AR4_0_R2_DIODriver-8911</t>
  </si>
  <si>
    <t>10.1.6.0-3.0-9.0-1</t>
  </si>
  <si>
    <t xml:space="preserve">regularExpression </t>
  </si>
  <si>
    <t>BSW_SWS_AR4_0_R2_DIODriver-8912</t>
  </si>
  <si>
    <t>10.1.6.0-3.0-9.0-2</t>
  </si>
  <si>
    <t>BSW_SWS_AR4_0_R2_DIODriver-8914</t>
  </si>
  <si>
    <t>10.1.6.0-3.0-10.0-1</t>
  </si>
  <si>
    <t>BSW_SWS_AR4_0_R2_DIODriver-8915</t>
  </si>
  <si>
    <t>10.1.6.0-3.0-10.0-2</t>
  </si>
  <si>
    <t>BSW_SWS_AR4_0_R2_DIODriver-8916</t>
  </si>
  <si>
    <t>10.1.6.0-3.0-10.0-3</t>
  </si>
  <si>
    <t>BSW_SWS_AR4_0_R2_DIODriver-8917</t>
  </si>
  <si>
    <t>10.1.6.0-3.0-10.0-4</t>
  </si>
  <si>
    <t>BSW_SWS_AR4_0_R2_DIODriver-8919</t>
  </si>
  <si>
    <t>10.1.6.0-3.0-11.0-1</t>
  </si>
  <si>
    <t>BSW_SWS_AR4_0_R2_DIODriver-8920</t>
  </si>
  <si>
    <t>10.1.6.0-3.0-11.0-2</t>
  </si>
  <si>
    <t>BSW_SWS_AR4_0_R2_DIODriver-8921</t>
  </si>
  <si>
    <t>10.1.6.0-3.0-11.0-3</t>
  </si>
  <si>
    <t>BSW_SWS_AR4_0_R2_DIODriver-8922</t>
  </si>
  <si>
    <t>10.1.6.0-3.0-11.0-4</t>
  </si>
  <si>
    <t>BSW_SWS_AR4_0_R2_DIODriver-8924</t>
  </si>
  <si>
    <t>10.1.6.0-3.0-12.0-1</t>
  </si>
  <si>
    <t>BSW_SWS_AR4_0_R2_DIODriver-8925</t>
  </si>
  <si>
    <t>10.1.6.0-3.0-12.0-2</t>
  </si>
  <si>
    <t>BSW_SWS_AR4_0_R2_DIODriver-8926</t>
  </si>
  <si>
    <t>10.1.6.0-3.0-12.0-3</t>
  </si>
  <si>
    <t>BSW_SWS_AR4_0_R2_DIODriver-8927</t>
  </si>
  <si>
    <t>10.1.6.0-3.0-12.0-4</t>
  </si>
  <si>
    <t>BSW_SWS_AR4_0_R2_DIODriver-8929</t>
  </si>
  <si>
    <t>10.1.6.0-3.0-13.0-1</t>
  </si>
  <si>
    <t>BSW_SWS_AR4_0_R2_DIODriver-8930</t>
  </si>
  <si>
    <t>10.1.6.0-3.0-13.0-2</t>
  </si>
  <si>
    <t>BSW_SWS_AR4_0_R2_DIODriver-8931</t>
  </si>
  <si>
    <t>10.1.6.0-4</t>
  </si>
  <si>
    <t>BSW_SWS_AR4_0_R2_DIODriver-8934</t>
  </si>
  <si>
    <t>10.1.6.0-5.0-1.0-1</t>
  </si>
  <si>
    <t>BSW_SWS_AR4_0_R2_DIODriver-8935</t>
  </si>
  <si>
    <t>10.1.6.0-5.0-1.0-2</t>
  </si>
  <si>
    <t xml:space="preserve">DIO150_Conf : </t>
  </si>
  <si>
    <t>BSW_SWS_AR4_0_R2_DIODriver-8937</t>
  </si>
  <si>
    <t>10.1.6.0-5.0-2.0-1</t>
  </si>
  <si>
    <t>BSW_SWS_AR4_0_R2_DIODriver-8938</t>
  </si>
  <si>
    <t>10.1.6.0-5.0-2.0-2</t>
  </si>
  <si>
    <t xml:space="preserve">DioPortMask {DIO_PORT_MASK} </t>
  </si>
  <si>
    <t>BSW_SWS_AR4_0_R2_DIODriver-8940</t>
  </si>
  <si>
    <t>10.1.6.0-5.0-3.0-1</t>
  </si>
  <si>
    <t>BSW_SWS_AR4_0_R2_DIODriver-8941</t>
  </si>
  <si>
    <t>10.1.6.0-5.0-3.0-2</t>
  </si>
  <si>
    <t>This shall be the mask which defines the positions of the channel group. The channels shall consist of adjoining bits in the same port. The data type depends on the port width.</t>
  </si>
  <si>
    <t>BSW_SWS_AR4_0_R2_DIODriver-8943</t>
  </si>
  <si>
    <t>10.1.6.0-5.0-4.0-1</t>
  </si>
  <si>
    <t>BSW_SWS_AR4_0_R2_DIODriver-8944</t>
  </si>
  <si>
    <t>10.1.6.0-5.0-4.0-2</t>
  </si>
  <si>
    <t>BSW_SWS_AR4_0_R2_DIODriver-8946</t>
  </si>
  <si>
    <t>10.1.6.0-5.0-5.0-1</t>
  </si>
  <si>
    <t>BSW_SWS_AR4_0_R2_DIODriver-8947</t>
  </si>
  <si>
    <t>10.1.6.0-5.0-5.0-2</t>
  </si>
  <si>
    <t xml:space="preserve">EcucIntegerParamDef </t>
  </si>
  <si>
    <t>BSW_SWS_AR4_0_R2_DIODriver-8949</t>
  </si>
  <si>
    <t>10.1.6.0-5.0-6.0-1</t>
  </si>
  <si>
    <t>BSW_SWS_AR4_0_R2_DIODriver-8950</t>
  </si>
  <si>
    <t>10.1.6.0-5.0-6.0-2</t>
  </si>
  <si>
    <t>BSW_SWS_AR4_0_R2_DIODriver-8951</t>
  </si>
  <si>
    <t>10.1.6.0-5.0-6.0-3</t>
  </si>
  <si>
    <t>BSW_SWS_AR4_0_R2_DIODriver-8953</t>
  </si>
  <si>
    <t>10.1.6.0-5.0-7.0-1</t>
  </si>
  <si>
    <t>BSW_SWS_AR4_0_R2_DIODriver-8954</t>
  </si>
  <si>
    <t>10.1.6.0-5.0-7.0-2</t>
  </si>
  <si>
    <t>BSW_SWS_AR4_0_R2_DIODriver-8956</t>
  </si>
  <si>
    <t>10.1.6.0-5.0-8.0-1</t>
  </si>
  <si>
    <t>BSW_SWS_AR4_0_R2_DIODriver-8957</t>
  </si>
  <si>
    <t>10.1.6.0-5.0-8.0-2</t>
  </si>
  <si>
    <t>BSW_SWS_AR4_0_R2_DIODriver-8958</t>
  </si>
  <si>
    <t>10.1.6.0-5.0-8.0-3</t>
  </si>
  <si>
    <t>BSW_SWS_AR4_0_R2_DIODriver-8959</t>
  </si>
  <si>
    <t>10.1.6.0-5.0-8.0-4</t>
  </si>
  <si>
    <t>BSW_SWS_AR4_0_R2_DIODriver-8961</t>
  </si>
  <si>
    <t>10.1.6.0-5.0-9.0-1</t>
  </si>
  <si>
    <t>BSW_SWS_AR4_0_R2_DIODriver-8962</t>
  </si>
  <si>
    <t>10.1.6.0-5.0-9.0-2</t>
  </si>
  <si>
    <t>BSW_SWS_AR4_0_R2_DIODriver-8963</t>
  </si>
  <si>
    <t>10.1.6.0-5.0-9.0-3</t>
  </si>
  <si>
    <t>BSW_SWS_AR4_0_R2_DIODriver-8964</t>
  </si>
  <si>
    <t>10.1.6.0-5.0-9.0-4</t>
  </si>
  <si>
    <t>BSW_SWS_AR4_0_R2_DIODriver-8966</t>
  </si>
  <si>
    <t>10.1.6.0-5.0-10.0-1</t>
  </si>
  <si>
    <t>BSW_SWS_AR4_0_R2_DIODriver-8967</t>
  </si>
  <si>
    <t>10.1.6.0-5.0-10.0-2</t>
  </si>
  <si>
    <t>BSW_SWS_AR4_0_R2_DIODriver-8968</t>
  </si>
  <si>
    <t>10.1.6.0-5.0-10.0-3</t>
  </si>
  <si>
    <t>BSW_SWS_AR4_0_R2_DIODriver-8969</t>
  </si>
  <si>
    <t>10.1.6.0-5.0-10.0-4</t>
  </si>
  <si>
    <t>BSW_SWS_AR4_0_R2_DIODriver-8971</t>
  </si>
  <si>
    <t>10.1.6.0-5.0-11.0-1</t>
  </si>
  <si>
    <t>BSW_SWS_AR4_0_R2_DIODriver-8972</t>
  </si>
  <si>
    <t>10.1.6.0-5.0-11.0-2</t>
  </si>
  <si>
    <t>BSW_SWS_AR4_0_R2_DIODriver-8973</t>
  </si>
  <si>
    <t>10.1.6.0-6</t>
  </si>
  <si>
    <t>BSW_SWS_AR4_0_R2_DIODriver-8976</t>
  </si>
  <si>
    <t>10.1.6.0-7.0-1.0-1</t>
  </si>
  <si>
    <t>BSW_SWS_AR4_0_R2_DIODriver-8977</t>
  </si>
  <si>
    <t>10.1.6.0-7.0-1.0-2</t>
  </si>
  <si>
    <t xml:space="preserve">DIO151_Conf : </t>
  </si>
  <si>
    <t>BSW_SWS_AR4_0_R2_DIODriver-8979</t>
  </si>
  <si>
    <t>10.1.6.0-7.0-2.0-1</t>
  </si>
  <si>
    <t>BSW_SWS_AR4_0_R2_DIODriver-8980</t>
  </si>
  <si>
    <t>10.1.6.0-7.0-2.0-2</t>
  </si>
  <si>
    <t xml:space="preserve">DioPortOffset {DIO_PORT_OFFSET} </t>
  </si>
  <si>
    <t>BSW_SWS_AR4_0_R2_DIODriver-8982</t>
  </si>
  <si>
    <t>10.1.6.0-7.0-3.0-1</t>
  </si>
  <si>
    <t>BSW_SWS_AR4_0_R2_DIODriver-8983</t>
  </si>
  <si>
    <t>10.1.6.0-7.0-3.0-2</t>
  </si>
  <si>
    <t>The position of the Channel Group on the port, counted from the LSB. This value can be derived from DioPortMask. calculationFormula = Position of the first bit of DioPortMask which is set to '1' counted from LSB</t>
  </si>
  <si>
    <t>BSW_SWS_AR4_0_R2_DIODriver-8985</t>
  </si>
  <si>
    <t>10.1.6.0-7.0-4.0-1</t>
  </si>
  <si>
    <t>BSW_SWS_AR4_0_R2_DIODriver-8986</t>
  </si>
  <si>
    <t>10.1.6.0-7.0-4.0-2</t>
  </si>
  <si>
    <t>BSW_SWS_AR4_0_R2_DIODriver-8988</t>
  </si>
  <si>
    <t>10.1.6.0-7.0-5.0-1</t>
  </si>
  <si>
    <t>BSW_SWS_AR4_0_R2_DIODriver-8989</t>
  </si>
  <si>
    <t>10.1.6.0-7.0-5.0-2</t>
  </si>
  <si>
    <t>BSW_SWS_AR4_0_R2_DIODriver-8991</t>
  </si>
  <si>
    <t>10.1.6.0-7.0-6.0-1</t>
  </si>
  <si>
    <t>BSW_SWS_AR4_0_R2_DIODriver-8992</t>
  </si>
  <si>
    <t>10.1.6.0-7.0-6.0-2</t>
  </si>
  <si>
    <t xml:space="preserve">0 .. 31 </t>
  </si>
  <si>
    <t>BSW_SWS_AR4_0_R2_DIODriver-8993</t>
  </si>
  <si>
    <t>10.1.6.0-7.0-6.0-3</t>
  </si>
  <si>
    <t>BSW_SWS_AR4_0_R2_DIODriver-8995</t>
  </si>
  <si>
    <t>10.1.6.0-7.0-7.0-1</t>
  </si>
  <si>
    <t>BSW_SWS_AR4_0_R2_DIODriver-8996</t>
  </si>
  <si>
    <t>10.1.6.0-7.0-7.0-2</t>
  </si>
  <si>
    <t>BSW_SWS_AR4_0_R2_DIODriver-8998</t>
  </si>
  <si>
    <t>10.1.6.0-7.0-8.0-1</t>
  </si>
  <si>
    <t>BSW_SWS_AR4_0_R2_DIODriver-8999</t>
  </si>
  <si>
    <t>10.1.6.0-7.0-8.0-2</t>
  </si>
  <si>
    <t>BSW_SWS_AR4_0_R2_DIODriver-9000</t>
  </si>
  <si>
    <t>10.1.6.0-7.0-8.0-3</t>
  </si>
  <si>
    <t>BSW_SWS_AR4_0_R2_DIODriver-9001</t>
  </si>
  <si>
    <t>10.1.6.0-7.0-8.0-4</t>
  </si>
  <si>
    <t>BSW_SWS_AR4_0_R2_DIODriver-9003</t>
  </si>
  <si>
    <t>10.1.6.0-7.0-9.0-1</t>
  </si>
  <si>
    <t>BSW_SWS_AR4_0_R2_DIODriver-9004</t>
  </si>
  <si>
    <t>10.1.6.0-7.0-9.0-2</t>
  </si>
  <si>
    <t>BSW_SWS_AR4_0_R2_DIODriver-9005</t>
  </si>
  <si>
    <t>10.1.6.0-7.0-9.0-3</t>
  </si>
  <si>
    <t>BSW_SWS_AR4_0_R2_DIODriver-9006</t>
  </si>
  <si>
    <t>10.1.6.0-7.0-9.0-4</t>
  </si>
  <si>
    <t>BSW_SWS_AR4_0_R2_DIODriver-9008</t>
  </si>
  <si>
    <t>10.1.6.0-7.0-10.0-1</t>
  </si>
  <si>
    <t>BSW_SWS_AR4_0_R2_DIODriver-9009</t>
  </si>
  <si>
    <t>10.1.6.0-7.0-10.0-2</t>
  </si>
  <si>
    <t>BSW_SWS_AR4_0_R2_DIODriver-9010</t>
  </si>
  <si>
    <t>10.1.6.0-7.0-10.0-3</t>
  </si>
  <si>
    <t>BSW_SWS_AR4_0_R2_DIODriver-9011</t>
  </si>
  <si>
    <t>10.1.6.0-7.0-10.0-4</t>
  </si>
  <si>
    <t>BSW_SWS_AR4_0_R2_DIODriver-9013</t>
  </si>
  <si>
    <t>10.1.6.0-7.0-11.0-1</t>
  </si>
  <si>
    <t>BSW_SWS_AR4_0_R2_DIODriver-9014</t>
  </si>
  <si>
    <t>10.1.6.0-7.0-11.0-2</t>
  </si>
  <si>
    <t>BSW_SWS_AR4_0_R2_DIODriver-9015</t>
  </si>
  <si>
    <t>10.1.6.0-8</t>
  </si>
  <si>
    <t>BSW_SWS_AR4_0_R2_DIODriver-9018</t>
  </si>
  <si>
    <t>10.1.6.0-9.0-1.0-1</t>
  </si>
  <si>
    <t>BSW_SWS_AR4_0_R2_DIODriver-9019</t>
  </si>
  <si>
    <t>10.1.6.0-10</t>
  </si>
  <si>
    <t>BSW_SWS_AR4_0_R2_DIODriver-9020</t>
  </si>
  <si>
    <t>10.1.7</t>
  </si>
  <si>
    <t xml:space="preserve">	 DioConfig</t>
  </si>
  <si>
    <t>BSW_SWS_AR4_0_R2_DIODriver-9023</t>
  </si>
  <si>
    <t>10.1.7.0-1.0-1.0-1</t>
  </si>
  <si>
    <t>BSW_SWS_AR4_0_R2_DIODriver-9024</t>
  </si>
  <si>
    <t>10.1.7.0-1.0-1.0-2</t>
  </si>
  <si>
    <t xml:space="preserve">DIO152_Conf : </t>
  </si>
  <si>
    <t>BSW_SWS_AR4_0_R2_DIODriver-9026</t>
  </si>
  <si>
    <t>10.1.7.0-1.0-2.0-1</t>
  </si>
  <si>
    <t>BSW_SWS_AR4_0_R2_DIODriver-9027</t>
  </si>
  <si>
    <t>10.1.7.0-1.0-2.0-2</t>
  </si>
  <si>
    <t xml:space="preserve">DioConfig [Multi Config Container] </t>
  </si>
  <si>
    <t>BSW_SWS_AR4_0_R2_DIODriver-9029</t>
  </si>
  <si>
    <t>10.1.7.0-1.0-3.0-1</t>
  </si>
  <si>
    <t>BSW_SWS_AR4_0_R2_DIODriver-9030</t>
  </si>
  <si>
    <t>10.1.7.0-1.0-3.0-2</t>
  </si>
  <si>
    <t>This container contains the configuration parameters and sub containers of the AUTOSAR DIO module. This container is a MultipleConfigurationContainer, i.e. this container and its sub-containers exist once per configuration set.</t>
  </si>
  <si>
    <t>BSW_SWS_AR4_0_R2_DIODriver-9032</t>
  </si>
  <si>
    <t>10.1.7.0-1.0-4.0-1</t>
  </si>
  <si>
    <t>BSW_SWS_AR4_0_R2_DIODriver-9033</t>
  </si>
  <si>
    <t>10.1.7.0-2</t>
  </si>
  <si>
    <t>BSW_SWS_AR4_0_R2_DIODriver-9036</t>
  </si>
  <si>
    <t>10.1.7.0-3.0-1.0-1</t>
  </si>
  <si>
    <t>BSW_SWS_AR4_0_R2_DIODriver-9038</t>
  </si>
  <si>
    <t>10.1.7.0-3.0-2.0-1</t>
  </si>
  <si>
    <t>BSW_SWS_AR4_0_R2_DIODriver-9039</t>
  </si>
  <si>
    <t>10.1.7.0-3.0-2.0-2</t>
  </si>
  <si>
    <t>BSW_SWS_AR4_0_R2_DIODriver-9040</t>
  </si>
  <si>
    <t>10.1.7.0-3.0-2.0-3</t>
  </si>
  <si>
    <t>BSW_SWS_AR4_0_R2_DIODriver-9042</t>
  </si>
  <si>
    <t>10.1.7.0-3.0-3.0-1</t>
  </si>
  <si>
    <t>BSW_SWS_AR4_0_R2_DIODriver-9043</t>
  </si>
  <si>
    <t>10.1.7.0-3.0-3.0-2</t>
  </si>
  <si>
    <t xml:space="preserve">1..* </t>
  </si>
  <si>
    <t>BSW_SWS_AR4_0_R2_DIODriver-9044</t>
  </si>
  <si>
    <t>10.1.7.0-3.0-3.0-3</t>
  </si>
  <si>
    <t xml:space="preserve">Configuration of individual DIO ports, consisting of channels and possible channel groups. Note that this container definition does not explicitly define a symbolic name parameter. Instead, the container's short name will be used in the Ecu Configuration Description to specify the symbolic name of the port. </t>
  </si>
  <si>
    <t>BSW_SWS_AR4_0_R2_DIODriver-9047</t>
  </si>
  <si>
    <t xml:space="preserve">	Published Information</t>
  </si>
  <si>
    <t>BSW_SWS_AR4_0_R2_DIODriver-9048</t>
  </si>
  <si>
    <t>10.2.0-1</t>
  </si>
  <si>
    <t>[DIO001_PI] The standardized common published parameters as required by BSW00402 in the General Requirements on Basic Software Modules [4] shall be published within the header file of this module and need to be provided in the BSW Module Description. The according module abbreviation can be found in the List of Basic Software Modules [2].</t>
  </si>
  <si>
    <t>BSW_SWS_AR4_0_R2_DIODriver-9049</t>
  </si>
  <si>
    <t>10.2.0-2</t>
  </si>
  <si>
    <t>Additional module-specific published parameters are listed below if applicable.</t>
  </si>
  <si>
    <t>BSW_SWS_AR4_0_R2_DIODriver-9050</t>
  </si>
  <si>
    <t xml:space="preserve">	Configuration Example</t>
  </si>
  <si>
    <t>BSW_SWS_AR4_0_R2_DIODriver-9051</t>
  </si>
  <si>
    <t>10.3.0-1</t>
  </si>
  <si>
    <t>This chapter shall provide a better understanding of how and where configuration parameters are defined and used.</t>
  </si>
  <si>
    <t>BSW_SWS_AR4_0_R2_DIODriver-9052</t>
  </si>
  <si>
    <t>10.3.0-2</t>
  </si>
  <si>
    <t>Use Cases:</t>
  </si>
  <si>
    <t>BSW_SWS_AR4_0_R2_DIODriver-9053</t>
  </si>
  <si>
    <t>10.3.0-3</t>
  </si>
  <si>
    <t>1.	Configuration of a DIO channel</t>
  </si>
  <si>
    <t>BSW_SWS_AR4_0_R2_DIODriver-9054</t>
  </si>
  <si>
    <t>10.3.0-4</t>
  </si>
  <si>
    <t>2.	Configuration of a DIO port</t>
  </si>
  <si>
    <t>BSW_SWS_AR4_0_R2_DIODriver-9055</t>
  </si>
  <si>
    <t>10.3.0-5</t>
  </si>
  <si>
    <t>3.	Configuration of a DIO channel group</t>
  </si>
  <si>
    <t>BSW_SWS_AR4_0_R2_DIODriver-9056</t>
  </si>
  <si>
    <t>10.3.1</t>
  </si>
  <si>
    <t xml:space="preserve">	Generation of DIO configuration data</t>
  </si>
  <si>
    <t>BSW_SWS_AR4_0_R2_DIODriver-9057</t>
  </si>
  <si>
    <t>10.3.1.1</t>
  </si>
  <si>
    <t xml:space="preserve">	Configuration of a DIO channel</t>
  </si>
  <si>
    <t>BSW_SWS_AR4_0_R2_DIODriver-9058</t>
  </si>
  <si>
    <t>10.3.1.1.0-1</t>
  </si>
  <si>
    <t>Each channel with index of type Dio_ChannelType shall be referenced via symbolic names through the file Dio_Cfg.h.</t>
  </si>
  <si>
    <t>BSW_SWS_AR4_0_R2_DIODriver-9059</t>
  </si>
  <si>
    <t>10.3.1.1.0-2</t>
  </si>
  <si>
    <t>Example:</t>
  </si>
  <si>
    <t>BSW_SWS_AR4_0_R2_DIODriver-9060</t>
  </si>
  <si>
    <t>10.3.1.1.0-3</t>
  </si>
  <si>
    <t xml:space="preserve">#define MOTOR_START_STOP (DIO_CHANNEL_A_5) </t>
  </si>
  <si>
    <t>BSW_SWS_AR4_0_R2_DIODriver-9061</t>
  </si>
  <si>
    <t>10.3.1.1.0-4</t>
  </si>
  <si>
    <t>#define MOTOR_DIRECTION (DIO_CHANNEL_A_6)</t>
  </si>
  <si>
    <t>BSW_SWS_AR4_0_R2_DIODriver-9062</t>
  </si>
  <si>
    <t>10.3.1.1.0-5</t>
  </si>
  <si>
    <t>Where DIO_CHANNEL_A_5 and DIO_CHANNEL_A_6 may be defined in a derivative or board specific header file.</t>
  </si>
  <si>
    <t>BSW_SWS_AR4_0_R2_DIODriver-9063</t>
  </si>
  <si>
    <t>10.3.1.1.0-6</t>
  </si>
  <si>
    <t>The mapping shall be done implementation specific.</t>
  </si>
  <si>
    <t>BSW_SWS_AR4_0_R2_DIODriver-9064</t>
  </si>
  <si>
    <t>10.3.1.2</t>
  </si>
  <si>
    <t xml:space="preserve">	Configuration of a DIO port</t>
  </si>
  <si>
    <t>BSW_SWS_AR4_0_R2_DIODriver-9065</t>
  </si>
  <si>
    <t>10.3.1.2.0-1</t>
  </si>
  <si>
    <t>Each port with index of type Dio_PortType shall be referenced via symbolic names through the file Dio_Cfg.h.</t>
  </si>
  <si>
    <t>BSW_SWS_AR4_0_R2_DIODriver-9066</t>
  </si>
  <si>
    <t>10.3.1.2.0-2</t>
  </si>
  <si>
    <t>BSW_SWS_AR4_0_R2_DIODriver-9067</t>
  </si>
  <si>
    <t>10.3.1.2.0-3</t>
  </si>
  <si>
    <t xml:space="preserve">#define MOTOR_CTL_PORT (DIO_PORT_A) </t>
  </si>
  <si>
    <t>BSW_SWS_AR4_0_R2_DIODriver-9068</t>
  </si>
  <si>
    <t>10.3.1.2.0-4</t>
  </si>
  <si>
    <t>#define MUX_SEL_PORT (DIO_PORT_B)</t>
  </si>
  <si>
    <t>BSW_SWS_AR4_0_R2_DIODriver-9069</t>
  </si>
  <si>
    <t>10.3.1.2.0-5</t>
  </si>
  <si>
    <t>Where DIO_PORT_A and DIO_PORT_B may be defined in a derivative or board specific header file.</t>
  </si>
  <si>
    <t>BSW_SWS_AR4_0_R2_DIODriver-9070</t>
  </si>
  <si>
    <t>10.3.1.2.0-6</t>
  </si>
  <si>
    <t>BSW_SWS_AR4_0_R2_DIODriver-9071</t>
  </si>
  <si>
    <t>10.3.1.3</t>
  </si>
  <si>
    <t xml:space="preserve">	Configuration of a DIO channel group</t>
  </si>
  <si>
    <t>BSW_SWS_AR4_0_R2_DIODriver-9072</t>
  </si>
  <si>
    <t>10.3.1.3.0-1</t>
  </si>
  <si>
    <t>Each channel group which is of type Dio_ChannelGroupType shall be referenced via symbolic names through the file Dio_Cfg.h.</t>
  </si>
  <si>
    <t>BSW_SWS_AR4_0_R2_DIODriver-9073</t>
  </si>
  <si>
    <t>10.3.1.3.0-2</t>
  </si>
  <si>
    <t>BSW_SWS_AR4_0_R2_DIODriver-9074</t>
  </si>
  <si>
    <t>10.3.1.3.0-3</t>
  </si>
  <si>
    <t>#define MOTOR_CTL_GRP_PTR (&amp;DioConfigData[0])</t>
  </si>
  <si>
    <t>BSW_SWS_AR4_0_R2_DIODriver-9075</t>
  </si>
  <si>
    <t>10.3.1.3.0-4</t>
  </si>
  <si>
    <t>#define MUX_SEL_GRP_PTR (&amp;DioConfigData[1])</t>
  </si>
  <si>
    <t>BSW_SWS_AR4_0_R2_DIODriver-9076</t>
  </si>
  <si>
    <t>10.3.1.3.0-5</t>
  </si>
  <si>
    <t>For description of DioConfigData see section 10.3.2.</t>
  </si>
  <si>
    <t>BSW_SWS_AR4_0_R2_DIODriver-9077</t>
  </si>
  <si>
    <t>10.3.2</t>
  </si>
  <si>
    <t xml:space="preserve">	Instantiation of DIO configuration data</t>
  </si>
  <si>
    <t>BSW_SWS_AR4_0_R2_DIODriver-9078</t>
  </si>
  <si>
    <t>10.3.2.0-1</t>
  </si>
  <si>
    <t xml:space="preserve">The file that contains the instantiation (=definition) of the DIO configuration structure includes Dio_Cfg.h and uses the defined values for initialization of structure elements. The filename should be Dio_Lcfg.c (BSW00346). </t>
  </si>
  <si>
    <t>BSW_SWS_AR4_0_R2_DIODriver-9079</t>
  </si>
  <si>
    <t>10.3.2.0-2</t>
  </si>
  <si>
    <t>BSW_SWS_AR4_0_R2_DIODriver-9080</t>
  </si>
  <si>
    <t>10.3.2.0-3</t>
  </si>
  <si>
    <t>const Dio_ChannelGroupType DioConfigData[2] =</t>
  </si>
  <si>
    <t>BSW_SWS_AR4_0_R2_DIODriver-9081</t>
  </si>
  <si>
    <t>10.3.2.0-4</t>
  </si>
  <si>
    <t>{</t>
  </si>
  <si>
    <t>BSW_SWS_AR4_0_R2_DIODriver-9082</t>
  </si>
  <si>
    <t>10.3.2.0-5</t>
  </si>
  <si>
    <t xml:space="preserve">   {</t>
  </si>
  <si>
    <t>BSW_SWS_AR4_0_R2_DIODriver-9083</t>
  </si>
  <si>
    <t>10.3.2.0-6</t>
  </si>
  <si>
    <t xml:space="preserve">      port    = MOTOR_CTL_PORT,</t>
  </si>
  <si>
    <t>BSW_SWS_AR4_0_R2_DIODriver-9084</t>
  </si>
  <si>
    <t>10.3.2.0-7</t>
  </si>
  <si>
    <t xml:space="preserve">      offset  = 5,</t>
  </si>
  <si>
    <t>BSW_SWS_AR4_0_R2_DIODriver-9085</t>
  </si>
  <si>
    <t>10.3.2.0-8</t>
  </si>
  <si>
    <t xml:space="preserve">      mask    = 0x60,</t>
  </si>
  <si>
    <t>BSW_SWS_AR4_0_R2_DIODriver-9086</t>
  </si>
  <si>
    <t>10.3.2.0-9</t>
  </si>
  <si>
    <t xml:space="preserve">   },</t>
  </si>
  <si>
    <t>BSW_SWS_AR4_0_R2_DIODriver-9087</t>
  </si>
  <si>
    <t>10.3.2.0-10</t>
  </si>
  <si>
    <t>BSW_SWS_AR4_0_R2_DIODriver-9088</t>
  </si>
  <si>
    <t>10.3.2.0-11</t>
  </si>
  <si>
    <t xml:space="preserve">      port    = MUX_SEL_PORT,</t>
  </si>
  <si>
    <t>BSW_SWS_AR4_0_R2_DIODriver-9089</t>
  </si>
  <si>
    <t>10.3.2.0-12</t>
  </si>
  <si>
    <t xml:space="preserve">      offset  = 1,</t>
  </si>
  <si>
    <t>BSW_SWS_AR4_0_R2_DIODriver-9090</t>
  </si>
  <si>
    <t>10.3.2.0-13</t>
  </si>
  <si>
    <t xml:space="preserve">      mask    = 0x1E,</t>
  </si>
  <si>
    <t>BSW_SWS_AR4_0_R2_DIODriver-9091</t>
  </si>
  <si>
    <t>10.3.2.0-14</t>
  </si>
  <si>
    <t xml:space="preserve">   }</t>
  </si>
  <si>
    <t>BSW_SWS_AR4_0_R2_DIODriver-9092</t>
  </si>
  <si>
    <t>10.3.2.0-15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</si>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</sst>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b/>
      <sz val="10"/>
      <color theme="1"/>
      <name val="Arial"/>
      <family val="2"/>
    </font>
    <font>
      <u/>
      <sz val="10"/>
      <color theme="10"/>
      <name val="Arial"/>
      <family val="2"/>
    </font>
    <font>
      <b/>
      <i/>
      <sz val="10"/>
      <color theme="1"/>
      <name val="Arial"/>
      <family val="2"/>
    </font>
    <font>
      <u/>
      <sz val="10"/>
      <color theme="1"/>
      <name val="Arial"/>
      <family val="2"/>
    </font>
    <font>
      <i/>
      <sz val="10"/>
      <color theme="1"/>
      <name val="Arial"/>
      <family val="2"/>
    </font>
  </fonts>
  <fills count="3">
    <fill>
      <patternFill patternType="none"/>
    </fill>
    <fill>
      <patternFill patternType="gray125"/>
    </fill>
    <fill>
      <patternFill patternType="solid">
        <fgColor rgb="FF00CED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2" borderId="0" xfId="0" applyFont="1" applyFill="1" applyAlignment="1">
      <alignment horizontal="center"/>
    </xf>
    <xf numFmtId="0" fontId="1" fillId="0" borderId="0" xfId="0" applyFont="1"/>
    <xf numFmtId="0" fontId="2" fillId="0" borderId="0" xfId="1"/>
    <xf numFmtId="0" fontId="0" fillId="0" borderId="0" xfId="0" applyAlignment="1">
      <alignment wrapText="1"/>
    </xf>
    <xf numFmtId="0" fontId="3" fillId="0" borderId="0" xfId="0" applyFont="1"/>
    <xf numFmtId="0" fontId="3" fillId="0" borderId="0" xfId="0" applyFont="1" applyAlignment="1">
      <alignment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72"/>
  <sheetViews>
    <sheetView tabSelected="1" topLeftCell="A10" zoomScale="85" zoomScaleNormal="85" workbookViewId="0">
      <pane xSplit="1" ySplit="1" topLeftCell="B1445" activePane="bottomRight" state="frozenSplit"/>
      <selection activeCell="A10" sqref="A10"/>
      <selection pane="bottomLeft" activeCell="A2" sqref="A2"/>
      <selection pane="topRight" activeCell="B1" sqref="B1"/>
      <selection pane="bottomRight" activeCell="D825" sqref="D825"/>
    </sheetView>
  </sheetViews>
  <sheetFormatPr defaultRowHeight="12.75" x14ac:dyDescent="0.2"/>
  <cols>
    <col min="1" max="1" width="34.85546875" bestFit="1" customWidth="1"/>
    <col min="2" max="2" width="16.42578125" bestFit="1" customWidth="1"/>
    <col min="3" max="3" width="16.7109375" bestFit="1" customWidth="1"/>
    <col min="4" max="4" width="96.28515625" customWidth="1"/>
    <col min="5" max="5" width="19.7109375" bestFit="1" customWidth="1"/>
    <col min="6" max="6" width="12.28515625" bestFit="1" customWidth="1"/>
    <col min="7" max="7" width="24.5703125" customWidth="1"/>
    <col min="10" max="10" width="14.85546875" customWidth="1"/>
    <col min="11" max="11" width="10.28515625" bestFit="1" customWidth="1"/>
    <col min="16" max="16" width="5.28515625" bestFit="1" customWidth="1"/>
    <col min="17" max="17" width="15.85546875" bestFit="1" customWidth="1"/>
    <col min="18" max="18" width="29.140625" bestFit="1" customWidth="1"/>
    <col min="19" max="19" width="53.7109375" bestFit="1" customWidth="1"/>
    <col min="20" max="20" width="34.85546875" bestFit="1" customWidth="1"/>
  </cols>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
      <c r="A2" t="s">
        <v>20</v>
      </c>
      <c r="B2" t="s">
        <v>21</v>
      </c>
      <c r="C2" t="s">
        <v>22</v>
      </c>
      <c r="D2" s="2" t="s">
        <v>23</v>
      </c>
      <c r="T2" s="3" t="str">
        <f>HYPERLINK("doors://fe-dorapcm3.de.bosch.com:36679/?version=2&amp;prodID=0&amp;view=00000015&amp;urn=urn:telelogic::1-52394082008461e6-O-7090-00059142","BSW_SWS_AR4_0_R2_DIODriver-7090")</f>
        <v>BSW_SWS_AR4_0_R2_DIODriver-7090</v>
      </c>
    </row>
    <row r="3" spans="1:20" x14ac:dyDescent="0.2">
      <c r="A3" t="s">
        <v>24</v>
      </c>
      <c r="B3" t="s">
        <v>21</v>
      </c>
      <c r="C3" t="s">
        <v>25</v>
      </c>
      <c r="D3" t="s">
        <v>26</v>
      </c>
      <c r="T3" s="3" t="str">
        <f>HYPERLINK("doors://fe-dorapcm3.de.bosch.com:36679/?version=2&amp;prodID=0&amp;view=00000015&amp;urn=urn:telelogic::1-52394082008461e6-O-7091-00059142","BSW_SWS_AR4_0_R2_DIODriver-7091")</f>
        <v>BSW_SWS_AR4_0_R2_DIODriver-7091</v>
      </c>
    </row>
    <row r="4" spans="1:20" x14ac:dyDescent="0.2">
      <c r="A4" t="s">
        <v>27</v>
      </c>
      <c r="B4" t="s">
        <v>21</v>
      </c>
      <c r="C4" t="s">
        <v>28</v>
      </c>
      <c r="D4" s="2" t="s">
        <v>29</v>
      </c>
      <c r="T4" s="3" t="str">
        <f>HYPERLINK("doors://fe-dorapcm3.de.bosch.com:36679/?version=2&amp;prodID=0&amp;view=00000015&amp;urn=urn:telelogic::1-52394082008461e6-O-7093-00059142","BSW_SWS_AR4_0_R2_DIODriver-7093")</f>
        <v>BSW_SWS_AR4_0_R2_DIODriver-7093</v>
      </c>
    </row>
    <row r="5" spans="1:20" x14ac:dyDescent="0.2">
      <c r="A5" t="s">
        <v>30</v>
      </c>
      <c r="B5" t="s">
        <v>21</v>
      </c>
      <c r="C5" t="s">
        <v>31</v>
      </c>
      <c r="D5" t="s">
        <v>32</v>
      </c>
      <c r="T5" s="3" t="str">
        <f>HYPERLINK("doors://fe-dorapcm3.de.bosch.com:36679/?version=2&amp;prodID=0&amp;view=00000015&amp;urn=urn:telelogic::1-52394082008461e6-O-7094-00059142","BSW_SWS_AR4_0_R2_DIODriver-7094")</f>
        <v>BSW_SWS_AR4_0_R2_DIODriver-7094</v>
      </c>
    </row>
    <row r="6" spans="1:20" x14ac:dyDescent="0.2">
      <c r="A6" t="s">
        <v>33</v>
      </c>
      <c r="B6" t="s">
        <v>21</v>
      </c>
      <c r="C6" t="s">
        <v>34</v>
      </c>
      <c r="D6" s="2" t="s">
        <v>35</v>
      </c>
      <c r="T6" s="3" t="str">
        <f>HYPERLINK("doors://fe-dorapcm3.de.bosch.com:36679/?version=2&amp;prodID=0&amp;view=00000015&amp;urn=urn:telelogic::1-52394082008461e6-O-7096-00059142","BSW_SWS_AR4_0_R2_DIODriver-7096")</f>
        <v>BSW_SWS_AR4_0_R2_DIODriver-7096</v>
      </c>
    </row>
    <row r="7" spans="1:20" x14ac:dyDescent="0.2">
      <c r="A7" t="s">
        <v>36</v>
      </c>
      <c r="B7" t="s">
        <v>21</v>
      </c>
      <c r="C7" t="s">
        <v>37</v>
      </c>
      <c r="D7" t="s">
        <v>32</v>
      </c>
      <c r="T7" s="3" t="str">
        <f>HYPERLINK("doors://fe-dorapcm3.de.bosch.com:36679/?version=2&amp;prodID=0&amp;view=00000015&amp;urn=urn:telelogic::1-52394082008461e6-O-7097-00059142","BSW_SWS_AR4_0_R2_DIODriver-7097")</f>
        <v>BSW_SWS_AR4_0_R2_DIODriver-7097</v>
      </c>
    </row>
    <row r="8" spans="1:20" x14ac:dyDescent="0.2">
      <c r="A8" t="s">
        <v>38</v>
      </c>
      <c r="B8" t="s">
        <v>21</v>
      </c>
      <c r="C8" t="s">
        <v>39</v>
      </c>
      <c r="D8" s="2" t="s">
        <v>40</v>
      </c>
      <c r="T8" s="3" t="str">
        <f>HYPERLINK("doors://fe-dorapcm3.de.bosch.com:36679/?version=2&amp;prodID=0&amp;view=00000015&amp;urn=urn:telelogic::1-52394082008461e6-O-7099-00059142","BSW_SWS_AR4_0_R2_DIODriver-7099")</f>
        <v>BSW_SWS_AR4_0_R2_DIODriver-7099</v>
      </c>
    </row>
    <row r="9" spans="1:20" x14ac:dyDescent="0.2">
      <c r="A9" t="s">
        <v>41</v>
      </c>
      <c r="B9" t="s">
        <v>21</v>
      </c>
      <c r="C9" t="s">
        <v>42</v>
      </c>
      <c r="D9">
        <v>20</v>
      </c>
      <c r="T9" s="3" t="str">
        <f>HYPERLINK("doors://fe-dorapcm3.de.bosch.com:36679/?version=2&amp;prodID=0&amp;view=00000015&amp;urn=urn:telelogic::1-52394082008461e6-O-7100-00059142","BSW_SWS_AR4_0_R2_DIODriver-7100")</f>
        <v>BSW_SWS_AR4_0_R2_DIODriver-7100</v>
      </c>
    </row>
    <row r="10" spans="1:20" x14ac:dyDescent="0.2">
      <c r="A10" t="s">
        <v>43</v>
      </c>
      <c r="B10" t="s">
        <v>21</v>
      </c>
      <c r="C10" t="s">
        <v>44</v>
      </c>
      <c r="D10" s="2" t="s">
        <v>45</v>
      </c>
      <c r="T10" s="3" t="str">
        <f>HYPERLINK("doors://fe-dorapcm3.de.bosch.com:36679/?version=2&amp;prodID=0&amp;view=00000015&amp;urn=urn:telelogic::1-52394082008461e6-O-7102-00059142","BSW_SWS_AR4_0_R2_DIODriver-7102")</f>
        <v>BSW_SWS_AR4_0_R2_DIODriver-7102</v>
      </c>
    </row>
    <row r="11" spans="1:20" x14ac:dyDescent="0.2">
      <c r="A11" t="s">
        <v>46</v>
      </c>
      <c r="B11" t="s">
        <v>21</v>
      </c>
      <c r="C11" t="s">
        <v>47</v>
      </c>
      <c r="D11" t="s">
        <v>48</v>
      </c>
      <c r="T11" s="3" t="str">
        <f>HYPERLINK("doors://fe-dorapcm3.de.bosch.com:36679/?version=2&amp;prodID=0&amp;view=00000015&amp;urn=urn:telelogic::1-52394082008461e6-O-7103-00059142","BSW_SWS_AR4_0_R2_DIODriver-7103")</f>
        <v>BSW_SWS_AR4_0_R2_DIODriver-7103</v>
      </c>
    </row>
    <row r="12" spans="1:20" x14ac:dyDescent="0.2">
      <c r="A12" t="s">
        <v>49</v>
      </c>
      <c r="B12" t="s">
        <v>21</v>
      </c>
      <c r="C12" t="s">
        <v>50</v>
      </c>
      <c r="T12" s="3" t="str">
        <f>HYPERLINK("doors://fe-dorapcm3.de.bosch.com:36679/?version=2&amp;prodID=0&amp;view=00000015&amp;urn=urn:telelogic::1-52394082008461e6-O-7105-00059142","BSW_SWS_AR4_0_R2_DIODriver-7105")</f>
        <v>BSW_SWS_AR4_0_R2_DIODriver-7105</v>
      </c>
    </row>
    <row r="13" spans="1:20" x14ac:dyDescent="0.2">
      <c r="A13" t="s">
        <v>51</v>
      </c>
      <c r="B13" t="s">
        <v>21</v>
      </c>
      <c r="C13" t="s">
        <v>52</v>
      </c>
      <c r="T13" s="3" t="str">
        <f>HYPERLINK("doors://fe-dorapcm3.de.bosch.com:36679/?version=2&amp;prodID=0&amp;view=00000015&amp;urn=urn:telelogic::1-52394082008461e6-O-7106-00059142","BSW_SWS_AR4_0_R2_DIODriver-7106")</f>
        <v>BSW_SWS_AR4_0_R2_DIODriver-7106</v>
      </c>
    </row>
    <row r="14" spans="1:20" x14ac:dyDescent="0.2">
      <c r="A14" t="s">
        <v>53</v>
      </c>
      <c r="B14" t="s">
        <v>21</v>
      </c>
      <c r="C14" t="s">
        <v>54</v>
      </c>
      <c r="D14" s="2" t="s">
        <v>55</v>
      </c>
      <c r="T14" s="3" t="str">
        <f>HYPERLINK("doors://fe-dorapcm3.de.bosch.com:36679/?version=2&amp;prodID=0&amp;view=00000015&amp;urn=urn:telelogic::1-52394082008461e6-O-7108-00059142","BSW_SWS_AR4_0_R2_DIODriver-7108")</f>
        <v>BSW_SWS_AR4_0_R2_DIODriver-7108</v>
      </c>
    </row>
    <row r="15" spans="1:20" x14ac:dyDescent="0.2">
      <c r="A15" t="s">
        <v>56</v>
      </c>
      <c r="B15" t="s">
        <v>21</v>
      </c>
      <c r="C15" t="s">
        <v>57</v>
      </c>
      <c r="D15" t="s">
        <v>58</v>
      </c>
      <c r="T15" s="3" t="str">
        <f>HYPERLINK("doors://fe-dorapcm3.de.bosch.com:36679/?version=2&amp;prodID=0&amp;view=00000015&amp;urn=urn:telelogic::1-52394082008461e6-O-7109-00059142","BSW_SWS_AR4_0_R2_DIODriver-7109")</f>
        <v>BSW_SWS_AR4_0_R2_DIODriver-7109</v>
      </c>
    </row>
    <row r="16" spans="1:20" x14ac:dyDescent="0.2">
      <c r="A16" t="s">
        <v>59</v>
      </c>
      <c r="B16" t="s">
        <v>21</v>
      </c>
      <c r="C16" t="s">
        <v>60</v>
      </c>
      <c r="D16" s="2" t="s">
        <v>61</v>
      </c>
      <c r="T16" s="3" t="str">
        <f>HYPERLINK("doors://fe-dorapcm3.de.bosch.com:36679/?version=2&amp;prodID=0&amp;view=00000015&amp;urn=urn:telelogic::1-52394082008461e6-O-7111-00059142","BSW_SWS_AR4_0_R2_DIODriver-7111")</f>
        <v>BSW_SWS_AR4_0_R2_DIODriver-7111</v>
      </c>
    </row>
    <row r="17" spans="1:20" x14ac:dyDescent="0.2">
      <c r="A17" t="s">
        <v>62</v>
      </c>
      <c r="B17" t="s">
        <v>21</v>
      </c>
      <c r="C17" t="s">
        <v>63</v>
      </c>
      <c r="D17" t="s">
        <v>64</v>
      </c>
      <c r="T17" s="3" t="str">
        <f>HYPERLINK("doors://fe-dorapcm3.de.bosch.com:36679/?version=2&amp;prodID=0&amp;view=00000015&amp;urn=urn:telelogic::1-52394082008461e6-O-7112-00059142","BSW_SWS_AR4_0_R2_DIODriver-7112")</f>
        <v>BSW_SWS_AR4_0_R2_DIODriver-7112</v>
      </c>
    </row>
    <row r="18" spans="1:20" x14ac:dyDescent="0.2">
      <c r="A18" t="s">
        <v>65</v>
      </c>
      <c r="B18" t="s">
        <v>21</v>
      </c>
      <c r="C18" t="s">
        <v>66</v>
      </c>
      <c r="D18" s="2" t="s">
        <v>67</v>
      </c>
      <c r="T18" s="3" t="str">
        <f>HYPERLINK("doors://fe-dorapcm3.de.bosch.com:36679/?version=2&amp;prodID=0&amp;view=00000015&amp;urn=urn:telelogic::1-52394082008461e6-O-7114-00059142","BSW_SWS_AR4_0_R2_DIODriver-7114")</f>
        <v>BSW_SWS_AR4_0_R2_DIODriver-7114</v>
      </c>
    </row>
    <row r="19" spans="1:20" x14ac:dyDescent="0.2">
      <c r="A19" t="s">
        <v>68</v>
      </c>
      <c r="B19" t="s">
        <v>21</v>
      </c>
      <c r="C19" t="s">
        <v>69</v>
      </c>
      <c r="D19">
        <v>4</v>
      </c>
      <c r="T19" s="3" t="str">
        <f>HYPERLINK("doors://fe-dorapcm3.de.bosch.com:36679/?version=2&amp;prodID=0&amp;view=00000015&amp;urn=urn:telelogic::1-52394082008461e6-O-7115-00059142","BSW_SWS_AR4_0_R2_DIODriver-7115")</f>
        <v>BSW_SWS_AR4_0_R2_DIODriver-7115</v>
      </c>
    </row>
    <row r="20" spans="1:20" x14ac:dyDescent="0.2">
      <c r="A20" t="s">
        <v>70</v>
      </c>
      <c r="B20" t="s">
        <v>21</v>
      </c>
      <c r="C20" t="s">
        <v>71</v>
      </c>
      <c r="D20" s="2" t="s">
        <v>72</v>
      </c>
      <c r="T20" s="3" t="str">
        <f>HYPERLINK("doors://fe-dorapcm3.de.bosch.com:36679/?version=2&amp;prodID=0&amp;view=00000015&amp;urn=urn:telelogic::1-52394082008461e6-O-7117-00059142","BSW_SWS_AR4_0_R2_DIODriver-7117")</f>
        <v>BSW_SWS_AR4_0_R2_DIODriver-7117</v>
      </c>
    </row>
    <row r="21" spans="1:20" x14ac:dyDescent="0.2">
      <c r="A21" t="s">
        <v>73</v>
      </c>
      <c r="B21" t="s">
        <v>21</v>
      </c>
      <c r="C21" t="s">
        <v>74</v>
      </c>
      <c r="D21">
        <v>2</v>
      </c>
      <c r="T21" s="3" t="str">
        <f>HYPERLINK("doors://fe-dorapcm3.de.bosch.com:36679/?version=2&amp;prodID=0&amp;view=00000015&amp;urn=urn:telelogic::1-52394082008461e6-O-7118-00059142","BSW_SWS_AR4_0_R2_DIODriver-7118")</f>
        <v>BSW_SWS_AR4_0_R2_DIODriver-7118</v>
      </c>
    </row>
    <row r="22" spans="1:20" ht="89.25" x14ac:dyDescent="0.2">
      <c r="A22" t="s">
        <v>75</v>
      </c>
      <c r="B22" t="s">
        <v>76</v>
      </c>
      <c r="C22" t="s">
        <v>77</v>
      </c>
      <c r="D22" s="4" t="s">
        <v>78</v>
      </c>
      <c r="T22" s="3" t="str">
        <f>HYPERLINK("doors://fe-dorapcm3.de.bosch.com:36679/?version=2&amp;prodID=0&amp;view=00000015&amp;urn=urn:telelogic::1-52394082008461e6-O-9572-00059142","BSW_SWS_AR4_0_R2_DIODriver-9572")</f>
        <v>BSW_SWS_AR4_0_R2_DIODriver-9572</v>
      </c>
    </row>
    <row r="23" spans="1:20" x14ac:dyDescent="0.2">
      <c r="A23" t="s">
        <v>79</v>
      </c>
      <c r="B23" t="s">
        <v>21</v>
      </c>
      <c r="C23" t="s">
        <v>80</v>
      </c>
      <c r="D23" s="2" t="s">
        <v>81</v>
      </c>
      <c r="T23" s="3" t="str">
        <f>HYPERLINK("doors://fe-dorapcm3.de.bosch.com:36679/?version=2&amp;prodID=0&amp;view=00000015&amp;urn=urn:telelogic::1-52394082008461e6-O-7121-00059142","BSW_SWS_AR4_0_R2_DIODriver-7121")</f>
        <v>BSW_SWS_AR4_0_R2_DIODriver-7121</v>
      </c>
    </row>
    <row r="24" spans="1:20" x14ac:dyDescent="0.2">
      <c r="A24" t="s">
        <v>82</v>
      </c>
      <c r="B24" t="s">
        <v>21</v>
      </c>
      <c r="C24" t="s">
        <v>83</v>
      </c>
      <c r="D24" s="2" t="s">
        <v>84</v>
      </c>
      <c r="T24" s="3" t="str">
        <f>HYPERLINK("doors://fe-dorapcm3.de.bosch.com:36679/?version=2&amp;prodID=0&amp;view=00000015&amp;urn=urn:telelogic::1-52394082008461e6-O-7123-00059142","BSW_SWS_AR4_0_R2_DIODriver-7123")</f>
        <v>BSW_SWS_AR4_0_R2_DIODriver-7123</v>
      </c>
    </row>
    <row r="25" spans="1:20" x14ac:dyDescent="0.2">
      <c r="A25" t="s">
        <v>85</v>
      </c>
      <c r="B25" t="s">
        <v>21</v>
      </c>
      <c r="C25" t="s">
        <v>86</v>
      </c>
      <c r="D25" s="2" t="s">
        <v>87</v>
      </c>
      <c r="T25" s="3" t="str">
        <f>HYPERLINK("doors://fe-dorapcm3.de.bosch.com:36679/?version=2&amp;prodID=0&amp;view=00000015&amp;urn=urn:telelogic::1-52394082008461e6-O-7124-00059142","BSW_SWS_AR4_0_R2_DIODriver-7124")</f>
        <v>BSW_SWS_AR4_0_R2_DIODriver-7124</v>
      </c>
    </row>
    <row r="26" spans="1:20" x14ac:dyDescent="0.2">
      <c r="A26" t="s">
        <v>88</v>
      </c>
      <c r="B26" t="s">
        <v>21</v>
      </c>
      <c r="C26" t="s">
        <v>89</v>
      </c>
      <c r="D26" s="2" t="s">
        <v>90</v>
      </c>
      <c r="T26" s="3" t="str">
        <f>HYPERLINK("doors://fe-dorapcm3.de.bosch.com:36679/?version=2&amp;prodID=0&amp;view=00000015&amp;urn=urn:telelogic::1-52394082008461e6-O-7125-00059142","BSW_SWS_AR4_0_R2_DIODriver-7125")</f>
        <v>BSW_SWS_AR4_0_R2_DIODriver-7125</v>
      </c>
    </row>
    <row r="27" spans="1:20" x14ac:dyDescent="0.2">
      <c r="A27" t="s">
        <v>91</v>
      </c>
      <c r="B27" t="s">
        <v>21</v>
      </c>
      <c r="C27" t="s">
        <v>92</v>
      </c>
      <c r="D27" s="2" t="s">
        <v>93</v>
      </c>
      <c r="T27" s="3" t="str">
        <f>HYPERLINK("doors://fe-dorapcm3.de.bosch.com:36679/?version=2&amp;prodID=0&amp;view=00000015&amp;urn=urn:telelogic::1-52394082008461e6-O-7126-00059142","BSW_SWS_AR4_0_R2_DIODriver-7126")</f>
        <v>BSW_SWS_AR4_0_R2_DIODriver-7126</v>
      </c>
    </row>
    <row r="28" spans="1:20" x14ac:dyDescent="0.2">
      <c r="A28" t="s">
        <v>94</v>
      </c>
      <c r="B28" t="s">
        <v>21</v>
      </c>
      <c r="C28" t="s">
        <v>95</v>
      </c>
      <c r="D28" t="s">
        <v>96</v>
      </c>
      <c r="T28" s="3" t="str">
        <f>HYPERLINK("doors://fe-dorapcm3.de.bosch.com:36679/?version=2&amp;prodID=0&amp;view=00000015&amp;urn=urn:telelogic::1-52394082008461e6-O-7128-00059142","BSW_SWS_AR4_0_R2_DIODriver-7128")</f>
        <v>BSW_SWS_AR4_0_R2_DIODriver-7128</v>
      </c>
    </row>
    <row r="29" spans="1:20" ht="25.5" x14ac:dyDescent="0.2">
      <c r="A29" t="s">
        <v>97</v>
      </c>
      <c r="B29" t="s">
        <v>21</v>
      </c>
      <c r="C29" t="s">
        <v>98</v>
      </c>
      <c r="D29" s="4" t="s">
        <v>99</v>
      </c>
      <c r="T29" s="3" t="str">
        <f>HYPERLINK("doors://fe-dorapcm3.de.bosch.com:36679/?version=2&amp;prodID=0&amp;view=00000015&amp;urn=urn:telelogic::1-52394082008461e6-O-7129-00059142","BSW_SWS_AR4_0_R2_DIODriver-7129")</f>
        <v>BSW_SWS_AR4_0_R2_DIODriver-7129</v>
      </c>
    </row>
    <row r="30" spans="1:20" x14ac:dyDescent="0.2">
      <c r="A30" t="s">
        <v>100</v>
      </c>
      <c r="B30" t="s">
        <v>21</v>
      </c>
      <c r="C30" t="s">
        <v>101</v>
      </c>
      <c r="D30" t="s">
        <v>102</v>
      </c>
      <c r="T30" s="3" t="str">
        <f>HYPERLINK("doors://fe-dorapcm3.de.bosch.com:36679/?version=2&amp;prodID=0&amp;view=00000015&amp;urn=urn:telelogic::1-52394082008461e6-O-7130-00059142","BSW_SWS_AR4_0_R2_DIODriver-7130")</f>
        <v>BSW_SWS_AR4_0_R2_DIODriver-7130</v>
      </c>
    </row>
    <row r="31" spans="1:20" ht="204" x14ac:dyDescent="0.2">
      <c r="A31" t="s">
        <v>103</v>
      </c>
      <c r="B31" t="s">
        <v>21</v>
      </c>
      <c r="C31" t="s">
        <v>104</v>
      </c>
      <c r="D31" s="4" t="s">
        <v>105</v>
      </c>
      <c r="T31" s="3" t="str">
        <f>HYPERLINK("doors://fe-dorapcm3.de.bosch.com:36679/?version=2&amp;prodID=0&amp;view=00000015&amp;urn=urn:telelogic::1-52394082008461e6-O-7131-00059142","BSW_SWS_AR4_0_R2_DIODriver-7131")</f>
        <v>BSW_SWS_AR4_0_R2_DIODriver-7131</v>
      </c>
    </row>
    <row r="32" spans="1:20" x14ac:dyDescent="0.2">
      <c r="A32" t="s">
        <v>106</v>
      </c>
      <c r="B32" t="s">
        <v>21</v>
      </c>
      <c r="C32" t="s">
        <v>107</v>
      </c>
      <c r="D32" t="s">
        <v>108</v>
      </c>
      <c r="T32" s="3" t="str">
        <f>HYPERLINK("doors://fe-dorapcm3.de.bosch.com:36679/?version=2&amp;prodID=0&amp;view=00000015&amp;urn=urn:telelogic::1-52394082008461e6-O-7133-00059142","BSW_SWS_AR4_0_R2_DIODriver-7133")</f>
        <v>BSW_SWS_AR4_0_R2_DIODriver-7133</v>
      </c>
    </row>
    <row r="33" spans="1:20" x14ac:dyDescent="0.2">
      <c r="A33" t="s">
        <v>109</v>
      </c>
      <c r="B33" t="s">
        <v>21</v>
      </c>
      <c r="C33" t="s">
        <v>110</v>
      </c>
      <c r="D33" t="s">
        <v>111</v>
      </c>
      <c r="T33" s="3" t="str">
        <f>HYPERLINK("doors://fe-dorapcm3.de.bosch.com:36679/?version=2&amp;prodID=0&amp;view=00000015&amp;urn=urn:telelogic::1-52394082008461e6-O-7134-00059142","BSW_SWS_AR4_0_R2_DIODriver-7134")</f>
        <v>BSW_SWS_AR4_0_R2_DIODriver-7134</v>
      </c>
    </row>
    <row r="34" spans="1:20" ht="25.5" x14ac:dyDescent="0.2">
      <c r="A34" t="s">
        <v>112</v>
      </c>
      <c r="B34" t="s">
        <v>21</v>
      </c>
      <c r="C34" t="s">
        <v>113</v>
      </c>
      <c r="D34" s="4" t="s">
        <v>114</v>
      </c>
      <c r="T34" s="3" t="str">
        <f>HYPERLINK("doors://fe-dorapcm3.de.bosch.com:36679/?version=2&amp;prodID=0&amp;view=00000015&amp;urn=urn:telelogic::1-52394082008461e6-O-7135-00059142","BSW_SWS_AR4_0_R2_DIODriver-7135")</f>
        <v>BSW_SWS_AR4_0_R2_DIODriver-7135</v>
      </c>
    </row>
    <row r="35" spans="1:20" ht="38.25" x14ac:dyDescent="0.2">
      <c r="A35" t="s">
        <v>115</v>
      </c>
      <c r="B35" t="s">
        <v>21</v>
      </c>
      <c r="C35" t="s">
        <v>116</v>
      </c>
      <c r="D35" s="4" t="s">
        <v>117</v>
      </c>
      <c r="T35" s="3" t="str">
        <f>HYPERLINK("doors://fe-dorapcm3.de.bosch.com:36679/?version=2&amp;prodID=0&amp;view=00000015&amp;urn=urn:telelogic::1-52394082008461e6-O-7136-00059142","BSW_SWS_AR4_0_R2_DIODriver-7136")</f>
        <v>BSW_SWS_AR4_0_R2_DIODriver-7136</v>
      </c>
    </row>
    <row r="36" spans="1:20" x14ac:dyDescent="0.2">
      <c r="A36" t="s">
        <v>118</v>
      </c>
      <c r="B36" t="s">
        <v>21</v>
      </c>
      <c r="C36" t="s">
        <v>119</v>
      </c>
      <c r="D36" t="s">
        <v>120</v>
      </c>
      <c r="T36" s="3" t="str">
        <f>HYPERLINK("doors://fe-dorapcm3.de.bosch.com:36679/?version=2&amp;prodID=0&amp;view=00000015&amp;urn=urn:telelogic::1-52394082008461e6-O-7138-00059142","BSW_SWS_AR4_0_R2_DIODriver-7138")</f>
        <v>BSW_SWS_AR4_0_R2_DIODriver-7138</v>
      </c>
    </row>
    <row r="37" spans="1:20" x14ac:dyDescent="0.2">
      <c r="A37" t="s">
        <v>121</v>
      </c>
      <c r="B37" t="s">
        <v>21</v>
      </c>
      <c r="C37" t="s">
        <v>122</v>
      </c>
      <c r="D37" t="s">
        <v>123</v>
      </c>
      <c r="T37" s="3" t="str">
        <f>HYPERLINK("doors://fe-dorapcm3.de.bosch.com:36679/?version=2&amp;prodID=0&amp;view=00000015&amp;urn=urn:telelogic::1-52394082008461e6-O-7139-00059142","BSW_SWS_AR4_0_R2_DIODriver-7139")</f>
        <v>BSW_SWS_AR4_0_R2_DIODriver-7139</v>
      </c>
    </row>
    <row r="38" spans="1:20" ht="25.5" x14ac:dyDescent="0.2">
      <c r="A38" t="s">
        <v>124</v>
      </c>
      <c r="B38" t="s">
        <v>21</v>
      </c>
      <c r="C38" t="s">
        <v>125</v>
      </c>
      <c r="D38" s="4" t="s">
        <v>114</v>
      </c>
      <c r="T38" s="3" t="str">
        <f>HYPERLINK("doors://fe-dorapcm3.de.bosch.com:36679/?version=2&amp;prodID=0&amp;view=00000015&amp;urn=urn:telelogic::1-52394082008461e6-O-7140-00059142","BSW_SWS_AR4_0_R2_DIODriver-7140")</f>
        <v>BSW_SWS_AR4_0_R2_DIODriver-7140</v>
      </c>
    </row>
    <row r="39" spans="1:20" ht="38.25" x14ac:dyDescent="0.2">
      <c r="A39" t="s">
        <v>126</v>
      </c>
      <c r="B39" t="s">
        <v>21</v>
      </c>
      <c r="C39" t="s">
        <v>127</v>
      </c>
      <c r="D39" s="4" t="s">
        <v>128</v>
      </c>
      <c r="T39" s="3" t="str">
        <f>HYPERLINK("doors://fe-dorapcm3.de.bosch.com:36679/?version=2&amp;prodID=0&amp;view=00000015&amp;urn=urn:telelogic::1-52394082008461e6-O-7141-00059142","BSW_SWS_AR4_0_R2_DIODriver-7141")</f>
        <v>BSW_SWS_AR4_0_R2_DIODriver-7141</v>
      </c>
    </row>
    <row r="40" spans="1:20" x14ac:dyDescent="0.2">
      <c r="A40" t="s">
        <v>129</v>
      </c>
      <c r="B40" t="s">
        <v>21</v>
      </c>
      <c r="C40" t="s">
        <v>130</v>
      </c>
      <c r="D40" t="s">
        <v>131</v>
      </c>
      <c r="T40" s="3" t="str">
        <f>HYPERLINK("doors://fe-dorapcm3.de.bosch.com:36679/?version=2&amp;prodID=0&amp;view=00000015&amp;urn=urn:telelogic::1-52394082008461e6-O-7143-00059142","BSW_SWS_AR4_0_R2_DIODriver-7143")</f>
        <v>BSW_SWS_AR4_0_R2_DIODriver-7143</v>
      </c>
    </row>
    <row r="41" spans="1:20" x14ac:dyDescent="0.2">
      <c r="A41" t="s">
        <v>132</v>
      </c>
      <c r="B41" t="s">
        <v>21</v>
      </c>
      <c r="C41" t="s">
        <v>133</v>
      </c>
      <c r="D41" t="s">
        <v>134</v>
      </c>
      <c r="T41" s="3" t="str">
        <f>HYPERLINK("doors://fe-dorapcm3.de.bosch.com:36679/?version=2&amp;prodID=0&amp;view=00000015&amp;urn=urn:telelogic::1-52394082008461e6-O-7144-00059142","BSW_SWS_AR4_0_R2_DIODriver-7144")</f>
        <v>BSW_SWS_AR4_0_R2_DIODriver-7144</v>
      </c>
    </row>
    <row r="42" spans="1:20" ht="25.5" x14ac:dyDescent="0.2">
      <c r="A42" t="s">
        <v>135</v>
      </c>
      <c r="B42" t="s">
        <v>21</v>
      </c>
      <c r="C42" t="s">
        <v>136</v>
      </c>
      <c r="D42" s="4" t="s">
        <v>114</v>
      </c>
      <c r="T42" s="3" t="str">
        <f>HYPERLINK("doors://fe-dorapcm3.de.bosch.com:36679/?version=2&amp;prodID=0&amp;view=00000015&amp;urn=urn:telelogic::1-52394082008461e6-O-7145-00059142","BSW_SWS_AR4_0_R2_DIODriver-7145")</f>
        <v>BSW_SWS_AR4_0_R2_DIODriver-7145</v>
      </c>
    </row>
    <row r="43" spans="1:20" ht="38.25" x14ac:dyDescent="0.2">
      <c r="A43" t="s">
        <v>137</v>
      </c>
      <c r="B43" t="s">
        <v>21</v>
      </c>
      <c r="C43" t="s">
        <v>138</v>
      </c>
      <c r="D43" s="4" t="s">
        <v>139</v>
      </c>
      <c r="T43" s="3" t="str">
        <f>HYPERLINK("doors://fe-dorapcm3.de.bosch.com:36679/?version=2&amp;prodID=0&amp;view=00000015&amp;urn=urn:telelogic::1-52394082008461e6-O-7146-00059142","BSW_SWS_AR4_0_R2_DIODriver-7146")</f>
        <v>BSW_SWS_AR4_0_R2_DIODriver-7146</v>
      </c>
    </row>
    <row r="44" spans="1:20" x14ac:dyDescent="0.2">
      <c r="A44" t="s">
        <v>140</v>
      </c>
      <c r="B44" t="s">
        <v>21</v>
      </c>
      <c r="C44" t="s">
        <v>141</v>
      </c>
      <c r="D44" t="s">
        <v>142</v>
      </c>
      <c r="T44" s="3" t="str">
        <f>HYPERLINK("doors://fe-dorapcm3.de.bosch.com:36679/?version=2&amp;prodID=0&amp;view=00000015&amp;urn=urn:telelogic::1-52394082008461e6-O-7148-00059142","BSW_SWS_AR4_0_R2_DIODriver-7148")</f>
        <v>BSW_SWS_AR4_0_R2_DIODriver-7148</v>
      </c>
    </row>
    <row r="45" spans="1:20" x14ac:dyDescent="0.2">
      <c r="A45" t="s">
        <v>143</v>
      </c>
      <c r="B45" t="s">
        <v>21</v>
      </c>
      <c r="C45" t="s">
        <v>144</v>
      </c>
      <c r="D45" t="s">
        <v>145</v>
      </c>
      <c r="T45" s="3" t="str">
        <f>HYPERLINK("doors://fe-dorapcm3.de.bosch.com:36679/?version=2&amp;prodID=0&amp;view=00000015&amp;urn=urn:telelogic::1-52394082008461e6-O-7149-00059142","BSW_SWS_AR4_0_R2_DIODriver-7149")</f>
        <v>BSW_SWS_AR4_0_R2_DIODriver-7149</v>
      </c>
    </row>
    <row r="46" spans="1:20" ht="25.5" x14ac:dyDescent="0.2">
      <c r="A46" t="s">
        <v>146</v>
      </c>
      <c r="B46" t="s">
        <v>21</v>
      </c>
      <c r="C46" t="s">
        <v>147</v>
      </c>
      <c r="D46" s="4" t="s">
        <v>114</v>
      </c>
      <c r="T46" s="3" t="str">
        <f>HYPERLINK("doors://fe-dorapcm3.de.bosch.com:36679/?version=2&amp;prodID=0&amp;view=00000015&amp;urn=urn:telelogic::1-52394082008461e6-O-7150-00059142","BSW_SWS_AR4_0_R2_DIODriver-7150")</f>
        <v>BSW_SWS_AR4_0_R2_DIODriver-7150</v>
      </c>
    </row>
    <row r="47" spans="1:20" ht="51" x14ac:dyDescent="0.2">
      <c r="A47" t="s">
        <v>148</v>
      </c>
      <c r="B47" t="s">
        <v>21</v>
      </c>
      <c r="C47" t="s">
        <v>149</v>
      </c>
      <c r="D47" s="4" t="s">
        <v>150</v>
      </c>
      <c r="T47" s="3" t="str">
        <f>HYPERLINK("doors://fe-dorapcm3.de.bosch.com:36679/?version=2&amp;prodID=0&amp;view=00000015&amp;urn=urn:telelogic::1-52394082008461e6-O-7151-00059142","BSW_SWS_AR4_0_R2_DIODriver-7151")</f>
        <v>BSW_SWS_AR4_0_R2_DIODriver-7151</v>
      </c>
    </row>
    <row r="48" spans="1:20" x14ac:dyDescent="0.2">
      <c r="A48" t="s">
        <v>151</v>
      </c>
      <c r="B48" t="s">
        <v>21</v>
      </c>
      <c r="C48" t="s">
        <v>152</v>
      </c>
      <c r="D48" t="s">
        <v>153</v>
      </c>
      <c r="T48" s="3" t="str">
        <f>HYPERLINK("doors://fe-dorapcm3.de.bosch.com:36679/?version=2&amp;prodID=0&amp;view=00000015&amp;urn=urn:telelogic::1-52394082008461e6-O-7153-00059142","BSW_SWS_AR4_0_R2_DIODriver-7153")</f>
        <v>BSW_SWS_AR4_0_R2_DIODriver-7153</v>
      </c>
    </row>
    <row r="49" spans="1:20" x14ac:dyDescent="0.2">
      <c r="A49" t="s">
        <v>154</v>
      </c>
      <c r="B49" t="s">
        <v>21</v>
      </c>
      <c r="C49" t="s">
        <v>155</v>
      </c>
      <c r="D49" t="s">
        <v>156</v>
      </c>
      <c r="T49" s="3" t="str">
        <f>HYPERLINK("doors://fe-dorapcm3.de.bosch.com:36679/?version=2&amp;prodID=0&amp;view=00000015&amp;urn=urn:telelogic::1-52394082008461e6-O-7154-00059142","BSW_SWS_AR4_0_R2_DIODriver-7154")</f>
        <v>BSW_SWS_AR4_0_R2_DIODriver-7154</v>
      </c>
    </row>
    <row r="50" spans="1:20" ht="25.5" x14ac:dyDescent="0.2">
      <c r="A50" t="s">
        <v>157</v>
      </c>
      <c r="B50" t="s">
        <v>21</v>
      </c>
      <c r="C50" t="s">
        <v>158</v>
      </c>
      <c r="D50" s="4" t="s">
        <v>114</v>
      </c>
      <c r="T50" s="3" t="str">
        <f>HYPERLINK("doors://fe-dorapcm3.de.bosch.com:36679/?version=2&amp;prodID=0&amp;view=00000015&amp;urn=urn:telelogic::1-52394082008461e6-O-7155-00059142","BSW_SWS_AR4_0_R2_DIODriver-7155")</f>
        <v>BSW_SWS_AR4_0_R2_DIODriver-7155</v>
      </c>
    </row>
    <row r="51" spans="1:20" ht="51" x14ac:dyDescent="0.2">
      <c r="A51" t="s">
        <v>159</v>
      </c>
      <c r="B51" t="s">
        <v>21</v>
      </c>
      <c r="C51" t="s">
        <v>160</v>
      </c>
      <c r="D51" s="4" t="s">
        <v>161</v>
      </c>
      <c r="T51" s="3" t="str">
        <f>HYPERLINK("doors://fe-dorapcm3.de.bosch.com:36679/?version=2&amp;prodID=0&amp;view=00000015&amp;urn=urn:telelogic::1-52394082008461e6-O-7156-00059142","BSW_SWS_AR4_0_R2_DIODriver-7156")</f>
        <v>BSW_SWS_AR4_0_R2_DIODriver-7156</v>
      </c>
    </row>
    <row r="52" spans="1:20" x14ac:dyDescent="0.2">
      <c r="A52" t="s">
        <v>162</v>
      </c>
      <c r="B52" t="s">
        <v>21</v>
      </c>
      <c r="C52" t="s">
        <v>163</v>
      </c>
      <c r="D52" t="s">
        <v>164</v>
      </c>
      <c r="T52" s="3" t="str">
        <f>HYPERLINK("doors://fe-dorapcm3.de.bosch.com:36679/?version=2&amp;prodID=0&amp;view=00000015&amp;urn=urn:telelogic::1-52394082008461e6-O-7158-00059142","BSW_SWS_AR4_0_R2_DIODriver-7158")</f>
        <v>BSW_SWS_AR4_0_R2_DIODriver-7158</v>
      </c>
    </row>
    <row r="53" spans="1:20" x14ac:dyDescent="0.2">
      <c r="A53" t="s">
        <v>165</v>
      </c>
      <c r="B53" t="s">
        <v>21</v>
      </c>
      <c r="C53" t="s">
        <v>166</v>
      </c>
      <c r="D53" t="s">
        <v>167</v>
      </c>
      <c r="T53" s="3" t="str">
        <f>HYPERLINK("doors://fe-dorapcm3.de.bosch.com:36679/?version=2&amp;prodID=0&amp;view=00000015&amp;urn=urn:telelogic::1-52394082008461e6-O-7159-00059142","BSW_SWS_AR4_0_R2_DIODriver-7159")</f>
        <v>BSW_SWS_AR4_0_R2_DIODriver-7159</v>
      </c>
    </row>
    <row r="54" spans="1:20" x14ac:dyDescent="0.2">
      <c r="A54" t="s">
        <v>168</v>
      </c>
      <c r="B54" t="s">
        <v>21</v>
      </c>
      <c r="C54" t="s">
        <v>169</v>
      </c>
      <c r="D54" t="s">
        <v>102</v>
      </c>
      <c r="T54" s="3" t="str">
        <f>HYPERLINK("doors://fe-dorapcm3.de.bosch.com:36679/?version=2&amp;prodID=0&amp;view=00000015&amp;urn=urn:telelogic::1-52394082008461e6-O-7160-00059142","BSW_SWS_AR4_0_R2_DIODriver-7160")</f>
        <v>BSW_SWS_AR4_0_R2_DIODriver-7160</v>
      </c>
    </row>
    <row r="55" spans="1:20" ht="89.25" x14ac:dyDescent="0.2">
      <c r="A55" t="s">
        <v>170</v>
      </c>
      <c r="B55" t="s">
        <v>21</v>
      </c>
      <c r="C55" t="s">
        <v>171</v>
      </c>
      <c r="D55" s="4" t="s">
        <v>172</v>
      </c>
      <c r="T55" s="3" t="str">
        <f>HYPERLINK("doors://fe-dorapcm3.de.bosch.com:36679/?version=2&amp;prodID=0&amp;view=00000015&amp;urn=urn:telelogic::1-52394082008461e6-O-7161-00059142","BSW_SWS_AR4_0_R2_DIODriver-7161")</f>
        <v>BSW_SWS_AR4_0_R2_DIODriver-7161</v>
      </c>
    </row>
    <row r="56" spans="1:20" x14ac:dyDescent="0.2">
      <c r="A56" t="s">
        <v>173</v>
      </c>
      <c r="B56" t="s">
        <v>21</v>
      </c>
      <c r="C56" t="s">
        <v>174</v>
      </c>
      <c r="D56" t="s">
        <v>175</v>
      </c>
      <c r="T56" s="3" t="str">
        <f>HYPERLINK("doors://fe-dorapcm3.de.bosch.com:36679/?version=2&amp;prodID=0&amp;view=00000015&amp;urn=urn:telelogic::1-52394082008461e6-O-7163-00059142","BSW_SWS_AR4_0_R2_DIODriver-7163")</f>
        <v>BSW_SWS_AR4_0_R2_DIODriver-7163</v>
      </c>
    </row>
    <row r="57" spans="1:20" x14ac:dyDescent="0.2">
      <c r="A57" t="s">
        <v>176</v>
      </c>
      <c r="B57" t="s">
        <v>21</v>
      </c>
      <c r="C57" t="s">
        <v>177</v>
      </c>
      <c r="D57" t="s">
        <v>178</v>
      </c>
      <c r="T57" s="3" t="str">
        <f>HYPERLINK("doors://fe-dorapcm3.de.bosch.com:36679/?version=2&amp;prodID=0&amp;view=00000015&amp;urn=urn:telelogic::1-52394082008461e6-O-7164-00059142","BSW_SWS_AR4_0_R2_DIODriver-7164")</f>
        <v>BSW_SWS_AR4_0_R2_DIODriver-7164</v>
      </c>
    </row>
    <row r="58" spans="1:20" x14ac:dyDescent="0.2">
      <c r="A58" t="s">
        <v>179</v>
      </c>
      <c r="B58" t="s">
        <v>21</v>
      </c>
      <c r="C58" t="s">
        <v>180</v>
      </c>
      <c r="D58" t="s">
        <v>181</v>
      </c>
      <c r="T58" s="3" t="str">
        <f>HYPERLINK("doors://fe-dorapcm3.de.bosch.com:36679/?version=2&amp;prodID=0&amp;view=00000015&amp;urn=urn:telelogic::1-52394082008461e6-O-7165-00059142","BSW_SWS_AR4_0_R2_DIODriver-7165")</f>
        <v>BSW_SWS_AR4_0_R2_DIODriver-7165</v>
      </c>
    </row>
    <row r="59" spans="1:20" x14ac:dyDescent="0.2">
      <c r="A59" t="s">
        <v>182</v>
      </c>
      <c r="B59" t="s">
        <v>21</v>
      </c>
      <c r="C59" t="s">
        <v>183</v>
      </c>
      <c r="D59" t="s">
        <v>184</v>
      </c>
      <c r="T59" s="3" t="str">
        <f>HYPERLINK("doors://fe-dorapcm3.de.bosch.com:36679/?version=2&amp;prodID=0&amp;view=00000015&amp;urn=urn:telelogic::1-52394082008461e6-O-7166-00059142","BSW_SWS_AR4_0_R2_DIODriver-7166")</f>
        <v>BSW_SWS_AR4_0_R2_DIODriver-7166</v>
      </c>
    </row>
    <row r="60" spans="1:20" x14ac:dyDescent="0.2">
      <c r="A60" t="s">
        <v>185</v>
      </c>
      <c r="B60" t="s">
        <v>21</v>
      </c>
      <c r="C60" t="s">
        <v>186</v>
      </c>
      <c r="D60" t="s">
        <v>187</v>
      </c>
      <c r="T60" s="3" t="str">
        <f>HYPERLINK("doors://fe-dorapcm3.de.bosch.com:36679/?version=2&amp;prodID=0&amp;view=00000015&amp;urn=urn:telelogic::1-52394082008461e6-O-7168-00059142","BSW_SWS_AR4_0_R2_DIODriver-7168")</f>
        <v>BSW_SWS_AR4_0_R2_DIODriver-7168</v>
      </c>
    </row>
    <row r="61" spans="1:20" x14ac:dyDescent="0.2">
      <c r="A61" t="s">
        <v>188</v>
      </c>
      <c r="B61" t="s">
        <v>21</v>
      </c>
      <c r="C61" t="s">
        <v>189</v>
      </c>
      <c r="D61" t="s">
        <v>190</v>
      </c>
      <c r="T61" s="3" t="str">
        <f>HYPERLINK("doors://fe-dorapcm3.de.bosch.com:36679/?version=2&amp;prodID=0&amp;view=00000015&amp;urn=urn:telelogic::1-52394082008461e6-O-7169-00059142","BSW_SWS_AR4_0_R2_DIODriver-7169")</f>
        <v>BSW_SWS_AR4_0_R2_DIODriver-7169</v>
      </c>
    </row>
    <row r="62" spans="1:20" x14ac:dyDescent="0.2">
      <c r="A62" t="s">
        <v>191</v>
      </c>
      <c r="B62" t="s">
        <v>21</v>
      </c>
      <c r="C62" t="s">
        <v>192</v>
      </c>
      <c r="D62" t="s">
        <v>181</v>
      </c>
      <c r="T62" s="3" t="str">
        <f>HYPERLINK("doors://fe-dorapcm3.de.bosch.com:36679/?version=2&amp;prodID=0&amp;view=00000015&amp;urn=urn:telelogic::1-52394082008461e6-O-7170-00059142","BSW_SWS_AR4_0_R2_DIODriver-7170")</f>
        <v>BSW_SWS_AR4_0_R2_DIODriver-7170</v>
      </c>
    </row>
    <row r="63" spans="1:20" x14ac:dyDescent="0.2">
      <c r="A63" t="s">
        <v>193</v>
      </c>
      <c r="B63" t="s">
        <v>21</v>
      </c>
      <c r="C63" t="s">
        <v>194</v>
      </c>
      <c r="D63" t="s">
        <v>195</v>
      </c>
      <c r="T63" s="3" t="str">
        <f>HYPERLINK("doors://fe-dorapcm3.de.bosch.com:36679/?version=2&amp;prodID=0&amp;view=00000015&amp;urn=urn:telelogic::1-52394082008461e6-O-7171-00059142","BSW_SWS_AR4_0_R2_DIODriver-7171")</f>
        <v>BSW_SWS_AR4_0_R2_DIODriver-7171</v>
      </c>
    </row>
    <row r="64" spans="1:20" x14ac:dyDescent="0.2">
      <c r="A64" t="s">
        <v>196</v>
      </c>
      <c r="B64" t="s">
        <v>21</v>
      </c>
      <c r="C64" t="s">
        <v>197</v>
      </c>
      <c r="D64" t="s">
        <v>198</v>
      </c>
      <c r="T64" s="3" t="str">
        <f>HYPERLINK("doors://fe-dorapcm3.de.bosch.com:36679/?version=2&amp;prodID=0&amp;view=00000015&amp;urn=urn:telelogic::1-52394082008461e6-O-7173-00059142","BSW_SWS_AR4_0_R2_DIODriver-7173")</f>
        <v>BSW_SWS_AR4_0_R2_DIODriver-7173</v>
      </c>
    </row>
    <row r="65" spans="1:20" x14ac:dyDescent="0.2">
      <c r="A65" t="s">
        <v>199</v>
      </c>
      <c r="B65" t="s">
        <v>21</v>
      </c>
      <c r="C65" t="s">
        <v>200</v>
      </c>
      <c r="D65" t="s">
        <v>201</v>
      </c>
      <c r="T65" s="3" t="str">
        <f>HYPERLINK("doors://fe-dorapcm3.de.bosch.com:36679/?version=2&amp;prodID=0&amp;view=00000015&amp;urn=urn:telelogic::1-52394082008461e6-O-7174-00059142","BSW_SWS_AR4_0_R2_DIODriver-7174")</f>
        <v>BSW_SWS_AR4_0_R2_DIODriver-7174</v>
      </c>
    </row>
    <row r="66" spans="1:20" x14ac:dyDescent="0.2">
      <c r="A66" t="s">
        <v>202</v>
      </c>
      <c r="B66" t="s">
        <v>21</v>
      </c>
      <c r="C66" t="s">
        <v>203</v>
      </c>
      <c r="D66" t="s">
        <v>181</v>
      </c>
      <c r="T66" s="3" t="str">
        <f>HYPERLINK("doors://fe-dorapcm3.de.bosch.com:36679/?version=2&amp;prodID=0&amp;view=00000015&amp;urn=urn:telelogic::1-52394082008461e6-O-7175-00059142","BSW_SWS_AR4_0_R2_DIODriver-7175")</f>
        <v>BSW_SWS_AR4_0_R2_DIODriver-7175</v>
      </c>
    </row>
    <row r="67" spans="1:20" x14ac:dyDescent="0.2">
      <c r="A67" t="s">
        <v>204</v>
      </c>
      <c r="B67" t="s">
        <v>21</v>
      </c>
      <c r="C67" t="s">
        <v>205</v>
      </c>
      <c r="D67" t="s">
        <v>206</v>
      </c>
      <c r="T67" s="3" t="str">
        <f>HYPERLINK("doors://fe-dorapcm3.de.bosch.com:36679/?version=2&amp;prodID=0&amp;view=00000015&amp;urn=urn:telelogic::1-52394082008461e6-O-7176-00059142","BSW_SWS_AR4_0_R2_DIODriver-7176")</f>
        <v>BSW_SWS_AR4_0_R2_DIODriver-7176</v>
      </c>
    </row>
    <row r="68" spans="1:20" x14ac:dyDescent="0.2">
      <c r="A68" t="s">
        <v>207</v>
      </c>
      <c r="B68" t="s">
        <v>21</v>
      </c>
      <c r="C68" t="s">
        <v>208</v>
      </c>
      <c r="D68" t="s">
        <v>209</v>
      </c>
      <c r="T68" s="3" t="str">
        <f>HYPERLINK("doors://fe-dorapcm3.de.bosch.com:36679/?version=2&amp;prodID=0&amp;view=00000015&amp;urn=urn:telelogic::1-52394082008461e6-O-7178-00059142","BSW_SWS_AR4_0_R2_DIODriver-7178")</f>
        <v>BSW_SWS_AR4_0_R2_DIODriver-7178</v>
      </c>
    </row>
    <row r="69" spans="1:20" x14ac:dyDescent="0.2">
      <c r="A69" t="s">
        <v>210</v>
      </c>
      <c r="B69" t="s">
        <v>21</v>
      </c>
      <c r="C69" t="s">
        <v>211</v>
      </c>
      <c r="D69" t="s">
        <v>212</v>
      </c>
      <c r="T69" s="3" t="str">
        <f>HYPERLINK("doors://fe-dorapcm3.de.bosch.com:36679/?version=2&amp;prodID=0&amp;view=00000015&amp;urn=urn:telelogic::1-52394082008461e6-O-7179-00059142","BSW_SWS_AR4_0_R2_DIODriver-7179")</f>
        <v>BSW_SWS_AR4_0_R2_DIODriver-7179</v>
      </c>
    </row>
    <row r="70" spans="1:20" x14ac:dyDescent="0.2">
      <c r="A70" t="s">
        <v>213</v>
      </c>
      <c r="B70" t="s">
        <v>21</v>
      </c>
      <c r="C70" t="s">
        <v>214</v>
      </c>
      <c r="D70" t="s">
        <v>181</v>
      </c>
      <c r="T70" s="3" t="str">
        <f>HYPERLINK("doors://fe-dorapcm3.de.bosch.com:36679/?version=2&amp;prodID=0&amp;view=00000015&amp;urn=urn:telelogic::1-52394082008461e6-O-7180-00059142","BSW_SWS_AR4_0_R2_DIODriver-7180")</f>
        <v>BSW_SWS_AR4_0_R2_DIODriver-7180</v>
      </c>
    </row>
    <row r="71" spans="1:20" ht="38.25" x14ac:dyDescent="0.2">
      <c r="A71" t="s">
        <v>215</v>
      </c>
      <c r="B71" t="s">
        <v>21</v>
      </c>
      <c r="C71" t="s">
        <v>216</v>
      </c>
      <c r="D71" s="4" t="s">
        <v>217</v>
      </c>
      <c r="T71" s="3" t="str">
        <f>HYPERLINK("doors://fe-dorapcm3.de.bosch.com:36679/?version=2&amp;prodID=0&amp;view=00000015&amp;urn=urn:telelogic::1-52394082008461e6-O-7181-00059142","BSW_SWS_AR4_0_R2_DIODriver-7181")</f>
        <v>BSW_SWS_AR4_0_R2_DIODriver-7181</v>
      </c>
    </row>
    <row r="72" spans="1:20" x14ac:dyDescent="0.2">
      <c r="A72" t="s">
        <v>218</v>
      </c>
      <c r="B72" t="s">
        <v>21</v>
      </c>
      <c r="C72" t="s">
        <v>219</v>
      </c>
      <c r="D72" t="s">
        <v>220</v>
      </c>
      <c r="T72" s="3" t="str">
        <f>HYPERLINK("doors://fe-dorapcm3.de.bosch.com:36679/?version=2&amp;prodID=0&amp;view=00000015&amp;urn=urn:telelogic::1-52394082008461e6-O-7183-00059142","BSW_SWS_AR4_0_R2_DIODriver-7183")</f>
        <v>BSW_SWS_AR4_0_R2_DIODriver-7183</v>
      </c>
    </row>
    <row r="73" spans="1:20" x14ac:dyDescent="0.2">
      <c r="A73" t="s">
        <v>221</v>
      </c>
      <c r="B73" t="s">
        <v>21</v>
      </c>
      <c r="C73" t="s">
        <v>222</v>
      </c>
      <c r="D73" t="s">
        <v>223</v>
      </c>
      <c r="T73" s="3" t="str">
        <f>HYPERLINK("doors://fe-dorapcm3.de.bosch.com:36679/?version=2&amp;prodID=0&amp;view=00000015&amp;urn=urn:telelogic::1-52394082008461e6-O-7184-00059142","BSW_SWS_AR4_0_R2_DIODriver-7184")</f>
        <v>BSW_SWS_AR4_0_R2_DIODriver-7184</v>
      </c>
    </row>
    <row r="74" spans="1:20" x14ac:dyDescent="0.2">
      <c r="A74" t="s">
        <v>224</v>
      </c>
      <c r="B74" t="s">
        <v>21</v>
      </c>
      <c r="C74" t="s">
        <v>225</v>
      </c>
      <c r="D74" t="s">
        <v>181</v>
      </c>
      <c r="T74" s="3" t="str">
        <f>HYPERLINK("doors://fe-dorapcm3.de.bosch.com:36679/?version=2&amp;prodID=0&amp;view=00000015&amp;urn=urn:telelogic::1-52394082008461e6-O-7185-00059142","BSW_SWS_AR4_0_R2_DIODriver-7185")</f>
        <v>BSW_SWS_AR4_0_R2_DIODriver-7185</v>
      </c>
    </row>
    <row r="75" spans="1:20" x14ac:dyDescent="0.2">
      <c r="A75" t="s">
        <v>226</v>
      </c>
      <c r="B75" t="s">
        <v>21</v>
      </c>
      <c r="C75" t="s">
        <v>227</v>
      </c>
      <c r="D75" t="s">
        <v>228</v>
      </c>
      <c r="T75" s="3" t="str">
        <f>HYPERLINK("doors://fe-dorapcm3.de.bosch.com:36679/?version=2&amp;prodID=0&amp;view=00000015&amp;urn=urn:telelogic::1-52394082008461e6-O-7186-00059142","BSW_SWS_AR4_0_R2_DIODriver-7186")</f>
        <v>BSW_SWS_AR4_0_R2_DIODriver-7186</v>
      </c>
    </row>
    <row r="76" spans="1:20" x14ac:dyDescent="0.2">
      <c r="A76" t="s">
        <v>229</v>
      </c>
      <c r="B76" t="s">
        <v>21</v>
      </c>
      <c r="C76" t="s">
        <v>230</v>
      </c>
      <c r="D76" t="s">
        <v>231</v>
      </c>
      <c r="T76" s="3" t="str">
        <f>HYPERLINK("doors://fe-dorapcm3.de.bosch.com:36679/?version=2&amp;prodID=0&amp;view=00000015&amp;urn=urn:telelogic::1-52394082008461e6-O-7188-00059142","BSW_SWS_AR4_0_R2_DIODriver-7188")</f>
        <v>BSW_SWS_AR4_0_R2_DIODriver-7188</v>
      </c>
    </row>
    <row r="77" spans="1:20" x14ac:dyDescent="0.2">
      <c r="A77" t="s">
        <v>232</v>
      </c>
      <c r="B77" t="s">
        <v>21</v>
      </c>
      <c r="C77" t="s">
        <v>233</v>
      </c>
      <c r="D77" t="s">
        <v>234</v>
      </c>
      <c r="T77" s="3" t="str">
        <f>HYPERLINK("doors://fe-dorapcm3.de.bosch.com:36679/?version=2&amp;prodID=0&amp;view=00000015&amp;urn=urn:telelogic::1-52394082008461e6-O-7189-00059142","BSW_SWS_AR4_0_R2_DIODriver-7189")</f>
        <v>BSW_SWS_AR4_0_R2_DIODriver-7189</v>
      </c>
    </row>
    <row r="78" spans="1:20" x14ac:dyDescent="0.2">
      <c r="A78" t="s">
        <v>235</v>
      </c>
      <c r="B78" t="s">
        <v>21</v>
      </c>
      <c r="C78" t="s">
        <v>236</v>
      </c>
      <c r="D78" t="s">
        <v>181</v>
      </c>
      <c r="T78" s="3" t="str">
        <f>HYPERLINK("doors://fe-dorapcm3.de.bosch.com:36679/?version=2&amp;prodID=0&amp;view=00000015&amp;urn=urn:telelogic::1-52394082008461e6-O-7190-00059142","BSW_SWS_AR4_0_R2_DIODriver-7190")</f>
        <v>BSW_SWS_AR4_0_R2_DIODriver-7190</v>
      </c>
    </row>
    <row r="79" spans="1:20" x14ac:dyDescent="0.2">
      <c r="A79" t="s">
        <v>237</v>
      </c>
      <c r="B79" t="s">
        <v>21</v>
      </c>
      <c r="C79" t="s">
        <v>238</v>
      </c>
      <c r="D79" t="s">
        <v>239</v>
      </c>
      <c r="T79" s="3" t="str">
        <f>HYPERLINK("doors://fe-dorapcm3.de.bosch.com:36679/?version=2&amp;prodID=0&amp;view=00000015&amp;urn=urn:telelogic::1-52394082008461e6-O-7191-00059142","BSW_SWS_AR4_0_R2_DIODriver-7191")</f>
        <v>BSW_SWS_AR4_0_R2_DIODriver-7191</v>
      </c>
    </row>
    <row r="80" spans="1:20" x14ac:dyDescent="0.2">
      <c r="A80" t="s">
        <v>240</v>
      </c>
      <c r="B80" t="s">
        <v>21</v>
      </c>
      <c r="C80" t="s">
        <v>241</v>
      </c>
      <c r="D80" t="s">
        <v>242</v>
      </c>
      <c r="T80" s="3" t="str">
        <f>HYPERLINK("doors://fe-dorapcm3.de.bosch.com:36679/?version=2&amp;prodID=0&amp;view=00000015&amp;urn=urn:telelogic::1-52394082008461e6-O-7193-00059142","BSW_SWS_AR4_0_R2_DIODriver-7193")</f>
        <v>BSW_SWS_AR4_0_R2_DIODriver-7193</v>
      </c>
    </row>
    <row r="81" spans="1:20" x14ac:dyDescent="0.2">
      <c r="A81" t="s">
        <v>243</v>
      </c>
      <c r="B81" t="s">
        <v>21</v>
      </c>
      <c r="C81" t="s">
        <v>244</v>
      </c>
      <c r="D81" t="s">
        <v>245</v>
      </c>
      <c r="T81" s="3" t="str">
        <f>HYPERLINK("doors://fe-dorapcm3.de.bosch.com:36679/?version=2&amp;prodID=0&amp;view=00000015&amp;urn=urn:telelogic::1-52394082008461e6-O-7194-00059142","BSW_SWS_AR4_0_R2_DIODriver-7194")</f>
        <v>BSW_SWS_AR4_0_R2_DIODriver-7194</v>
      </c>
    </row>
    <row r="82" spans="1:20" x14ac:dyDescent="0.2">
      <c r="A82" t="s">
        <v>246</v>
      </c>
      <c r="B82" t="s">
        <v>21</v>
      </c>
      <c r="C82" t="s">
        <v>247</v>
      </c>
      <c r="D82" t="s">
        <v>181</v>
      </c>
      <c r="T82" s="3" t="str">
        <f>HYPERLINK("doors://fe-dorapcm3.de.bosch.com:36679/?version=2&amp;prodID=0&amp;view=00000015&amp;urn=urn:telelogic::1-52394082008461e6-O-7195-00059142","BSW_SWS_AR4_0_R2_DIODriver-7195")</f>
        <v>BSW_SWS_AR4_0_R2_DIODriver-7195</v>
      </c>
    </row>
    <row r="83" spans="1:20" x14ac:dyDescent="0.2">
      <c r="A83" t="s">
        <v>248</v>
      </c>
      <c r="B83" t="s">
        <v>21</v>
      </c>
      <c r="C83" t="s">
        <v>249</v>
      </c>
      <c r="D83" t="s">
        <v>250</v>
      </c>
      <c r="T83" s="3" t="str">
        <f>HYPERLINK("doors://fe-dorapcm3.de.bosch.com:36679/?version=2&amp;prodID=0&amp;view=00000015&amp;urn=urn:telelogic::1-52394082008461e6-O-7196-00059142","BSW_SWS_AR4_0_R2_DIODriver-7196")</f>
        <v>BSW_SWS_AR4_0_R2_DIODriver-7196</v>
      </c>
    </row>
    <row r="84" spans="1:20" x14ac:dyDescent="0.2">
      <c r="A84" t="s">
        <v>251</v>
      </c>
      <c r="B84" t="s">
        <v>21</v>
      </c>
      <c r="C84" t="s">
        <v>252</v>
      </c>
      <c r="D84" t="s">
        <v>253</v>
      </c>
      <c r="T84" s="3" t="str">
        <f>HYPERLINK("doors://fe-dorapcm3.de.bosch.com:36679/?version=2&amp;prodID=0&amp;view=00000015&amp;urn=urn:telelogic::1-52394082008461e6-O-7198-00059142","BSW_SWS_AR4_0_R2_DIODriver-7198")</f>
        <v>BSW_SWS_AR4_0_R2_DIODriver-7198</v>
      </c>
    </row>
    <row r="85" spans="1:20" x14ac:dyDescent="0.2">
      <c r="A85" t="s">
        <v>254</v>
      </c>
      <c r="B85" t="s">
        <v>21</v>
      </c>
      <c r="C85" t="s">
        <v>255</v>
      </c>
      <c r="D85" t="s">
        <v>256</v>
      </c>
      <c r="T85" s="3" t="str">
        <f>HYPERLINK("doors://fe-dorapcm3.de.bosch.com:36679/?version=2&amp;prodID=0&amp;view=00000015&amp;urn=urn:telelogic::1-52394082008461e6-O-7199-00059142","BSW_SWS_AR4_0_R2_DIODriver-7199")</f>
        <v>BSW_SWS_AR4_0_R2_DIODriver-7199</v>
      </c>
    </row>
    <row r="86" spans="1:20" x14ac:dyDescent="0.2">
      <c r="A86" t="s">
        <v>257</v>
      </c>
      <c r="B86" t="s">
        <v>21</v>
      </c>
      <c r="C86" t="s">
        <v>258</v>
      </c>
      <c r="D86" t="s">
        <v>181</v>
      </c>
      <c r="T86" s="3" t="str">
        <f>HYPERLINK("doors://fe-dorapcm3.de.bosch.com:36679/?version=2&amp;prodID=0&amp;view=00000015&amp;urn=urn:telelogic::1-52394082008461e6-O-7200-00059142","BSW_SWS_AR4_0_R2_DIODriver-7200")</f>
        <v>BSW_SWS_AR4_0_R2_DIODriver-7200</v>
      </c>
    </row>
    <row r="87" spans="1:20" x14ac:dyDescent="0.2">
      <c r="A87" t="s">
        <v>259</v>
      </c>
      <c r="B87" t="s">
        <v>21</v>
      </c>
      <c r="C87" t="s">
        <v>260</v>
      </c>
      <c r="D87" t="s">
        <v>261</v>
      </c>
      <c r="T87" s="3" t="str">
        <f>HYPERLINK("doors://fe-dorapcm3.de.bosch.com:36679/?version=2&amp;prodID=0&amp;view=00000015&amp;urn=urn:telelogic::1-52394082008461e6-O-7201-00059142","BSW_SWS_AR4_0_R2_DIODriver-7201")</f>
        <v>BSW_SWS_AR4_0_R2_DIODriver-7201</v>
      </c>
    </row>
    <row r="88" spans="1:20" x14ac:dyDescent="0.2">
      <c r="A88" t="s">
        <v>262</v>
      </c>
      <c r="B88" t="s">
        <v>21</v>
      </c>
      <c r="C88" t="s">
        <v>263</v>
      </c>
      <c r="D88" t="s">
        <v>264</v>
      </c>
      <c r="T88" s="3" t="str">
        <f>HYPERLINK("doors://fe-dorapcm3.de.bosch.com:36679/?version=2&amp;prodID=0&amp;view=00000015&amp;urn=urn:telelogic::1-52394082008461e6-O-7203-00059142","BSW_SWS_AR4_0_R2_DIODriver-7203")</f>
        <v>BSW_SWS_AR4_0_R2_DIODriver-7203</v>
      </c>
    </row>
    <row r="89" spans="1:20" x14ac:dyDescent="0.2">
      <c r="A89" t="s">
        <v>265</v>
      </c>
      <c r="B89" t="s">
        <v>21</v>
      </c>
      <c r="C89" t="s">
        <v>266</v>
      </c>
      <c r="D89" t="s">
        <v>267</v>
      </c>
      <c r="T89" s="3" t="str">
        <f>HYPERLINK("doors://fe-dorapcm3.de.bosch.com:36679/?version=2&amp;prodID=0&amp;view=00000015&amp;urn=urn:telelogic::1-52394082008461e6-O-7204-00059142","BSW_SWS_AR4_0_R2_DIODriver-7204")</f>
        <v>BSW_SWS_AR4_0_R2_DIODriver-7204</v>
      </c>
    </row>
    <row r="90" spans="1:20" x14ac:dyDescent="0.2">
      <c r="A90" t="s">
        <v>268</v>
      </c>
      <c r="B90" t="s">
        <v>21</v>
      </c>
      <c r="C90" t="s">
        <v>269</v>
      </c>
      <c r="D90" t="s">
        <v>181</v>
      </c>
      <c r="T90" s="3" t="str">
        <f>HYPERLINK("doors://fe-dorapcm3.de.bosch.com:36679/?version=2&amp;prodID=0&amp;view=00000015&amp;urn=urn:telelogic::1-52394082008461e6-O-7205-00059142","BSW_SWS_AR4_0_R2_DIODriver-7205")</f>
        <v>BSW_SWS_AR4_0_R2_DIODriver-7205</v>
      </c>
    </row>
    <row r="91" spans="1:20" x14ac:dyDescent="0.2">
      <c r="A91" t="s">
        <v>270</v>
      </c>
      <c r="B91" t="s">
        <v>21</v>
      </c>
      <c r="C91" t="s">
        <v>271</v>
      </c>
      <c r="D91" t="s">
        <v>272</v>
      </c>
      <c r="T91" s="3" t="str">
        <f>HYPERLINK("doors://fe-dorapcm3.de.bosch.com:36679/?version=2&amp;prodID=0&amp;view=00000015&amp;urn=urn:telelogic::1-52394082008461e6-O-7206-00059142","BSW_SWS_AR4_0_R2_DIODriver-7206")</f>
        <v>BSW_SWS_AR4_0_R2_DIODriver-7206</v>
      </c>
    </row>
    <row r="92" spans="1:20" x14ac:dyDescent="0.2">
      <c r="A92" t="s">
        <v>273</v>
      </c>
      <c r="B92" t="s">
        <v>21</v>
      </c>
      <c r="C92" t="s">
        <v>274</v>
      </c>
      <c r="D92" t="s">
        <v>275</v>
      </c>
      <c r="T92" s="3" t="str">
        <f>HYPERLINK("doors://fe-dorapcm3.de.bosch.com:36679/?version=2&amp;prodID=0&amp;view=00000015&amp;urn=urn:telelogic::1-52394082008461e6-O-7208-00059142","BSW_SWS_AR4_0_R2_DIODriver-7208")</f>
        <v>BSW_SWS_AR4_0_R2_DIODriver-7208</v>
      </c>
    </row>
    <row r="93" spans="1:20" x14ac:dyDescent="0.2">
      <c r="A93" t="s">
        <v>276</v>
      </c>
      <c r="B93" t="s">
        <v>21</v>
      </c>
      <c r="C93" t="s">
        <v>277</v>
      </c>
      <c r="D93" t="s">
        <v>278</v>
      </c>
      <c r="T93" s="3" t="str">
        <f>HYPERLINK("doors://fe-dorapcm3.de.bosch.com:36679/?version=2&amp;prodID=0&amp;view=00000015&amp;urn=urn:telelogic::1-52394082008461e6-O-7209-00059142","BSW_SWS_AR4_0_R2_DIODriver-7209")</f>
        <v>BSW_SWS_AR4_0_R2_DIODriver-7209</v>
      </c>
    </row>
    <row r="94" spans="1:20" x14ac:dyDescent="0.2">
      <c r="A94" t="s">
        <v>279</v>
      </c>
      <c r="B94" t="s">
        <v>21</v>
      </c>
      <c r="C94" t="s">
        <v>280</v>
      </c>
      <c r="D94" t="s">
        <v>181</v>
      </c>
      <c r="T94" s="3" t="str">
        <f>HYPERLINK("doors://fe-dorapcm3.de.bosch.com:36679/?version=2&amp;prodID=0&amp;view=00000015&amp;urn=urn:telelogic::1-52394082008461e6-O-7210-00059142","BSW_SWS_AR4_0_R2_DIODriver-7210")</f>
        <v>BSW_SWS_AR4_0_R2_DIODriver-7210</v>
      </c>
    </row>
    <row r="95" spans="1:20" x14ac:dyDescent="0.2">
      <c r="A95" t="s">
        <v>281</v>
      </c>
      <c r="B95" t="s">
        <v>21</v>
      </c>
      <c r="C95" t="s">
        <v>282</v>
      </c>
      <c r="D95" t="s">
        <v>283</v>
      </c>
      <c r="T95" s="3" t="str">
        <f>HYPERLINK("doors://fe-dorapcm3.de.bosch.com:36679/?version=2&amp;prodID=0&amp;view=00000015&amp;urn=urn:telelogic::1-52394082008461e6-O-7211-00059142","BSW_SWS_AR4_0_R2_DIODriver-7211")</f>
        <v>BSW_SWS_AR4_0_R2_DIODriver-7211</v>
      </c>
    </row>
    <row r="96" spans="1:20" x14ac:dyDescent="0.2">
      <c r="A96" t="s">
        <v>284</v>
      </c>
      <c r="B96" t="s">
        <v>21</v>
      </c>
      <c r="C96" t="s">
        <v>285</v>
      </c>
      <c r="D96" t="s">
        <v>286</v>
      </c>
      <c r="T96" s="3" t="str">
        <f>HYPERLINK("doors://fe-dorapcm3.de.bosch.com:36679/?version=2&amp;prodID=0&amp;view=00000015&amp;urn=urn:telelogic::1-52394082008461e6-O-7213-00059142","BSW_SWS_AR4_0_R2_DIODriver-7213")</f>
        <v>BSW_SWS_AR4_0_R2_DIODriver-7213</v>
      </c>
    </row>
    <row r="97" spans="1:20" x14ac:dyDescent="0.2">
      <c r="A97" t="s">
        <v>287</v>
      </c>
      <c r="B97" t="s">
        <v>21</v>
      </c>
      <c r="C97" t="s">
        <v>288</v>
      </c>
      <c r="D97" t="s">
        <v>289</v>
      </c>
      <c r="T97" s="3" t="str">
        <f>HYPERLINK("doors://fe-dorapcm3.de.bosch.com:36679/?version=2&amp;prodID=0&amp;view=00000015&amp;urn=urn:telelogic::1-52394082008461e6-O-7214-00059142","BSW_SWS_AR4_0_R2_DIODriver-7214")</f>
        <v>BSW_SWS_AR4_0_R2_DIODriver-7214</v>
      </c>
    </row>
    <row r="98" spans="1:20" x14ac:dyDescent="0.2">
      <c r="A98" t="s">
        <v>290</v>
      </c>
      <c r="B98" t="s">
        <v>21</v>
      </c>
      <c r="C98" t="s">
        <v>291</v>
      </c>
      <c r="D98" t="s">
        <v>181</v>
      </c>
      <c r="T98" s="3" t="str">
        <f>HYPERLINK("doors://fe-dorapcm3.de.bosch.com:36679/?version=2&amp;prodID=0&amp;view=00000015&amp;urn=urn:telelogic::1-52394082008461e6-O-7215-00059142","BSW_SWS_AR4_0_R2_DIODriver-7215")</f>
        <v>BSW_SWS_AR4_0_R2_DIODriver-7215</v>
      </c>
    </row>
    <row r="99" spans="1:20" ht="38.25" x14ac:dyDescent="0.2">
      <c r="A99" t="s">
        <v>292</v>
      </c>
      <c r="B99" t="s">
        <v>21</v>
      </c>
      <c r="C99" t="s">
        <v>293</v>
      </c>
      <c r="D99" s="4" t="s">
        <v>294</v>
      </c>
      <c r="T99" s="3" t="str">
        <f>HYPERLINK("doors://fe-dorapcm3.de.bosch.com:36679/?version=2&amp;prodID=0&amp;view=00000015&amp;urn=urn:telelogic::1-52394082008461e6-O-7216-00059142","BSW_SWS_AR4_0_R2_DIODriver-7216")</f>
        <v>BSW_SWS_AR4_0_R2_DIODriver-7216</v>
      </c>
    </row>
    <row r="100" spans="1:20" x14ac:dyDescent="0.2">
      <c r="A100" t="s">
        <v>295</v>
      </c>
      <c r="B100" t="s">
        <v>21</v>
      </c>
      <c r="C100" t="s">
        <v>296</v>
      </c>
      <c r="D100" t="s">
        <v>297</v>
      </c>
      <c r="T100" s="3" t="str">
        <f>HYPERLINK("doors://fe-dorapcm3.de.bosch.com:36679/?version=2&amp;prodID=0&amp;view=00000015&amp;urn=urn:telelogic::1-52394082008461e6-O-7218-00059142","BSW_SWS_AR4_0_R2_DIODriver-7218")</f>
        <v>BSW_SWS_AR4_0_R2_DIODriver-7218</v>
      </c>
    </row>
    <row r="101" spans="1:20" x14ac:dyDescent="0.2">
      <c r="A101" t="s">
        <v>298</v>
      </c>
      <c r="B101" t="s">
        <v>21</v>
      </c>
      <c r="C101" t="s">
        <v>299</v>
      </c>
      <c r="D101" t="s">
        <v>300</v>
      </c>
      <c r="T101" s="3" t="str">
        <f>HYPERLINK("doors://fe-dorapcm3.de.bosch.com:36679/?version=2&amp;prodID=0&amp;view=00000015&amp;urn=urn:telelogic::1-52394082008461e6-O-7219-00059142","BSW_SWS_AR4_0_R2_DIODriver-7219")</f>
        <v>BSW_SWS_AR4_0_R2_DIODriver-7219</v>
      </c>
    </row>
    <row r="102" spans="1:20" x14ac:dyDescent="0.2">
      <c r="A102" t="s">
        <v>301</v>
      </c>
      <c r="B102" t="s">
        <v>21</v>
      </c>
      <c r="C102" t="s">
        <v>302</v>
      </c>
      <c r="D102" t="s">
        <v>303</v>
      </c>
      <c r="T102" s="3" t="str">
        <f>HYPERLINK("doors://fe-dorapcm3.de.bosch.com:36679/?version=2&amp;prodID=0&amp;view=00000015&amp;urn=urn:telelogic::1-52394082008461e6-O-7220-00059142","BSW_SWS_AR4_0_R2_DIODriver-7220")</f>
        <v>BSW_SWS_AR4_0_R2_DIODriver-7220</v>
      </c>
    </row>
    <row r="103" spans="1:20" x14ac:dyDescent="0.2">
      <c r="A103" t="s">
        <v>304</v>
      </c>
      <c r="B103" t="s">
        <v>21</v>
      </c>
      <c r="C103" t="s">
        <v>305</v>
      </c>
      <c r="D103" t="s">
        <v>306</v>
      </c>
      <c r="T103" s="3" t="str">
        <f>HYPERLINK("doors://fe-dorapcm3.de.bosch.com:36679/?version=2&amp;prodID=0&amp;view=00000015&amp;urn=urn:telelogic::1-52394082008461e6-O-7221-00059142","BSW_SWS_AR4_0_R2_DIODriver-7221")</f>
        <v>BSW_SWS_AR4_0_R2_DIODriver-7221</v>
      </c>
    </row>
    <row r="104" spans="1:20" x14ac:dyDescent="0.2">
      <c r="A104" t="s">
        <v>307</v>
      </c>
      <c r="B104" t="s">
        <v>21</v>
      </c>
      <c r="C104" t="s">
        <v>308</v>
      </c>
      <c r="D104" t="s">
        <v>309</v>
      </c>
      <c r="T104" s="3" t="str">
        <f>HYPERLINK("doors://fe-dorapcm3.de.bosch.com:36679/?version=2&amp;prodID=0&amp;view=00000015&amp;urn=urn:telelogic::1-52394082008461e6-O-7223-00059142","BSW_SWS_AR4_0_R2_DIODriver-7223")</f>
        <v>BSW_SWS_AR4_0_R2_DIODriver-7223</v>
      </c>
    </row>
    <row r="105" spans="1:20" x14ac:dyDescent="0.2">
      <c r="A105" t="s">
        <v>310</v>
      </c>
      <c r="B105" t="s">
        <v>21</v>
      </c>
      <c r="C105" t="s">
        <v>311</v>
      </c>
      <c r="D105" t="s">
        <v>300</v>
      </c>
      <c r="T105" s="3" t="str">
        <f>HYPERLINK("doors://fe-dorapcm3.de.bosch.com:36679/?version=2&amp;prodID=0&amp;view=00000015&amp;urn=urn:telelogic::1-52394082008461e6-O-7224-00059142","BSW_SWS_AR4_0_R2_DIODriver-7224")</f>
        <v>BSW_SWS_AR4_0_R2_DIODriver-7224</v>
      </c>
    </row>
    <row r="106" spans="1:20" ht="25.5" x14ac:dyDescent="0.2">
      <c r="A106" t="s">
        <v>312</v>
      </c>
      <c r="B106" t="s">
        <v>21</v>
      </c>
      <c r="C106" t="s">
        <v>313</v>
      </c>
      <c r="D106" s="4" t="s">
        <v>314</v>
      </c>
      <c r="T106" s="3" t="str">
        <f>HYPERLINK("doors://fe-dorapcm3.de.bosch.com:36679/?version=2&amp;prodID=0&amp;view=00000015&amp;urn=urn:telelogic::1-52394082008461e6-O-7225-00059142","BSW_SWS_AR4_0_R2_DIODriver-7225")</f>
        <v>BSW_SWS_AR4_0_R2_DIODriver-7225</v>
      </c>
    </row>
    <row r="107" spans="1:20" x14ac:dyDescent="0.2">
      <c r="A107" t="s">
        <v>315</v>
      </c>
      <c r="B107" t="s">
        <v>21</v>
      </c>
      <c r="C107" t="s">
        <v>316</v>
      </c>
      <c r="D107" t="s">
        <v>317</v>
      </c>
      <c r="T107" s="3" t="str">
        <f>HYPERLINK("doors://fe-dorapcm3.de.bosch.com:36679/?version=2&amp;prodID=0&amp;view=00000015&amp;urn=urn:telelogic::1-52394082008461e6-O-7226-00059142","BSW_SWS_AR4_0_R2_DIODriver-7226")</f>
        <v>BSW_SWS_AR4_0_R2_DIODriver-7226</v>
      </c>
    </row>
    <row r="108" spans="1:20" x14ac:dyDescent="0.2">
      <c r="A108" t="s">
        <v>318</v>
      </c>
      <c r="B108" t="s">
        <v>21</v>
      </c>
      <c r="C108" t="s">
        <v>319</v>
      </c>
      <c r="D108" t="s">
        <v>320</v>
      </c>
      <c r="T108" s="3" t="str">
        <f>HYPERLINK("doors://fe-dorapcm3.de.bosch.com:36679/?version=2&amp;prodID=0&amp;view=00000015&amp;urn=urn:telelogic::1-52394082008461e6-O-7228-00059142","BSW_SWS_AR4_0_R2_DIODriver-7228")</f>
        <v>BSW_SWS_AR4_0_R2_DIODriver-7228</v>
      </c>
    </row>
    <row r="109" spans="1:20" x14ac:dyDescent="0.2">
      <c r="A109" t="s">
        <v>321</v>
      </c>
      <c r="B109" t="s">
        <v>21</v>
      </c>
      <c r="C109" t="s">
        <v>322</v>
      </c>
      <c r="D109" t="s">
        <v>323</v>
      </c>
      <c r="T109" s="3" t="str">
        <f>HYPERLINK("doors://fe-dorapcm3.de.bosch.com:36679/?version=2&amp;prodID=0&amp;view=00000015&amp;urn=urn:telelogic::1-52394082008461e6-O-7229-00059142","BSW_SWS_AR4_0_R2_DIODriver-7229")</f>
        <v>BSW_SWS_AR4_0_R2_DIODriver-7229</v>
      </c>
    </row>
    <row r="110" spans="1:20" x14ac:dyDescent="0.2">
      <c r="A110" t="s">
        <v>324</v>
      </c>
      <c r="B110" t="s">
        <v>21</v>
      </c>
      <c r="C110" t="s">
        <v>325</v>
      </c>
      <c r="D110" t="s">
        <v>326</v>
      </c>
      <c r="T110" s="3" t="str">
        <f>HYPERLINK("doors://fe-dorapcm3.de.bosch.com:36679/?version=2&amp;prodID=0&amp;view=00000015&amp;urn=urn:telelogic::1-52394082008461e6-O-7230-00059142","BSW_SWS_AR4_0_R2_DIODriver-7230")</f>
        <v>BSW_SWS_AR4_0_R2_DIODriver-7230</v>
      </c>
    </row>
    <row r="111" spans="1:20" ht="25.5" x14ac:dyDescent="0.2">
      <c r="A111" t="s">
        <v>327</v>
      </c>
      <c r="B111" t="s">
        <v>21</v>
      </c>
      <c r="C111" t="s">
        <v>328</v>
      </c>
      <c r="D111" s="4" t="s">
        <v>329</v>
      </c>
      <c r="T111" s="3" t="str">
        <f>HYPERLINK("doors://fe-dorapcm3.de.bosch.com:36679/?version=2&amp;prodID=0&amp;view=00000015&amp;urn=urn:telelogic::1-52394082008461e6-O-7231-00059142","BSW_SWS_AR4_0_R2_DIODriver-7231")</f>
        <v>BSW_SWS_AR4_0_R2_DIODriver-7231</v>
      </c>
    </row>
    <row r="112" spans="1:20" x14ac:dyDescent="0.2">
      <c r="A112" t="s">
        <v>330</v>
      </c>
      <c r="B112" t="s">
        <v>21</v>
      </c>
      <c r="C112" t="s">
        <v>331</v>
      </c>
      <c r="D112" t="s">
        <v>332</v>
      </c>
      <c r="T112" s="3" t="str">
        <f>HYPERLINK("doors://fe-dorapcm3.de.bosch.com:36679/?version=2&amp;prodID=0&amp;view=00000015&amp;urn=urn:telelogic::1-52394082008461e6-O-7233-00059142","BSW_SWS_AR4_0_R2_DIODriver-7233")</f>
        <v>BSW_SWS_AR4_0_R2_DIODriver-7233</v>
      </c>
    </row>
    <row r="113" spans="1:20" x14ac:dyDescent="0.2">
      <c r="A113" t="s">
        <v>333</v>
      </c>
      <c r="B113" t="s">
        <v>21</v>
      </c>
      <c r="C113" t="s">
        <v>334</v>
      </c>
      <c r="D113" t="s">
        <v>335</v>
      </c>
      <c r="T113" s="3" t="str">
        <f>HYPERLINK("doors://fe-dorapcm3.de.bosch.com:36679/?version=2&amp;prodID=0&amp;view=00000015&amp;urn=urn:telelogic::1-52394082008461e6-O-7234-00059142","BSW_SWS_AR4_0_R2_DIODriver-7234")</f>
        <v>BSW_SWS_AR4_0_R2_DIODriver-7234</v>
      </c>
    </row>
    <row r="114" spans="1:20" x14ac:dyDescent="0.2">
      <c r="A114" t="s">
        <v>336</v>
      </c>
      <c r="B114" t="s">
        <v>21</v>
      </c>
      <c r="C114" t="s">
        <v>337</v>
      </c>
      <c r="D114" t="s">
        <v>326</v>
      </c>
      <c r="T114" s="3" t="str">
        <f>HYPERLINK("doors://fe-dorapcm3.de.bosch.com:36679/?version=2&amp;prodID=0&amp;view=00000015&amp;urn=urn:telelogic::1-52394082008461e6-O-7235-00059142","BSW_SWS_AR4_0_R2_DIODriver-7235")</f>
        <v>BSW_SWS_AR4_0_R2_DIODriver-7235</v>
      </c>
    </row>
    <row r="115" spans="1:20" x14ac:dyDescent="0.2">
      <c r="A115" t="s">
        <v>338</v>
      </c>
      <c r="B115" t="s">
        <v>21</v>
      </c>
      <c r="C115" t="s">
        <v>339</v>
      </c>
      <c r="D115" t="s">
        <v>340</v>
      </c>
      <c r="T115" s="3" t="str">
        <f>HYPERLINK("doors://fe-dorapcm3.de.bosch.com:36679/?version=2&amp;prodID=0&amp;view=00000015&amp;urn=urn:telelogic::1-52394082008461e6-O-7236-00059142","BSW_SWS_AR4_0_R2_DIODriver-7236")</f>
        <v>BSW_SWS_AR4_0_R2_DIODriver-7236</v>
      </c>
    </row>
    <row r="116" spans="1:20" x14ac:dyDescent="0.2">
      <c r="A116" t="s">
        <v>341</v>
      </c>
      <c r="B116" t="s">
        <v>21</v>
      </c>
      <c r="C116" t="s">
        <v>342</v>
      </c>
      <c r="D116" t="s">
        <v>343</v>
      </c>
      <c r="T116" s="3" t="str">
        <f>HYPERLINK("doors://fe-dorapcm3.de.bosch.com:36679/?version=2&amp;prodID=0&amp;view=00000015&amp;urn=urn:telelogic::1-52394082008461e6-O-7238-00059142","BSW_SWS_AR4_0_R2_DIODriver-7238")</f>
        <v>BSW_SWS_AR4_0_R2_DIODriver-7238</v>
      </c>
    </row>
    <row r="117" spans="1:20" x14ac:dyDescent="0.2">
      <c r="A117" t="s">
        <v>344</v>
      </c>
      <c r="B117" t="s">
        <v>21</v>
      </c>
      <c r="C117" t="s">
        <v>345</v>
      </c>
      <c r="D117" t="s">
        <v>346</v>
      </c>
      <c r="T117" s="3" t="str">
        <f>HYPERLINK("doors://fe-dorapcm3.de.bosch.com:36679/?version=2&amp;prodID=0&amp;view=00000015&amp;urn=urn:telelogic::1-52394082008461e6-O-7239-00059142","BSW_SWS_AR4_0_R2_DIODriver-7239")</f>
        <v>BSW_SWS_AR4_0_R2_DIODriver-7239</v>
      </c>
    </row>
    <row r="118" spans="1:20" x14ac:dyDescent="0.2">
      <c r="A118" t="s">
        <v>347</v>
      </c>
      <c r="B118" t="s">
        <v>21</v>
      </c>
      <c r="C118" t="s">
        <v>348</v>
      </c>
      <c r="D118" t="s">
        <v>326</v>
      </c>
      <c r="T118" s="3" t="str">
        <f>HYPERLINK("doors://fe-dorapcm3.de.bosch.com:36679/?version=2&amp;prodID=0&amp;view=00000015&amp;urn=urn:telelogic::1-52394082008461e6-O-7240-00059142","BSW_SWS_AR4_0_R2_DIODriver-7240")</f>
        <v>BSW_SWS_AR4_0_R2_DIODriver-7240</v>
      </c>
    </row>
    <row r="119" spans="1:20" ht="25.5" x14ac:dyDescent="0.2">
      <c r="A119" t="s">
        <v>349</v>
      </c>
      <c r="B119" t="s">
        <v>21</v>
      </c>
      <c r="C119" t="s">
        <v>350</v>
      </c>
      <c r="D119" s="4" t="s">
        <v>351</v>
      </c>
      <c r="T119" s="3" t="str">
        <f>HYPERLINK("doors://fe-dorapcm3.de.bosch.com:36679/?version=2&amp;prodID=0&amp;view=00000015&amp;urn=urn:telelogic::1-52394082008461e6-O-7241-00059142","BSW_SWS_AR4_0_R2_DIODriver-7241")</f>
        <v>BSW_SWS_AR4_0_R2_DIODriver-7241</v>
      </c>
    </row>
    <row r="120" spans="1:20" x14ac:dyDescent="0.2">
      <c r="A120" t="s">
        <v>352</v>
      </c>
      <c r="B120" t="s">
        <v>21</v>
      </c>
      <c r="C120" t="s">
        <v>353</v>
      </c>
      <c r="D120" t="s">
        <v>354</v>
      </c>
      <c r="T120" s="3" t="str">
        <f>HYPERLINK("doors://fe-dorapcm3.de.bosch.com:36679/?version=2&amp;prodID=0&amp;view=00000015&amp;urn=urn:telelogic::1-52394082008461e6-O-7243-00059142","BSW_SWS_AR4_0_R2_DIODriver-7243")</f>
        <v>BSW_SWS_AR4_0_R2_DIODriver-7243</v>
      </c>
    </row>
    <row r="121" spans="1:20" x14ac:dyDescent="0.2">
      <c r="A121" t="s">
        <v>355</v>
      </c>
      <c r="B121" t="s">
        <v>21</v>
      </c>
      <c r="C121" t="s">
        <v>356</v>
      </c>
      <c r="D121" t="s">
        <v>357</v>
      </c>
      <c r="T121" s="3" t="str">
        <f>HYPERLINK("doors://fe-dorapcm3.de.bosch.com:36679/?version=2&amp;prodID=0&amp;view=00000015&amp;urn=urn:telelogic::1-52394082008461e6-O-7244-00059142","BSW_SWS_AR4_0_R2_DIODriver-7244")</f>
        <v>BSW_SWS_AR4_0_R2_DIODriver-7244</v>
      </c>
    </row>
    <row r="122" spans="1:20" x14ac:dyDescent="0.2">
      <c r="A122" t="s">
        <v>358</v>
      </c>
      <c r="B122" t="s">
        <v>21</v>
      </c>
      <c r="C122" t="s">
        <v>359</v>
      </c>
      <c r="D122" t="s">
        <v>360</v>
      </c>
      <c r="T122" s="3" t="str">
        <f>HYPERLINK("doors://fe-dorapcm3.de.bosch.com:36679/?version=2&amp;prodID=0&amp;view=00000015&amp;urn=urn:telelogic::1-52394082008461e6-O-7245-00059142","BSW_SWS_AR4_0_R2_DIODriver-7245")</f>
        <v>BSW_SWS_AR4_0_R2_DIODriver-7245</v>
      </c>
    </row>
    <row r="123" spans="1:20" x14ac:dyDescent="0.2">
      <c r="A123" t="s">
        <v>361</v>
      </c>
      <c r="B123" t="s">
        <v>21</v>
      </c>
      <c r="C123" t="s">
        <v>362</v>
      </c>
      <c r="D123" t="s">
        <v>363</v>
      </c>
      <c r="T123" s="3" t="str">
        <f>HYPERLINK("doors://fe-dorapcm3.de.bosch.com:36679/?version=2&amp;prodID=0&amp;view=00000015&amp;urn=urn:telelogic::1-52394082008461e6-O-7246-00059142","BSW_SWS_AR4_0_R2_DIODriver-7246")</f>
        <v>BSW_SWS_AR4_0_R2_DIODriver-7246</v>
      </c>
    </row>
    <row r="124" spans="1:20" x14ac:dyDescent="0.2">
      <c r="A124" t="s">
        <v>364</v>
      </c>
      <c r="B124" t="s">
        <v>21</v>
      </c>
      <c r="C124" t="s">
        <v>365</v>
      </c>
      <c r="D124" t="s">
        <v>366</v>
      </c>
      <c r="T124" s="3" t="str">
        <f>HYPERLINK("doors://fe-dorapcm3.de.bosch.com:36679/?version=2&amp;prodID=0&amp;view=00000015&amp;urn=urn:telelogic::1-52394082008461e6-O-7248-00059142","BSW_SWS_AR4_0_R2_DIODriver-7248")</f>
        <v>BSW_SWS_AR4_0_R2_DIODriver-7248</v>
      </c>
    </row>
    <row r="125" spans="1:20" x14ac:dyDescent="0.2">
      <c r="A125" t="s">
        <v>367</v>
      </c>
      <c r="B125" t="s">
        <v>21</v>
      </c>
      <c r="C125" t="s">
        <v>368</v>
      </c>
      <c r="D125" t="s">
        <v>369</v>
      </c>
      <c r="T125" s="3" t="str">
        <f>HYPERLINK("doors://fe-dorapcm3.de.bosch.com:36679/?version=2&amp;prodID=0&amp;view=00000015&amp;urn=urn:telelogic::1-52394082008461e6-O-7249-00059142","BSW_SWS_AR4_0_R2_DIODriver-7249")</f>
        <v>BSW_SWS_AR4_0_R2_DIODriver-7249</v>
      </c>
    </row>
    <row r="126" spans="1:20" ht="25.5" x14ac:dyDescent="0.2">
      <c r="A126" t="s">
        <v>370</v>
      </c>
      <c r="B126" t="s">
        <v>21</v>
      </c>
      <c r="C126" t="s">
        <v>371</v>
      </c>
      <c r="D126" s="4" t="s">
        <v>314</v>
      </c>
      <c r="T126" s="3" t="str">
        <f>HYPERLINK("doors://fe-dorapcm3.de.bosch.com:36679/?version=2&amp;prodID=0&amp;view=00000015&amp;urn=urn:telelogic::1-52394082008461e6-O-7250-00059142","BSW_SWS_AR4_0_R2_DIODriver-7250")</f>
        <v>BSW_SWS_AR4_0_R2_DIODriver-7250</v>
      </c>
    </row>
    <row r="127" spans="1:20" ht="63.75" x14ac:dyDescent="0.2">
      <c r="A127" t="s">
        <v>372</v>
      </c>
      <c r="B127" t="s">
        <v>21</v>
      </c>
      <c r="C127" t="s">
        <v>373</v>
      </c>
      <c r="D127" s="4" t="s">
        <v>374</v>
      </c>
      <c r="T127" s="3" t="str">
        <f>HYPERLINK("doors://fe-dorapcm3.de.bosch.com:36679/?version=2&amp;prodID=0&amp;view=00000015&amp;urn=urn:telelogic::1-52394082008461e6-O-7251-00059142","BSW_SWS_AR4_0_R2_DIODriver-7251")</f>
        <v>BSW_SWS_AR4_0_R2_DIODriver-7251</v>
      </c>
    </row>
    <row r="128" spans="1:20" x14ac:dyDescent="0.2">
      <c r="A128" t="s">
        <v>375</v>
      </c>
      <c r="B128" t="s">
        <v>21</v>
      </c>
      <c r="C128" t="s">
        <v>376</v>
      </c>
      <c r="D128" t="s">
        <v>377</v>
      </c>
      <c r="T128" s="3" t="str">
        <f>HYPERLINK("doors://fe-dorapcm3.de.bosch.com:36679/?version=2&amp;prodID=0&amp;view=00000015&amp;urn=urn:telelogic::1-52394082008461e6-O-7253-00059142","BSW_SWS_AR4_0_R2_DIODriver-7253")</f>
        <v>BSW_SWS_AR4_0_R2_DIODriver-7253</v>
      </c>
    </row>
    <row r="129" spans="1:20" x14ac:dyDescent="0.2">
      <c r="A129" t="s">
        <v>378</v>
      </c>
      <c r="B129" t="s">
        <v>21</v>
      </c>
      <c r="C129" t="s">
        <v>379</v>
      </c>
      <c r="D129" t="s">
        <v>380</v>
      </c>
      <c r="T129" s="3" t="str">
        <f>HYPERLINK("doors://fe-dorapcm3.de.bosch.com:36679/?version=2&amp;prodID=0&amp;view=00000015&amp;urn=urn:telelogic::1-52394082008461e6-O-7254-00059142","BSW_SWS_AR4_0_R2_DIODriver-7254")</f>
        <v>BSW_SWS_AR4_0_R2_DIODriver-7254</v>
      </c>
    </row>
    <row r="130" spans="1:20" ht="25.5" x14ac:dyDescent="0.2">
      <c r="A130" t="s">
        <v>381</v>
      </c>
      <c r="B130" t="s">
        <v>21</v>
      </c>
      <c r="C130" t="s">
        <v>382</v>
      </c>
      <c r="D130" s="4" t="s">
        <v>314</v>
      </c>
      <c r="T130" s="3" t="str">
        <f>HYPERLINK("doors://fe-dorapcm3.de.bosch.com:36679/?version=2&amp;prodID=0&amp;view=00000015&amp;urn=urn:telelogic::1-52394082008461e6-O-7255-00059142","BSW_SWS_AR4_0_R2_DIODriver-7255")</f>
        <v>BSW_SWS_AR4_0_R2_DIODriver-7255</v>
      </c>
    </row>
    <row r="131" spans="1:20" ht="127.5" x14ac:dyDescent="0.2">
      <c r="A131" t="s">
        <v>383</v>
      </c>
      <c r="B131" t="s">
        <v>21</v>
      </c>
      <c r="C131" t="s">
        <v>384</v>
      </c>
      <c r="D131" s="4" t="s">
        <v>385</v>
      </c>
      <c r="T131" s="3" t="str">
        <f>HYPERLINK("doors://fe-dorapcm3.de.bosch.com:36679/?version=2&amp;prodID=0&amp;view=00000015&amp;urn=urn:telelogic::1-52394082008461e6-O-7256-00059142","BSW_SWS_AR4_0_R2_DIODriver-7256")</f>
        <v>BSW_SWS_AR4_0_R2_DIODriver-7256</v>
      </c>
    </row>
    <row r="132" spans="1:20" x14ac:dyDescent="0.2">
      <c r="A132" t="s">
        <v>386</v>
      </c>
      <c r="B132" t="s">
        <v>21</v>
      </c>
      <c r="C132" t="s">
        <v>387</v>
      </c>
      <c r="D132" t="s">
        <v>388</v>
      </c>
      <c r="T132" s="3" t="str">
        <f>HYPERLINK("doors://fe-dorapcm3.de.bosch.com:36679/?version=2&amp;prodID=0&amp;view=00000015&amp;urn=urn:telelogic::1-52394082008461e6-O-7258-00059142","BSW_SWS_AR4_0_R2_DIODriver-7258")</f>
        <v>BSW_SWS_AR4_0_R2_DIODriver-7258</v>
      </c>
    </row>
    <row r="133" spans="1:20" x14ac:dyDescent="0.2">
      <c r="A133" t="s">
        <v>389</v>
      </c>
      <c r="B133" t="s">
        <v>21</v>
      </c>
      <c r="C133" t="s">
        <v>390</v>
      </c>
      <c r="D133" t="s">
        <v>391</v>
      </c>
      <c r="T133" s="3" t="str">
        <f>HYPERLINK("doors://fe-dorapcm3.de.bosch.com:36679/?version=2&amp;prodID=0&amp;view=00000015&amp;urn=urn:telelogic::1-52394082008461e6-O-7259-00059142","BSW_SWS_AR4_0_R2_DIODriver-7259")</f>
        <v>BSW_SWS_AR4_0_R2_DIODriver-7259</v>
      </c>
    </row>
    <row r="134" spans="1:20" x14ac:dyDescent="0.2">
      <c r="A134" t="s">
        <v>392</v>
      </c>
      <c r="B134" t="s">
        <v>21</v>
      </c>
      <c r="C134" t="s">
        <v>393</v>
      </c>
      <c r="D134" t="s">
        <v>102</v>
      </c>
      <c r="T134" s="3" t="str">
        <f>HYPERLINK("doors://fe-dorapcm3.de.bosch.com:36679/?version=2&amp;prodID=0&amp;view=00000015&amp;urn=urn:telelogic::1-52394082008461e6-O-7260-00059142","BSW_SWS_AR4_0_R2_DIODriver-7260")</f>
        <v>BSW_SWS_AR4_0_R2_DIODriver-7260</v>
      </c>
    </row>
    <row r="135" spans="1:20" ht="38.25" x14ac:dyDescent="0.2">
      <c r="A135" t="s">
        <v>394</v>
      </c>
      <c r="B135" t="s">
        <v>21</v>
      </c>
      <c r="C135" t="s">
        <v>395</v>
      </c>
      <c r="D135" s="4" t="s">
        <v>396</v>
      </c>
      <c r="T135" s="3" t="str">
        <f>HYPERLINK("doors://fe-dorapcm3.de.bosch.com:36679/?version=2&amp;prodID=0&amp;view=00000015&amp;urn=urn:telelogic::1-52394082008461e6-O-7261-00059142","BSW_SWS_AR4_0_R2_DIODriver-7261")</f>
        <v>BSW_SWS_AR4_0_R2_DIODriver-7261</v>
      </c>
    </row>
    <row r="136" spans="1:20" x14ac:dyDescent="0.2">
      <c r="A136" t="s">
        <v>397</v>
      </c>
      <c r="B136" t="s">
        <v>21</v>
      </c>
      <c r="C136" t="s">
        <v>398</v>
      </c>
      <c r="D136" t="s">
        <v>399</v>
      </c>
      <c r="T136" s="3" t="str">
        <f>HYPERLINK("doors://fe-dorapcm3.de.bosch.com:36679/?version=2&amp;prodID=0&amp;view=00000015&amp;urn=urn:telelogic::1-52394082008461e6-O-7263-00059142","BSW_SWS_AR4_0_R2_DIODriver-7263")</f>
        <v>BSW_SWS_AR4_0_R2_DIODriver-7263</v>
      </c>
    </row>
    <row r="137" spans="1:20" x14ac:dyDescent="0.2">
      <c r="A137" t="s">
        <v>400</v>
      </c>
      <c r="B137" t="s">
        <v>21</v>
      </c>
      <c r="C137" t="s">
        <v>401</v>
      </c>
      <c r="D137" t="s">
        <v>402</v>
      </c>
      <c r="T137" s="3" t="str">
        <f>HYPERLINK("doors://fe-dorapcm3.de.bosch.com:36679/?version=2&amp;prodID=0&amp;view=00000015&amp;urn=urn:telelogic::1-52394082008461e6-O-7264-00059142","BSW_SWS_AR4_0_R2_DIODriver-7264")</f>
        <v>BSW_SWS_AR4_0_R2_DIODriver-7264</v>
      </c>
    </row>
    <row r="138" spans="1:20" x14ac:dyDescent="0.2">
      <c r="A138" t="s">
        <v>403</v>
      </c>
      <c r="B138" t="s">
        <v>21</v>
      </c>
      <c r="C138" t="s">
        <v>404</v>
      </c>
      <c r="D138" t="s">
        <v>102</v>
      </c>
      <c r="T138" s="3" t="str">
        <f>HYPERLINK("doors://fe-dorapcm3.de.bosch.com:36679/?version=2&amp;prodID=0&amp;view=00000015&amp;urn=urn:telelogic::1-52394082008461e6-O-7265-00059142","BSW_SWS_AR4_0_R2_DIODriver-7265")</f>
        <v>BSW_SWS_AR4_0_R2_DIODriver-7265</v>
      </c>
    </row>
    <row r="139" spans="1:20" x14ac:dyDescent="0.2">
      <c r="A139" t="s">
        <v>405</v>
      </c>
      <c r="B139" t="s">
        <v>21</v>
      </c>
      <c r="C139" t="s">
        <v>406</v>
      </c>
      <c r="D139" t="s">
        <v>407</v>
      </c>
      <c r="T139" s="3" t="str">
        <f>HYPERLINK("doors://fe-dorapcm3.de.bosch.com:36679/?version=2&amp;prodID=0&amp;view=00000015&amp;urn=urn:telelogic::1-52394082008461e6-O-7266-00059142","BSW_SWS_AR4_0_R2_DIODriver-7266")</f>
        <v>BSW_SWS_AR4_0_R2_DIODriver-7266</v>
      </c>
    </row>
    <row r="140" spans="1:20" x14ac:dyDescent="0.2">
      <c r="A140" t="s">
        <v>408</v>
      </c>
      <c r="B140" t="s">
        <v>21</v>
      </c>
      <c r="C140">
        <v>1</v>
      </c>
      <c r="D140" s="2" t="s">
        <v>409</v>
      </c>
      <c r="T140" s="3" t="str">
        <f>HYPERLINK("doors://fe-dorapcm3.de.bosch.com:36679/?version=2&amp;prodID=0&amp;view=00000015&amp;urn=urn:telelogic::1-52394082008461e6-O-7278-00059142","BSW_SWS_AR4_0_R2_DIODriver-7278")</f>
        <v>BSW_SWS_AR4_0_R2_DIODriver-7278</v>
      </c>
    </row>
    <row r="141" spans="1:20" x14ac:dyDescent="0.2">
      <c r="A141" t="s">
        <v>410</v>
      </c>
      <c r="B141" t="s">
        <v>76</v>
      </c>
      <c r="C141" t="s">
        <v>411</v>
      </c>
      <c r="D141" t="s">
        <v>412</v>
      </c>
      <c r="T141" s="3" t="str">
        <f>HYPERLINK("doors://fe-dorapcm3.de.bosch.com:36679/?version=2&amp;prodID=0&amp;view=00000015&amp;urn=urn:telelogic::1-52394082008461e6-O-7279-00059142","BSW_SWS_AR4_0_R2_DIODriver-7279")</f>
        <v>BSW_SWS_AR4_0_R2_DIODriver-7279</v>
      </c>
    </row>
    <row r="142" spans="1:20" x14ac:dyDescent="0.2">
      <c r="A142" t="s">
        <v>413</v>
      </c>
      <c r="B142" t="s">
        <v>76</v>
      </c>
      <c r="C142" t="s">
        <v>414</v>
      </c>
      <c r="D142" t="s">
        <v>415</v>
      </c>
      <c r="T142" s="3" t="str">
        <f>HYPERLINK("doors://fe-dorapcm3.de.bosch.com:36679/?version=2&amp;prodID=0&amp;view=00000015&amp;urn=urn:telelogic::1-52394082008461e6-O-7280-00059142","BSW_SWS_AR4_0_R2_DIODriver-7280")</f>
        <v>BSW_SWS_AR4_0_R2_DIODriver-7280</v>
      </c>
    </row>
    <row r="143" spans="1:20" x14ac:dyDescent="0.2">
      <c r="A143" t="s">
        <v>416</v>
      </c>
      <c r="B143" t="s">
        <v>76</v>
      </c>
      <c r="C143" t="s">
        <v>417</v>
      </c>
      <c r="D143" t="s">
        <v>418</v>
      </c>
      <c r="T143" s="3" t="str">
        <f>HYPERLINK("doors://fe-dorapcm3.de.bosch.com:36679/?version=2&amp;prodID=0&amp;view=00000015&amp;urn=urn:telelogic::1-52394082008461e6-O-7281-00059142","BSW_SWS_AR4_0_R2_DIODriver-7281")</f>
        <v>BSW_SWS_AR4_0_R2_DIODriver-7281</v>
      </c>
    </row>
    <row r="144" spans="1:20" x14ac:dyDescent="0.2">
      <c r="A144" t="s">
        <v>419</v>
      </c>
      <c r="B144" t="s">
        <v>76</v>
      </c>
      <c r="C144" t="s">
        <v>420</v>
      </c>
      <c r="D144" t="s">
        <v>421</v>
      </c>
      <c r="T144" s="3" t="str">
        <f>HYPERLINK("doors://fe-dorapcm3.de.bosch.com:36679/?version=2&amp;prodID=0&amp;view=00000015&amp;urn=urn:telelogic::1-52394082008461e6-O-7282-00059142","BSW_SWS_AR4_0_R2_DIODriver-7282")</f>
        <v>BSW_SWS_AR4_0_R2_DIODriver-7282</v>
      </c>
    </row>
    <row r="145" spans="1:20" x14ac:dyDescent="0.2">
      <c r="A145" t="s">
        <v>422</v>
      </c>
      <c r="B145" t="s">
        <v>76</v>
      </c>
      <c r="C145" t="s">
        <v>423</v>
      </c>
      <c r="D145" t="s">
        <v>424</v>
      </c>
      <c r="T145" s="3" t="str">
        <f>HYPERLINK("doors://fe-dorapcm3.de.bosch.com:36679/?version=2&amp;prodID=0&amp;view=00000015&amp;urn=urn:telelogic::1-52394082008461e6-O-7283-00059142","BSW_SWS_AR4_0_R2_DIODriver-7283")</f>
        <v>BSW_SWS_AR4_0_R2_DIODriver-7283</v>
      </c>
    </row>
    <row r="146" spans="1:20" x14ac:dyDescent="0.2">
      <c r="A146" t="s">
        <v>425</v>
      </c>
      <c r="B146" t="s">
        <v>76</v>
      </c>
      <c r="C146" t="s">
        <v>426</v>
      </c>
      <c r="D146" t="s">
        <v>427</v>
      </c>
      <c r="T146" s="3" t="str">
        <f>HYPERLINK("doors://fe-dorapcm3.de.bosch.com:36679/?version=2&amp;prodID=0&amp;view=00000015&amp;urn=urn:telelogic::1-52394082008461e6-O-7284-00059142","BSW_SWS_AR4_0_R2_DIODriver-7284")</f>
        <v>BSW_SWS_AR4_0_R2_DIODriver-7284</v>
      </c>
    </row>
    <row r="147" spans="1:20" x14ac:dyDescent="0.2">
      <c r="A147" t="s">
        <v>428</v>
      </c>
      <c r="B147" t="s">
        <v>76</v>
      </c>
      <c r="C147" t="s">
        <v>429</v>
      </c>
      <c r="D147" t="s">
        <v>430</v>
      </c>
      <c r="T147" s="3" t="str">
        <f>HYPERLINK("doors://fe-dorapcm3.de.bosch.com:36679/?version=2&amp;prodID=0&amp;view=00000015&amp;urn=urn:telelogic::1-52394082008461e6-O-7285-00059142","BSW_SWS_AR4_0_R2_DIODriver-7285")</f>
        <v>BSW_SWS_AR4_0_R2_DIODriver-7285</v>
      </c>
    </row>
    <row r="148" spans="1:20" x14ac:dyDescent="0.2">
      <c r="A148" t="s">
        <v>431</v>
      </c>
      <c r="B148" t="s">
        <v>76</v>
      </c>
      <c r="C148" t="s">
        <v>432</v>
      </c>
      <c r="D148" t="s">
        <v>433</v>
      </c>
      <c r="T148" s="3" t="str">
        <f>HYPERLINK("doors://fe-dorapcm3.de.bosch.com:36679/?version=2&amp;prodID=0&amp;view=00000015&amp;urn=urn:telelogic::1-52394082008461e6-O-7286-00059142","BSW_SWS_AR4_0_R2_DIODriver-7286")</f>
        <v>BSW_SWS_AR4_0_R2_DIODriver-7286</v>
      </c>
    </row>
    <row r="149" spans="1:20" x14ac:dyDescent="0.2">
      <c r="A149" t="s">
        <v>434</v>
      </c>
      <c r="B149" t="s">
        <v>76</v>
      </c>
      <c r="C149" t="s">
        <v>435</v>
      </c>
      <c r="D149" t="s">
        <v>436</v>
      </c>
      <c r="T149" s="3" t="str">
        <f>HYPERLINK("doors://fe-dorapcm3.de.bosch.com:36679/?version=2&amp;prodID=0&amp;view=00000015&amp;urn=urn:telelogic::1-52394082008461e6-O-7287-00059142","BSW_SWS_AR4_0_R2_DIODriver-7287")</f>
        <v>BSW_SWS_AR4_0_R2_DIODriver-7287</v>
      </c>
    </row>
    <row r="150" spans="1:20" x14ac:dyDescent="0.2">
      <c r="A150" t="s">
        <v>437</v>
      </c>
      <c r="B150" t="s">
        <v>21</v>
      </c>
      <c r="C150">
        <v>2</v>
      </c>
      <c r="D150" s="2" t="s">
        <v>438</v>
      </c>
      <c r="T150" s="3" t="str">
        <f>HYPERLINK("doors://fe-dorapcm3.de.bosch.com:36679/?version=2&amp;prodID=0&amp;view=00000015&amp;urn=urn:telelogic::1-52394082008461e6-O-7288-00059142","BSW_SWS_AR4_0_R2_DIODriver-7288")</f>
        <v>BSW_SWS_AR4_0_R2_DIODriver-7288</v>
      </c>
    </row>
    <row r="151" spans="1:20" x14ac:dyDescent="0.2">
      <c r="A151" t="s">
        <v>439</v>
      </c>
      <c r="B151" t="s">
        <v>76</v>
      </c>
      <c r="C151" t="s">
        <v>440</v>
      </c>
      <c r="D151" t="s">
        <v>441</v>
      </c>
      <c r="T151" s="3" t="str">
        <f>HYPERLINK("doors://fe-dorapcm3.de.bosch.com:36679/?version=2&amp;prodID=0&amp;view=00000015&amp;urn=urn:telelogic::1-52394082008461e6-O-7289-00059142","BSW_SWS_AR4_0_R2_DIODriver-7289")</f>
        <v>BSW_SWS_AR4_0_R2_DIODriver-7289</v>
      </c>
    </row>
    <row r="152" spans="1:20" x14ac:dyDescent="0.2">
      <c r="A152" t="s">
        <v>442</v>
      </c>
      <c r="B152" t="s">
        <v>21</v>
      </c>
      <c r="C152" t="s">
        <v>443</v>
      </c>
      <c r="D152" s="5" t="s">
        <v>444</v>
      </c>
      <c r="T152" s="3" t="str">
        <f>HYPERLINK("doors://fe-dorapcm3.de.bosch.com:36679/?version=2&amp;prodID=0&amp;view=00000015&amp;urn=urn:telelogic::1-52394082008461e6-O-7292-00059142","BSW_SWS_AR4_0_R2_DIODriver-7292")</f>
        <v>BSW_SWS_AR4_0_R2_DIODriver-7292</v>
      </c>
    </row>
    <row r="153" spans="1:20" x14ac:dyDescent="0.2">
      <c r="A153" t="s">
        <v>445</v>
      </c>
      <c r="B153" t="s">
        <v>21</v>
      </c>
      <c r="C153" t="s">
        <v>446</v>
      </c>
      <c r="D153" s="5" t="s">
        <v>447</v>
      </c>
      <c r="T153" s="3" t="str">
        <f>HYPERLINK("doors://fe-dorapcm3.de.bosch.com:36679/?version=2&amp;prodID=0&amp;view=00000015&amp;urn=urn:telelogic::1-52394082008461e6-O-7293-00059142","BSW_SWS_AR4_0_R2_DIODriver-7293")</f>
        <v>BSW_SWS_AR4_0_R2_DIODriver-7293</v>
      </c>
    </row>
    <row r="154" spans="1:20" x14ac:dyDescent="0.2">
      <c r="A154" t="s">
        <v>448</v>
      </c>
      <c r="B154" t="s">
        <v>21</v>
      </c>
      <c r="C154" t="s">
        <v>449</v>
      </c>
      <c r="D154" t="s">
        <v>450</v>
      </c>
      <c r="T154" s="3" t="str">
        <f>HYPERLINK("doors://fe-dorapcm3.de.bosch.com:36679/?version=2&amp;prodID=0&amp;view=00000015&amp;urn=urn:telelogic::1-52394082008461e6-O-7295-00059142","BSW_SWS_AR4_0_R2_DIODriver-7295")</f>
        <v>BSW_SWS_AR4_0_R2_DIODriver-7295</v>
      </c>
    </row>
    <row r="155" spans="1:20" x14ac:dyDescent="0.2">
      <c r="A155" t="s">
        <v>451</v>
      </c>
      <c r="B155" t="s">
        <v>21</v>
      </c>
      <c r="C155" t="s">
        <v>452</v>
      </c>
      <c r="D155" t="s">
        <v>453</v>
      </c>
      <c r="T155" s="3" t="str">
        <f>HYPERLINK("doors://fe-dorapcm3.de.bosch.com:36679/?version=2&amp;prodID=0&amp;view=00000015&amp;urn=urn:telelogic::1-52394082008461e6-O-7296-00059142","BSW_SWS_AR4_0_R2_DIODriver-7296")</f>
        <v>BSW_SWS_AR4_0_R2_DIODriver-7296</v>
      </c>
    </row>
    <row r="156" spans="1:20" x14ac:dyDescent="0.2">
      <c r="A156" t="s">
        <v>454</v>
      </c>
      <c r="B156" t="s">
        <v>21</v>
      </c>
      <c r="C156" t="s">
        <v>455</v>
      </c>
      <c r="D156" t="s">
        <v>456</v>
      </c>
      <c r="T156" s="3" t="str">
        <f>HYPERLINK("doors://fe-dorapcm3.de.bosch.com:36679/?version=2&amp;prodID=0&amp;view=00000015&amp;urn=urn:telelogic::1-52394082008461e6-O-7298-00059142","BSW_SWS_AR4_0_R2_DIODriver-7298")</f>
        <v>BSW_SWS_AR4_0_R2_DIODriver-7298</v>
      </c>
    </row>
    <row r="157" spans="1:20" ht="25.5" x14ac:dyDescent="0.2">
      <c r="A157" t="s">
        <v>457</v>
      </c>
      <c r="B157" t="s">
        <v>21</v>
      </c>
      <c r="C157" t="s">
        <v>458</v>
      </c>
      <c r="D157" s="4" t="s">
        <v>459</v>
      </c>
      <c r="T157" s="3" t="str">
        <f>HYPERLINK("doors://fe-dorapcm3.de.bosch.com:36679/?version=2&amp;prodID=0&amp;view=00000015&amp;urn=urn:telelogic::1-52394082008461e6-O-7299-00059142","BSW_SWS_AR4_0_R2_DIODriver-7299")</f>
        <v>BSW_SWS_AR4_0_R2_DIODriver-7299</v>
      </c>
    </row>
    <row r="158" spans="1:20" x14ac:dyDescent="0.2">
      <c r="A158" t="s">
        <v>460</v>
      </c>
      <c r="B158" t="s">
        <v>21</v>
      </c>
      <c r="C158" t="s">
        <v>461</v>
      </c>
      <c r="D158" t="s">
        <v>462</v>
      </c>
      <c r="T158" s="3" t="str">
        <f>HYPERLINK("doors://fe-dorapcm3.de.bosch.com:36679/?version=2&amp;prodID=0&amp;view=00000015&amp;urn=urn:telelogic::1-52394082008461e6-O-7301-00059142","BSW_SWS_AR4_0_R2_DIODriver-7301")</f>
        <v>BSW_SWS_AR4_0_R2_DIODriver-7301</v>
      </c>
    </row>
    <row r="159" spans="1:20" ht="25.5" x14ac:dyDescent="0.2">
      <c r="A159" t="s">
        <v>463</v>
      </c>
      <c r="B159" t="s">
        <v>21</v>
      </c>
      <c r="C159" t="s">
        <v>464</v>
      </c>
      <c r="D159" s="4" t="s">
        <v>465</v>
      </c>
      <c r="T159" s="3" t="str">
        <f>HYPERLINK("doors://fe-dorapcm3.de.bosch.com:36679/?version=2&amp;prodID=0&amp;view=00000015&amp;urn=urn:telelogic::1-52394082008461e6-O-7302-00059142","BSW_SWS_AR4_0_R2_DIODriver-7302")</f>
        <v>BSW_SWS_AR4_0_R2_DIODriver-7302</v>
      </c>
    </row>
    <row r="160" spans="1:20" x14ac:dyDescent="0.2">
      <c r="A160" t="s">
        <v>466</v>
      </c>
      <c r="B160" t="s">
        <v>21</v>
      </c>
      <c r="C160" t="s">
        <v>467</v>
      </c>
      <c r="D160" t="s">
        <v>468</v>
      </c>
      <c r="T160" s="3" t="str">
        <f>HYPERLINK("doors://fe-dorapcm3.de.bosch.com:36679/?version=2&amp;prodID=0&amp;view=00000015&amp;urn=urn:telelogic::1-52394082008461e6-O-7304-00059142","BSW_SWS_AR4_0_R2_DIODriver-7304")</f>
        <v>BSW_SWS_AR4_0_R2_DIODriver-7304</v>
      </c>
    </row>
    <row r="161" spans="1:20" x14ac:dyDescent="0.2">
      <c r="A161" t="s">
        <v>469</v>
      </c>
      <c r="B161" t="s">
        <v>21</v>
      </c>
      <c r="C161" t="s">
        <v>470</v>
      </c>
      <c r="D161" t="s">
        <v>471</v>
      </c>
      <c r="T161" s="3" t="str">
        <f>HYPERLINK("doors://fe-dorapcm3.de.bosch.com:36679/?version=2&amp;prodID=0&amp;view=00000015&amp;urn=urn:telelogic::1-52394082008461e6-O-7305-00059142","BSW_SWS_AR4_0_R2_DIODriver-7305")</f>
        <v>BSW_SWS_AR4_0_R2_DIODriver-7305</v>
      </c>
    </row>
    <row r="162" spans="1:20" x14ac:dyDescent="0.2">
      <c r="A162" t="s">
        <v>472</v>
      </c>
      <c r="B162" t="s">
        <v>21</v>
      </c>
      <c r="C162" t="s">
        <v>473</v>
      </c>
      <c r="D162" t="s">
        <v>474</v>
      </c>
      <c r="T162" s="3" t="str">
        <f>HYPERLINK("doors://fe-dorapcm3.de.bosch.com:36679/?version=2&amp;prodID=0&amp;view=00000015&amp;urn=urn:telelogic::1-52394082008461e6-O-7307-00059142","BSW_SWS_AR4_0_R2_DIODriver-7307")</f>
        <v>BSW_SWS_AR4_0_R2_DIODriver-7307</v>
      </c>
    </row>
    <row r="163" spans="1:20" x14ac:dyDescent="0.2">
      <c r="A163" t="s">
        <v>475</v>
      </c>
      <c r="B163" t="s">
        <v>21</v>
      </c>
      <c r="C163" t="s">
        <v>476</v>
      </c>
      <c r="D163" t="s">
        <v>471</v>
      </c>
      <c r="T163" s="3" t="str">
        <f>HYPERLINK("doors://fe-dorapcm3.de.bosch.com:36679/?version=2&amp;prodID=0&amp;view=00000015&amp;urn=urn:telelogic::1-52394082008461e6-O-7308-00059142","BSW_SWS_AR4_0_R2_DIODriver-7308")</f>
        <v>BSW_SWS_AR4_0_R2_DIODriver-7308</v>
      </c>
    </row>
    <row r="164" spans="1:20" x14ac:dyDescent="0.2">
      <c r="A164" t="s">
        <v>477</v>
      </c>
      <c r="B164" t="s">
        <v>21</v>
      </c>
      <c r="C164" t="s">
        <v>478</v>
      </c>
      <c r="D164" t="s">
        <v>479</v>
      </c>
      <c r="T164" s="3" t="str">
        <f>HYPERLINK("doors://fe-dorapcm3.de.bosch.com:36679/?version=2&amp;prodID=0&amp;view=00000015&amp;urn=urn:telelogic::1-52394082008461e6-O-7310-00059142","BSW_SWS_AR4_0_R2_DIODriver-7310")</f>
        <v>BSW_SWS_AR4_0_R2_DIODriver-7310</v>
      </c>
    </row>
    <row r="165" spans="1:20" x14ac:dyDescent="0.2">
      <c r="A165" t="s">
        <v>480</v>
      </c>
      <c r="B165" t="s">
        <v>21</v>
      </c>
      <c r="C165" t="s">
        <v>481</v>
      </c>
      <c r="D165" t="s">
        <v>482</v>
      </c>
      <c r="T165" s="3" t="str">
        <f>HYPERLINK("doors://fe-dorapcm3.de.bosch.com:36679/?version=2&amp;prodID=0&amp;view=00000015&amp;urn=urn:telelogic::1-52394082008461e6-O-7311-00059142","BSW_SWS_AR4_0_R2_DIODriver-7311")</f>
        <v>BSW_SWS_AR4_0_R2_DIODriver-7311</v>
      </c>
    </row>
    <row r="166" spans="1:20" x14ac:dyDescent="0.2">
      <c r="A166" t="s">
        <v>483</v>
      </c>
      <c r="B166" t="s">
        <v>21</v>
      </c>
      <c r="C166" t="s">
        <v>484</v>
      </c>
      <c r="D166" t="s">
        <v>485</v>
      </c>
      <c r="T166" s="3" t="str">
        <f>HYPERLINK("doors://fe-dorapcm3.de.bosch.com:36679/?version=2&amp;prodID=0&amp;view=00000015&amp;urn=urn:telelogic::1-52394082008461e6-O-7313-00059142","BSW_SWS_AR4_0_R2_DIODriver-7313")</f>
        <v>BSW_SWS_AR4_0_R2_DIODriver-7313</v>
      </c>
    </row>
    <row r="167" spans="1:20" x14ac:dyDescent="0.2">
      <c r="A167" t="s">
        <v>486</v>
      </c>
      <c r="B167" t="s">
        <v>21</v>
      </c>
      <c r="C167" t="s">
        <v>487</v>
      </c>
      <c r="D167" t="s">
        <v>488</v>
      </c>
      <c r="T167" s="3" t="str">
        <f>HYPERLINK("doors://fe-dorapcm3.de.bosch.com:36679/?version=2&amp;prodID=0&amp;view=00000015&amp;urn=urn:telelogic::1-52394082008461e6-O-7314-00059142","BSW_SWS_AR4_0_R2_DIODriver-7314")</f>
        <v>BSW_SWS_AR4_0_R2_DIODriver-7314</v>
      </c>
    </row>
    <row r="168" spans="1:20" x14ac:dyDescent="0.2">
      <c r="A168" t="s">
        <v>489</v>
      </c>
      <c r="B168" t="s">
        <v>21</v>
      </c>
      <c r="C168" t="s">
        <v>490</v>
      </c>
      <c r="D168" t="s">
        <v>491</v>
      </c>
      <c r="T168" s="3" t="str">
        <f>HYPERLINK("doors://fe-dorapcm3.de.bosch.com:36679/?version=2&amp;prodID=0&amp;view=00000015&amp;urn=urn:telelogic::1-52394082008461e6-O-7316-00059142","BSW_SWS_AR4_0_R2_DIODriver-7316")</f>
        <v>BSW_SWS_AR4_0_R2_DIODriver-7316</v>
      </c>
    </row>
    <row r="169" spans="1:20" x14ac:dyDescent="0.2">
      <c r="A169" t="s">
        <v>492</v>
      </c>
      <c r="B169" t="s">
        <v>21</v>
      </c>
      <c r="C169" t="s">
        <v>493</v>
      </c>
      <c r="D169" t="s">
        <v>494</v>
      </c>
      <c r="T169" s="3" t="str">
        <f>HYPERLINK("doors://fe-dorapcm3.de.bosch.com:36679/?version=2&amp;prodID=0&amp;view=00000015&amp;urn=urn:telelogic::1-52394082008461e6-O-7317-00059142","BSW_SWS_AR4_0_R2_DIODriver-7317")</f>
        <v>BSW_SWS_AR4_0_R2_DIODriver-7317</v>
      </c>
    </row>
    <row r="170" spans="1:20" x14ac:dyDescent="0.2">
      <c r="A170" t="s">
        <v>495</v>
      </c>
      <c r="B170" t="s">
        <v>21</v>
      </c>
      <c r="C170" t="s">
        <v>496</v>
      </c>
      <c r="D170" t="s">
        <v>0</v>
      </c>
      <c r="T170" s="3" t="str">
        <f>HYPERLINK("doors://fe-dorapcm3.de.bosch.com:36679/?version=2&amp;prodID=0&amp;view=00000015&amp;urn=urn:telelogic::1-52394082008461e6-O-7319-00059142","BSW_SWS_AR4_0_R2_DIODriver-7319")</f>
        <v>BSW_SWS_AR4_0_R2_DIODriver-7319</v>
      </c>
    </row>
    <row r="171" spans="1:20" x14ac:dyDescent="0.2">
      <c r="A171" t="s">
        <v>497</v>
      </c>
      <c r="B171" t="s">
        <v>21</v>
      </c>
      <c r="C171" t="s">
        <v>498</v>
      </c>
      <c r="D171" t="s">
        <v>499</v>
      </c>
      <c r="T171" s="3" t="str">
        <f>HYPERLINK("doors://fe-dorapcm3.de.bosch.com:36679/?version=2&amp;prodID=0&amp;view=00000015&amp;urn=urn:telelogic::1-52394082008461e6-O-7320-00059142","BSW_SWS_AR4_0_R2_DIODriver-7320")</f>
        <v>BSW_SWS_AR4_0_R2_DIODriver-7320</v>
      </c>
    </row>
    <row r="172" spans="1:20" x14ac:dyDescent="0.2">
      <c r="A172" t="s">
        <v>500</v>
      </c>
      <c r="B172" t="s">
        <v>21</v>
      </c>
      <c r="C172" t="s">
        <v>501</v>
      </c>
      <c r="D172" t="s">
        <v>502</v>
      </c>
      <c r="T172" s="3" t="str">
        <f>HYPERLINK("doors://fe-dorapcm3.de.bosch.com:36679/?version=2&amp;prodID=0&amp;view=00000015&amp;urn=urn:telelogic::1-52394082008461e6-O-7322-00059142","BSW_SWS_AR4_0_R2_DIODriver-7322")</f>
        <v>BSW_SWS_AR4_0_R2_DIODriver-7322</v>
      </c>
    </row>
    <row r="173" spans="1:20" x14ac:dyDescent="0.2">
      <c r="A173" t="s">
        <v>503</v>
      </c>
      <c r="B173" t="s">
        <v>21</v>
      </c>
      <c r="C173" t="s">
        <v>504</v>
      </c>
      <c r="D173" t="s">
        <v>505</v>
      </c>
      <c r="T173" s="3" t="str">
        <f>HYPERLINK("doors://fe-dorapcm3.de.bosch.com:36679/?version=2&amp;prodID=0&amp;view=00000015&amp;urn=urn:telelogic::1-52394082008461e6-O-7323-00059142","BSW_SWS_AR4_0_R2_DIODriver-7323")</f>
        <v>BSW_SWS_AR4_0_R2_DIODriver-7323</v>
      </c>
    </row>
    <row r="174" spans="1:20" x14ac:dyDescent="0.2">
      <c r="A174" t="s">
        <v>506</v>
      </c>
      <c r="B174" t="s">
        <v>21</v>
      </c>
      <c r="C174" t="s">
        <v>507</v>
      </c>
      <c r="D174" t="s">
        <v>508</v>
      </c>
      <c r="T174" s="3" t="str">
        <f>HYPERLINK("doors://fe-dorapcm3.de.bosch.com:36679/?version=2&amp;prodID=0&amp;view=00000015&amp;urn=urn:telelogic::1-52394082008461e6-O-7325-00059142","BSW_SWS_AR4_0_R2_DIODriver-7325")</f>
        <v>BSW_SWS_AR4_0_R2_DIODriver-7325</v>
      </c>
    </row>
    <row r="175" spans="1:20" x14ac:dyDescent="0.2">
      <c r="A175" t="s">
        <v>509</v>
      </c>
      <c r="B175" t="s">
        <v>21</v>
      </c>
      <c r="C175" t="s">
        <v>510</v>
      </c>
      <c r="D175" t="s">
        <v>511</v>
      </c>
      <c r="T175" s="3" t="str">
        <f>HYPERLINK("doors://fe-dorapcm3.de.bosch.com:36679/?version=2&amp;prodID=0&amp;view=00000015&amp;urn=urn:telelogic::1-52394082008461e6-O-7326-00059142","BSW_SWS_AR4_0_R2_DIODriver-7326")</f>
        <v>BSW_SWS_AR4_0_R2_DIODriver-7326</v>
      </c>
    </row>
    <row r="176" spans="1:20" x14ac:dyDescent="0.2">
      <c r="A176" t="s">
        <v>512</v>
      </c>
      <c r="B176" t="s">
        <v>21</v>
      </c>
      <c r="C176" t="s">
        <v>513</v>
      </c>
      <c r="D176" t="s">
        <v>514</v>
      </c>
      <c r="T176" s="3" t="str">
        <f>HYPERLINK("doors://fe-dorapcm3.de.bosch.com:36679/?version=2&amp;prodID=0&amp;view=00000015&amp;urn=urn:telelogic::1-52394082008461e6-O-7328-00059142","BSW_SWS_AR4_0_R2_DIODriver-7328")</f>
        <v>BSW_SWS_AR4_0_R2_DIODriver-7328</v>
      </c>
    </row>
    <row r="177" spans="1:20" x14ac:dyDescent="0.2">
      <c r="A177" t="s">
        <v>515</v>
      </c>
      <c r="B177" t="s">
        <v>21</v>
      </c>
      <c r="C177" t="s">
        <v>516</v>
      </c>
      <c r="D177" t="s">
        <v>517</v>
      </c>
      <c r="T177" s="3" t="str">
        <f>HYPERLINK("doors://fe-dorapcm3.de.bosch.com:36679/?version=2&amp;prodID=0&amp;view=00000015&amp;urn=urn:telelogic::1-52394082008461e6-O-7329-00059142","BSW_SWS_AR4_0_R2_DIODriver-7329")</f>
        <v>BSW_SWS_AR4_0_R2_DIODriver-7329</v>
      </c>
    </row>
    <row r="178" spans="1:20" x14ac:dyDescent="0.2">
      <c r="A178" t="s">
        <v>518</v>
      </c>
      <c r="B178" t="s">
        <v>21</v>
      </c>
      <c r="C178" t="s">
        <v>519</v>
      </c>
      <c r="D178" t="s">
        <v>520</v>
      </c>
      <c r="T178" s="3" t="str">
        <f>HYPERLINK("doors://fe-dorapcm3.de.bosch.com:36679/?version=2&amp;prodID=0&amp;view=00000015&amp;urn=urn:telelogic::1-52394082008461e6-O-7331-00059142","BSW_SWS_AR4_0_R2_DIODriver-7331")</f>
        <v>BSW_SWS_AR4_0_R2_DIODriver-7331</v>
      </c>
    </row>
    <row r="179" spans="1:20" x14ac:dyDescent="0.2">
      <c r="A179" t="s">
        <v>521</v>
      </c>
      <c r="B179" t="s">
        <v>21</v>
      </c>
      <c r="C179" t="s">
        <v>522</v>
      </c>
      <c r="D179" t="s">
        <v>523</v>
      </c>
      <c r="T179" s="3" t="str">
        <f>HYPERLINK("doors://fe-dorapcm3.de.bosch.com:36679/?version=2&amp;prodID=0&amp;view=00000015&amp;urn=urn:telelogic::1-52394082008461e6-O-7332-00059142","BSW_SWS_AR4_0_R2_DIODriver-7332")</f>
        <v>BSW_SWS_AR4_0_R2_DIODriver-7332</v>
      </c>
    </row>
    <row r="180" spans="1:20" x14ac:dyDescent="0.2">
      <c r="A180" t="s">
        <v>524</v>
      </c>
      <c r="B180" t="s">
        <v>21</v>
      </c>
      <c r="C180" t="s">
        <v>525</v>
      </c>
      <c r="D180" t="s">
        <v>526</v>
      </c>
      <c r="T180" s="3" t="str">
        <f>HYPERLINK("doors://fe-dorapcm3.de.bosch.com:36679/?version=2&amp;prodID=0&amp;view=00000015&amp;urn=urn:telelogic::1-52394082008461e6-O-7334-00059142","BSW_SWS_AR4_0_R2_DIODriver-7334")</f>
        <v>BSW_SWS_AR4_0_R2_DIODriver-7334</v>
      </c>
    </row>
    <row r="181" spans="1:20" x14ac:dyDescent="0.2">
      <c r="A181" t="s">
        <v>527</v>
      </c>
      <c r="B181" t="s">
        <v>21</v>
      </c>
      <c r="C181" t="s">
        <v>528</v>
      </c>
      <c r="D181" t="s">
        <v>529</v>
      </c>
      <c r="T181" s="3" t="str">
        <f>HYPERLINK("doors://fe-dorapcm3.de.bosch.com:36679/?version=2&amp;prodID=0&amp;view=00000015&amp;urn=urn:telelogic::1-52394082008461e6-O-7335-00059142","BSW_SWS_AR4_0_R2_DIODriver-7335")</f>
        <v>BSW_SWS_AR4_0_R2_DIODriver-7335</v>
      </c>
    </row>
    <row r="182" spans="1:20" x14ac:dyDescent="0.2">
      <c r="A182" t="s">
        <v>530</v>
      </c>
      <c r="B182" t="s">
        <v>21</v>
      </c>
      <c r="C182" t="s">
        <v>531</v>
      </c>
      <c r="D182" t="s">
        <v>532</v>
      </c>
      <c r="T182" s="3" t="str">
        <f>HYPERLINK("doors://fe-dorapcm3.de.bosch.com:36679/?version=2&amp;prodID=0&amp;view=00000015&amp;urn=urn:telelogic::1-52394082008461e6-O-7337-00059142","BSW_SWS_AR4_0_R2_DIODriver-7337")</f>
        <v>BSW_SWS_AR4_0_R2_DIODriver-7337</v>
      </c>
    </row>
    <row r="183" spans="1:20" x14ac:dyDescent="0.2">
      <c r="A183" t="s">
        <v>533</v>
      </c>
      <c r="B183" t="s">
        <v>21</v>
      </c>
      <c r="C183" t="s">
        <v>534</v>
      </c>
      <c r="D183" t="s">
        <v>535</v>
      </c>
      <c r="T183" s="3" t="str">
        <f>HYPERLINK("doors://fe-dorapcm3.de.bosch.com:36679/?version=2&amp;prodID=0&amp;view=00000015&amp;urn=urn:telelogic::1-52394082008461e6-O-7338-00059142","BSW_SWS_AR4_0_R2_DIODriver-7338")</f>
        <v>BSW_SWS_AR4_0_R2_DIODriver-7338</v>
      </c>
    </row>
    <row r="184" spans="1:20" x14ac:dyDescent="0.2">
      <c r="A184" t="s">
        <v>536</v>
      </c>
      <c r="B184" t="s">
        <v>21</v>
      </c>
      <c r="C184">
        <v>3</v>
      </c>
      <c r="D184" s="2" t="s">
        <v>537</v>
      </c>
      <c r="T184" s="3" t="str">
        <f>HYPERLINK("doors://fe-dorapcm3.de.bosch.com:36679/?version=2&amp;prodID=0&amp;view=00000015&amp;urn=urn:telelogic::1-52394082008461e6-O-7339-00059142","BSW_SWS_AR4_0_R2_DIODriver-7339")</f>
        <v>BSW_SWS_AR4_0_R2_DIODriver-7339</v>
      </c>
    </row>
    <row r="185" spans="1:20" x14ac:dyDescent="0.2">
      <c r="A185" t="s">
        <v>538</v>
      </c>
      <c r="B185" t="s">
        <v>21</v>
      </c>
      <c r="C185">
        <v>3.1</v>
      </c>
      <c r="D185" s="2" t="s">
        <v>539</v>
      </c>
      <c r="T185" s="3" t="str">
        <f>HYPERLINK("doors://fe-dorapcm3.de.bosch.com:36679/?version=2&amp;prodID=0&amp;view=00000015&amp;urn=urn:telelogic::1-52394082008461e6-O-7340-00059142","BSW_SWS_AR4_0_R2_DIODriver-7340")</f>
        <v>BSW_SWS_AR4_0_R2_DIODriver-7340</v>
      </c>
    </row>
    <row r="186" spans="1:20" ht="25.5" x14ac:dyDescent="0.2">
      <c r="A186" t="s">
        <v>540</v>
      </c>
      <c r="B186" t="s">
        <v>76</v>
      </c>
      <c r="C186" t="s">
        <v>541</v>
      </c>
      <c r="D186" s="4" t="s">
        <v>542</v>
      </c>
      <c r="T186" s="3" t="str">
        <f>HYPERLINK("doors://fe-dorapcm3.de.bosch.com:36679/?version=2&amp;prodID=0&amp;view=00000015&amp;urn=urn:telelogic::1-52394082008461e6-O-7341-00059142","BSW_SWS_AR4_0_R2_DIODriver-7341")</f>
        <v>BSW_SWS_AR4_0_R2_DIODriver-7341</v>
      </c>
    </row>
    <row r="187" spans="1:20" ht="25.5" x14ac:dyDescent="0.2">
      <c r="A187" t="s">
        <v>543</v>
      </c>
      <c r="B187" t="s">
        <v>76</v>
      </c>
      <c r="C187" t="s">
        <v>544</v>
      </c>
      <c r="D187" s="4" t="s">
        <v>545</v>
      </c>
      <c r="T187" s="3" t="str">
        <f>HYPERLINK("doors://fe-dorapcm3.de.bosch.com:36679/?version=2&amp;prodID=0&amp;view=00000015&amp;urn=urn:telelogic::1-52394082008461e6-O-7342-00059142","BSW_SWS_AR4_0_R2_DIODriver-7342")</f>
        <v>BSW_SWS_AR4_0_R2_DIODriver-7342</v>
      </c>
    </row>
    <row r="188" spans="1:20" x14ac:dyDescent="0.2">
      <c r="A188" t="s">
        <v>546</v>
      </c>
      <c r="B188" t="s">
        <v>76</v>
      </c>
      <c r="C188" t="s">
        <v>547</v>
      </c>
      <c r="D188" t="s">
        <v>548</v>
      </c>
      <c r="T188" s="3" t="str">
        <f>HYPERLINK("doors://fe-dorapcm3.de.bosch.com:36679/?version=2&amp;prodID=0&amp;view=00000015&amp;urn=urn:telelogic::1-52394082008461e6-O-7343-00059142","BSW_SWS_AR4_0_R2_DIODriver-7343")</f>
        <v>BSW_SWS_AR4_0_R2_DIODriver-7343</v>
      </c>
    </row>
    <row r="189" spans="1:20" x14ac:dyDescent="0.2">
      <c r="A189" t="s">
        <v>549</v>
      </c>
      <c r="B189" t="s">
        <v>76</v>
      </c>
      <c r="C189" t="s">
        <v>550</v>
      </c>
      <c r="D189" t="s">
        <v>551</v>
      </c>
      <c r="T189" s="3" t="str">
        <f>HYPERLINK("doors://fe-dorapcm3.de.bosch.com:36679/?version=2&amp;prodID=0&amp;view=00000015&amp;urn=urn:telelogic::1-52394082008461e6-O-7344-00059142","BSW_SWS_AR4_0_R2_DIODriver-7344")</f>
        <v>BSW_SWS_AR4_0_R2_DIODriver-7344</v>
      </c>
    </row>
    <row r="190" spans="1:20" x14ac:dyDescent="0.2">
      <c r="A190" t="s">
        <v>552</v>
      </c>
      <c r="B190" t="s">
        <v>76</v>
      </c>
      <c r="C190" t="s">
        <v>553</v>
      </c>
      <c r="D190" t="s">
        <v>554</v>
      </c>
      <c r="T190" s="3" t="str">
        <f>HYPERLINK("doors://fe-dorapcm3.de.bosch.com:36679/?version=2&amp;prodID=0&amp;view=00000015&amp;urn=urn:telelogic::1-52394082008461e6-O-7345-00059142","BSW_SWS_AR4_0_R2_DIODriver-7345")</f>
        <v>BSW_SWS_AR4_0_R2_DIODriver-7345</v>
      </c>
    </row>
    <row r="191" spans="1:20" x14ac:dyDescent="0.2">
      <c r="A191" t="s">
        <v>555</v>
      </c>
      <c r="B191" t="s">
        <v>76</v>
      </c>
      <c r="C191" t="s">
        <v>556</v>
      </c>
      <c r="D191" t="s">
        <v>557</v>
      </c>
      <c r="T191" s="3" t="str">
        <f>HYPERLINK("doors://fe-dorapcm3.de.bosch.com:36679/?version=2&amp;prodID=0&amp;view=00000015&amp;urn=urn:telelogic::1-52394082008461e6-O-7346-00059142","BSW_SWS_AR4_0_R2_DIODriver-7346")</f>
        <v>BSW_SWS_AR4_0_R2_DIODriver-7346</v>
      </c>
    </row>
    <row r="192" spans="1:20" x14ac:dyDescent="0.2">
      <c r="A192" t="s">
        <v>558</v>
      </c>
      <c r="B192" t="s">
        <v>76</v>
      </c>
      <c r="C192" t="s">
        <v>559</v>
      </c>
      <c r="D192" t="s">
        <v>560</v>
      </c>
      <c r="T192" s="3" t="str">
        <f>HYPERLINK("doors://fe-dorapcm3.de.bosch.com:36679/?version=2&amp;prodID=0&amp;view=00000015&amp;urn=urn:telelogic::1-52394082008461e6-O-7347-00059142","BSW_SWS_AR4_0_R2_DIODriver-7347")</f>
        <v>BSW_SWS_AR4_0_R2_DIODriver-7347</v>
      </c>
    </row>
    <row r="193" spans="1:20" x14ac:dyDescent="0.2">
      <c r="A193" t="s">
        <v>561</v>
      </c>
      <c r="B193" t="s">
        <v>76</v>
      </c>
      <c r="C193" t="s">
        <v>562</v>
      </c>
      <c r="D193" t="s">
        <v>563</v>
      </c>
      <c r="T193" s="3" t="str">
        <f>HYPERLINK("doors://fe-dorapcm3.de.bosch.com:36679/?version=2&amp;prodID=0&amp;view=00000015&amp;urn=urn:telelogic::1-52394082008461e6-O-7348-00059142","BSW_SWS_AR4_0_R2_DIODriver-7348")</f>
        <v>BSW_SWS_AR4_0_R2_DIODriver-7348</v>
      </c>
    </row>
    <row r="194" spans="1:20" ht="25.5" x14ac:dyDescent="0.2">
      <c r="A194" t="s">
        <v>564</v>
      </c>
      <c r="B194" t="s">
        <v>76</v>
      </c>
      <c r="C194" t="s">
        <v>565</v>
      </c>
      <c r="D194" s="4" t="s">
        <v>566</v>
      </c>
      <c r="T194" s="3" t="str">
        <f>HYPERLINK("doors://fe-dorapcm3.de.bosch.com:36679/?version=2&amp;prodID=0&amp;view=00000015&amp;urn=urn:telelogic::1-52394082008461e6-O-7349-00059142","BSW_SWS_AR4_0_R2_DIODriver-7349")</f>
        <v>BSW_SWS_AR4_0_R2_DIODriver-7349</v>
      </c>
    </row>
    <row r="195" spans="1:20" ht="25.5" x14ac:dyDescent="0.2">
      <c r="A195" t="s">
        <v>567</v>
      </c>
      <c r="B195" t="s">
        <v>76</v>
      </c>
      <c r="C195" t="s">
        <v>568</v>
      </c>
      <c r="D195" s="4" t="s">
        <v>569</v>
      </c>
      <c r="T195" s="3" t="str">
        <f>HYPERLINK("doors://fe-dorapcm3.de.bosch.com:36679/?version=2&amp;prodID=0&amp;view=00000015&amp;urn=urn:telelogic::1-52394082008461e6-O-7350-00059142","BSW_SWS_AR4_0_R2_DIODriver-7350")</f>
        <v>BSW_SWS_AR4_0_R2_DIODriver-7350</v>
      </c>
    </row>
    <row r="196" spans="1:20" x14ac:dyDescent="0.2">
      <c r="A196" t="s">
        <v>570</v>
      </c>
      <c r="B196" t="s">
        <v>76</v>
      </c>
      <c r="C196" t="s">
        <v>571</v>
      </c>
      <c r="D196" t="s">
        <v>572</v>
      </c>
      <c r="T196" s="3" t="str">
        <f>HYPERLINK("doors://fe-dorapcm3.de.bosch.com:36679/?version=2&amp;prodID=0&amp;view=00000015&amp;urn=urn:telelogic::1-52394082008461e6-O-7351-00059142","BSW_SWS_AR4_0_R2_DIODriver-7351")</f>
        <v>BSW_SWS_AR4_0_R2_DIODriver-7351</v>
      </c>
    </row>
    <row r="197" spans="1:20" x14ac:dyDescent="0.2">
      <c r="A197" t="s">
        <v>573</v>
      </c>
      <c r="B197" t="s">
        <v>76</v>
      </c>
      <c r="C197" t="s">
        <v>574</v>
      </c>
      <c r="D197" t="s">
        <v>575</v>
      </c>
      <c r="T197" s="3" t="str">
        <f>HYPERLINK("doors://fe-dorapcm3.de.bosch.com:36679/?version=2&amp;prodID=0&amp;view=00000015&amp;urn=urn:telelogic::1-52394082008461e6-O-7352-00059142","BSW_SWS_AR4_0_R2_DIODriver-7352")</f>
        <v>BSW_SWS_AR4_0_R2_DIODriver-7352</v>
      </c>
    </row>
    <row r="198" spans="1:20" x14ac:dyDescent="0.2">
      <c r="A198" t="s">
        <v>576</v>
      </c>
      <c r="B198" t="s">
        <v>21</v>
      </c>
      <c r="C198">
        <v>3.2</v>
      </c>
      <c r="D198" s="2" t="s">
        <v>577</v>
      </c>
      <c r="T198" s="3" t="str">
        <f>HYPERLINK("doors://fe-dorapcm3.de.bosch.com:36679/?version=2&amp;prodID=0&amp;view=00000015&amp;urn=urn:telelogic::1-52394082008461e6-O-7353-00059142","BSW_SWS_AR4_0_R2_DIODriver-7353")</f>
        <v>BSW_SWS_AR4_0_R2_DIODriver-7353</v>
      </c>
    </row>
    <row r="199" spans="1:20" ht="38.25" x14ac:dyDescent="0.2">
      <c r="A199" t="s">
        <v>578</v>
      </c>
      <c r="B199" t="s">
        <v>76</v>
      </c>
      <c r="C199" t="s">
        <v>579</v>
      </c>
      <c r="D199" s="4" t="s">
        <v>580</v>
      </c>
      <c r="T199" s="3" t="str">
        <f>HYPERLINK("doors://fe-dorapcm3.de.bosch.com:36679/?version=2&amp;prodID=0&amp;view=00000015&amp;urn=urn:telelogic::1-52394082008461e6-O-7354-00059142","BSW_SWS_AR4_0_R2_DIODriver-7354")</f>
        <v>BSW_SWS_AR4_0_R2_DIODriver-7354</v>
      </c>
    </row>
    <row r="200" spans="1:20" x14ac:dyDescent="0.2">
      <c r="A200" t="s">
        <v>581</v>
      </c>
      <c r="B200" t="s">
        <v>21</v>
      </c>
      <c r="C200">
        <v>4</v>
      </c>
      <c r="D200" s="2" t="s">
        <v>582</v>
      </c>
      <c r="T200" s="3" t="str">
        <f>HYPERLINK("doors://fe-dorapcm3.de.bosch.com:36679/?version=2&amp;prodID=0&amp;view=00000015&amp;urn=urn:telelogic::1-52394082008461e6-O-7355-00059142","BSW_SWS_AR4_0_R2_DIODriver-7355")</f>
        <v>BSW_SWS_AR4_0_R2_DIODriver-7355</v>
      </c>
    </row>
    <row r="201" spans="1:20" x14ac:dyDescent="0.2">
      <c r="A201" t="s">
        <v>583</v>
      </c>
      <c r="B201" t="s">
        <v>21</v>
      </c>
      <c r="C201">
        <v>4.0999999999999996</v>
      </c>
      <c r="D201" s="2" t="s">
        <v>584</v>
      </c>
      <c r="T201" s="3" t="str">
        <f>HYPERLINK("doors://fe-dorapcm3.de.bosch.com:36679/?version=2&amp;prodID=0&amp;view=00000015&amp;urn=urn:telelogic::1-52394082008461e6-O-7356-00059142","BSW_SWS_AR4_0_R2_DIODriver-7356")</f>
        <v>BSW_SWS_AR4_0_R2_DIODriver-7356</v>
      </c>
    </row>
    <row r="202" spans="1:20" x14ac:dyDescent="0.2">
      <c r="A202" t="s">
        <v>585</v>
      </c>
      <c r="B202" t="s">
        <v>76</v>
      </c>
      <c r="C202" t="s">
        <v>586</v>
      </c>
      <c r="D202" t="s">
        <v>587</v>
      </c>
      <c r="T202" s="3" t="str">
        <f>HYPERLINK("doors://fe-dorapcm3.de.bosch.com:36679/?version=2&amp;prodID=0&amp;view=00000015&amp;urn=urn:telelogic::1-52394082008461e6-O-7357-00059142","BSW_SWS_AR4_0_R2_DIODriver-7357")</f>
        <v>BSW_SWS_AR4_0_R2_DIODriver-7357</v>
      </c>
    </row>
    <row r="203" spans="1:20" x14ac:dyDescent="0.2">
      <c r="A203" t="s">
        <v>588</v>
      </c>
      <c r="B203" t="s">
        <v>21</v>
      </c>
      <c r="C203">
        <v>4.2</v>
      </c>
      <c r="D203" s="2" t="s">
        <v>589</v>
      </c>
      <c r="T203" s="3" t="str">
        <f>HYPERLINK("doors://fe-dorapcm3.de.bosch.com:36679/?version=2&amp;prodID=0&amp;view=00000015&amp;urn=urn:telelogic::1-52394082008461e6-O-7358-00059142","BSW_SWS_AR4_0_R2_DIODriver-7358")</f>
        <v>BSW_SWS_AR4_0_R2_DIODriver-7358</v>
      </c>
    </row>
    <row r="204" spans="1:20" x14ac:dyDescent="0.2">
      <c r="A204" t="s">
        <v>590</v>
      </c>
      <c r="B204" t="s">
        <v>76</v>
      </c>
      <c r="C204" t="s">
        <v>591</v>
      </c>
      <c r="D204" t="s">
        <v>592</v>
      </c>
      <c r="T204" s="3" t="str">
        <f>HYPERLINK("doors://fe-dorapcm3.de.bosch.com:36679/?version=2&amp;prodID=0&amp;view=00000015&amp;urn=urn:telelogic::1-52394082008461e6-O-7359-00059142","BSW_SWS_AR4_0_R2_DIODriver-7359")</f>
        <v>BSW_SWS_AR4_0_R2_DIODriver-7359</v>
      </c>
    </row>
    <row r="205" spans="1:20" x14ac:dyDescent="0.2">
      <c r="A205" t="s">
        <v>593</v>
      </c>
      <c r="B205" t="s">
        <v>21</v>
      </c>
      <c r="C205">
        <v>5</v>
      </c>
      <c r="D205" s="2" t="s">
        <v>594</v>
      </c>
      <c r="T205" s="3" t="str">
        <f>HYPERLINK("doors://fe-dorapcm3.de.bosch.com:36679/?version=2&amp;prodID=0&amp;view=00000015&amp;urn=urn:telelogic::1-52394082008461e6-O-7360-00059142","BSW_SWS_AR4_0_R2_DIODriver-7360")</f>
        <v>BSW_SWS_AR4_0_R2_DIODriver-7360</v>
      </c>
    </row>
    <row r="206" spans="1:20" x14ac:dyDescent="0.2">
      <c r="A206" t="s">
        <v>595</v>
      </c>
      <c r="B206" t="s">
        <v>76</v>
      </c>
      <c r="C206" t="s">
        <v>596</v>
      </c>
      <c r="D206" s="2" t="s">
        <v>597</v>
      </c>
      <c r="T206" s="3" t="str">
        <f>HYPERLINK("doors://fe-dorapcm3.de.bosch.com:36679/?version=2&amp;prodID=0&amp;view=00000015&amp;urn=urn:telelogic::1-52394082008461e6-O-7361-00059142","BSW_SWS_AR4_0_R2_DIODriver-7361")</f>
        <v>BSW_SWS_AR4_0_R2_DIODriver-7361</v>
      </c>
    </row>
    <row r="207" spans="1:20" x14ac:dyDescent="0.2">
      <c r="A207" t="s">
        <v>598</v>
      </c>
      <c r="B207" t="s">
        <v>76</v>
      </c>
      <c r="C207" t="s">
        <v>599</v>
      </c>
      <c r="D207" t="s">
        <v>600</v>
      </c>
      <c r="T207" s="3" t="str">
        <f>HYPERLINK("doors://fe-dorapcm3.de.bosch.com:36679/?version=2&amp;prodID=0&amp;view=00000015&amp;urn=urn:telelogic::1-52394082008461e6-O-7362-00059142","BSW_SWS_AR4_0_R2_DIODriver-7362")</f>
        <v>BSW_SWS_AR4_0_R2_DIODriver-7362</v>
      </c>
    </row>
    <row r="208" spans="1:20" x14ac:dyDescent="0.2">
      <c r="A208" t="s">
        <v>601</v>
      </c>
      <c r="B208" t="s">
        <v>76</v>
      </c>
      <c r="C208" t="s">
        <v>602</v>
      </c>
      <c r="D208" t="s">
        <v>603</v>
      </c>
      <c r="T208" s="3" t="str">
        <f>HYPERLINK("doors://fe-dorapcm3.de.bosch.com:36679/?version=2&amp;prodID=0&amp;view=00000015&amp;urn=urn:telelogic::1-52394082008461e6-O-7363-00059142","BSW_SWS_AR4_0_R2_DIODriver-7363")</f>
        <v>BSW_SWS_AR4_0_R2_DIODriver-7363</v>
      </c>
    </row>
    <row r="209" spans="1:20" x14ac:dyDescent="0.2">
      <c r="A209" t="s">
        <v>604</v>
      </c>
      <c r="B209" t="s">
        <v>76</v>
      </c>
      <c r="C209" t="s">
        <v>605</v>
      </c>
      <c r="D209" t="s">
        <v>606</v>
      </c>
      <c r="T209" s="3" t="str">
        <f>HYPERLINK("doors://fe-dorapcm3.de.bosch.com:36679/?version=2&amp;prodID=0&amp;view=00000015&amp;urn=urn:telelogic::1-52394082008461e6-O-7364-00059142","BSW_SWS_AR4_0_R2_DIODriver-7364")</f>
        <v>BSW_SWS_AR4_0_R2_DIODriver-7364</v>
      </c>
    </row>
    <row r="210" spans="1:20" x14ac:dyDescent="0.2">
      <c r="A210" t="s">
        <v>607</v>
      </c>
      <c r="B210" t="s">
        <v>76</v>
      </c>
      <c r="C210" t="s">
        <v>608</v>
      </c>
      <c r="D210" t="s">
        <v>609</v>
      </c>
      <c r="T210" s="3" t="str">
        <f>HYPERLINK("doors://fe-dorapcm3.de.bosch.com:36679/?version=2&amp;prodID=0&amp;view=00000015&amp;urn=urn:telelogic::1-52394082008461e6-O-7365-00059142","BSW_SWS_AR4_0_R2_DIODriver-7365")</f>
        <v>BSW_SWS_AR4_0_R2_DIODriver-7365</v>
      </c>
    </row>
    <row r="211" spans="1:20" x14ac:dyDescent="0.2">
      <c r="A211" t="s">
        <v>610</v>
      </c>
      <c r="B211" t="s">
        <v>76</v>
      </c>
      <c r="C211" t="s">
        <v>611</v>
      </c>
      <c r="D211" t="s">
        <v>612</v>
      </c>
      <c r="T211" s="3" t="str">
        <f>HYPERLINK("doors://fe-dorapcm3.de.bosch.com:36679/?version=2&amp;prodID=0&amp;view=00000015&amp;urn=urn:telelogic::1-52394082008461e6-O-7366-00059142","BSW_SWS_AR4_0_R2_DIODriver-7366")</f>
        <v>BSW_SWS_AR4_0_R2_DIODriver-7366</v>
      </c>
    </row>
    <row r="212" spans="1:20" x14ac:dyDescent="0.2">
      <c r="A212" t="s">
        <v>613</v>
      </c>
      <c r="B212" t="s">
        <v>614</v>
      </c>
      <c r="C212" t="s">
        <v>615</v>
      </c>
      <c r="D212" t="s">
        <v>616</v>
      </c>
      <c r="J212" t="s">
        <v>617</v>
      </c>
      <c r="K212" t="s">
        <v>618</v>
      </c>
      <c r="P212" t="s">
        <v>619</v>
      </c>
      <c r="Q212" t="s">
        <v>620</v>
      </c>
      <c r="R212" t="s">
        <v>621</v>
      </c>
      <c r="S212" t="s">
        <v>622</v>
      </c>
      <c r="T212" s="3" t="str">
        <f>HYPERLINK("doors://fe-dorapcm3.de.bosch.com:36679/?version=2&amp;prodID=0&amp;view=00000015&amp;urn=urn:telelogic::1-52394082008461e6-O-7367-00059142","BSW_SWS_AR4_0_R2_DIODriver-7367")</f>
        <v>BSW_SWS_AR4_0_R2_DIODriver-7367</v>
      </c>
    </row>
    <row r="213" spans="1:20" x14ac:dyDescent="0.2">
      <c r="A213" t="s">
        <v>623</v>
      </c>
      <c r="B213" t="s">
        <v>614</v>
      </c>
      <c r="C213" t="s">
        <v>624</v>
      </c>
      <c r="D213" t="s">
        <v>625</v>
      </c>
      <c r="K213" t="s">
        <v>618</v>
      </c>
      <c r="P213" t="s">
        <v>619</v>
      </c>
      <c r="Q213" t="s">
        <v>620</v>
      </c>
      <c r="R213" t="s">
        <v>621</v>
      </c>
      <c r="S213" t="s">
        <v>622</v>
      </c>
      <c r="T213" s="3" t="str">
        <f>HYPERLINK("doors://fe-dorapcm3.de.bosch.com:36679/?version=2&amp;prodID=0&amp;view=00000015&amp;urn=urn:telelogic::1-52394082008461e6-O-7368-00059142","BSW_SWS_AR4_0_R2_DIODriver-7368")</f>
        <v>BSW_SWS_AR4_0_R2_DIODriver-7368</v>
      </c>
    </row>
    <row r="214" spans="1:20" x14ac:dyDescent="0.2">
      <c r="A214" t="s">
        <v>626</v>
      </c>
      <c r="B214" t="s">
        <v>614</v>
      </c>
      <c r="C214" t="s">
        <v>627</v>
      </c>
      <c r="D214" t="s">
        <v>628</v>
      </c>
      <c r="K214" t="s">
        <v>618</v>
      </c>
      <c r="P214" t="s">
        <v>619</v>
      </c>
      <c r="Q214" t="s">
        <v>620</v>
      </c>
      <c r="R214" t="s">
        <v>621</v>
      </c>
      <c r="S214" t="s">
        <v>622</v>
      </c>
      <c r="T214" s="3" t="str">
        <f>HYPERLINK("doors://fe-dorapcm3.de.bosch.com:36679/?version=2&amp;prodID=0&amp;view=00000015&amp;urn=urn:telelogic::1-52394082008461e6-O-7369-00059142","BSW_SWS_AR4_0_R2_DIODriver-7369")</f>
        <v>BSW_SWS_AR4_0_R2_DIODriver-7369</v>
      </c>
    </row>
    <row r="215" spans="1:20" x14ac:dyDescent="0.2">
      <c r="A215" t="s">
        <v>629</v>
      </c>
      <c r="B215" t="s">
        <v>21</v>
      </c>
      <c r="C215">
        <v>5.0999999999999996</v>
      </c>
      <c r="D215" s="2" t="s">
        <v>630</v>
      </c>
      <c r="T215" s="3" t="str">
        <f>HYPERLINK("doors://fe-dorapcm3.de.bosch.com:36679/?version=2&amp;prodID=0&amp;view=00000015&amp;urn=urn:telelogic::1-52394082008461e6-O-7370-00059142","BSW_SWS_AR4_0_R2_DIODriver-7370")</f>
        <v>BSW_SWS_AR4_0_R2_DIODriver-7370</v>
      </c>
    </row>
    <row r="216" spans="1:20" x14ac:dyDescent="0.2">
      <c r="A216" t="s">
        <v>631</v>
      </c>
      <c r="B216" t="s">
        <v>614</v>
      </c>
      <c r="C216" t="s">
        <v>632</v>
      </c>
      <c r="D216" t="s">
        <v>633</v>
      </c>
      <c r="J216" t="s">
        <v>617</v>
      </c>
      <c r="K216" t="s">
        <v>618</v>
      </c>
      <c r="P216" t="s">
        <v>619</v>
      </c>
      <c r="Q216" t="s">
        <v>620</v>
      </c>
      <c r="R216" t="s">
        <v>621</v>
      </c>
      <c r="S216" t="s">
        <v>622</v>
      </c>
      <c r="T216" s="3" t="str">
        <f>HYPERLINK("doors://fe-dorapcm3.de.bosch.com:36679/?version=2&amp;prodID=0&amp;view=00000015&amp;urn=urn:telelogic::1-52394082008461e6-O-7371-00059142","BSW_SWS_AR4_0_R2_DIODriver-7371")</f>
        <v>BSW_SWS_AR4_0_R2_DIODriver-7371</v>
      </c>
    </row>
    <row r="217" spans="1:20" x14ac:dyDescent="0.2">
      <c r="A217" t="s">
        <v>634</v>
      </c>
      <c r="B217" t="s">
        <v>614</v>
      </c>
      <c r="C217" t="s">
        <v>635</v>
      </c>
      <c r="J217" t="s">
        <v>617</v>
      </c>
      <c r="K217" t="s">
        <v>618</v>
      </c>
      <c r="P217" t="s">
        <v>619</v>
      </c>
      <c r="Q217" t="s">
        <v>620</v>
      </c>
      <c r="R217" t="s">
        <v>621</v>
      </c>
      <c r="S217" t="s">
        <v>622</v>
      </c>
      <c r="T217" s="3" t="str">
        <f>HYPERLINK("doors://fe-dorapcm3.de.bosch.com:36679/?version=2&amp;prodID=0&amp;view=00000015&amp;urn=urn:telelogic::1-52394082008461e6-O-7372-00059142","BSW_SWS_AR4_0_R2_DIODriver-7372")</f>
        <v>BSW_SWS_AR4_0_R2_DIODriver-7372</v>
      </c>
    </row>
    <row r="218" spans="1:20" x14ac:dyDescent="0.2">
      <c r="A218" t="s">
        <v>636</v>
      </c>
      <c r="B218" t="s">
        <v>76</v>
      </c>
      <c r="C218" t="s">
        <v>637</v>
      </c>
      <c r="D218" s="2" t="s">
        <v>638</v>
      </c>
      <c r="T218" s="3" t="str">
        <f>HYPERLINK("doors://fe-dorapcm3.de.bosch.com:36679/?version=2&amp;prodID=0&amp;view=00000015&amp;urn=urn:telelogic::1-52394082008461e6-O-7373-00059142","BSW_SWS_AR4_0_R2_DIODriver-7373")</f>
        <v>BSW_SWS_AR4_0_R2_DIODriver-7373</v>
      </c>
    </row>
    <row r="219" spans="1:20" x14ac:dyDescent="0.2">
      <c r="A219" t="s">
        <v>639</v>
      </c>
      <c r="B219" t="s">
        <v>614</v>
      </c>
      <c r="C219" t="s">
        <v>640</v>
      </c>
      <c r="D219" t="s">
        <v>641</v>
      </c>
      <c r="J219" t="s">
        <v>617</v>
      </c>
      <c r="K219" t="s">
        <v>618</v>
      </c>
      <c r="P219" t="s">
        <v>619</v>
      </c>
      <c r="Q219" t="s">
        <v>620</v>
      </c>
      <c r="R219" t="s">
        <v>621</v>
      </c>
      <c r="S219" t="s">
        <v>622</v>
      </c>
      <c r="T219" s="3" t="str">
        <f>HYPERLINK("doors://fe-dorapcm3.de.bosch.com:36679/?version=2&amp;prodID=0&amp;view=00000015&amp;urn=urn:telelogic::1-52394082008461e6-O-7374-00059142","BSW_SWS_AR4_0_R2_DIODriver-7374")</f>
        <v>BSW_SWS_AR4_0_R2_DIODriver-7374</v>
      </c>
    </row>
    <row r="220" spans="1:20" x14ac:dyDescent="0.2">
      <c r="A220" t="s">
        <v>642</v>
      </c>
      <c r="B220" t="s">
        <v>614</v>
      </c>
      <c r="C220" t="s">
        <v>643</v>
      </c>
      <c r="D220" t="s">
        <v>644</v>
      </c>
      <c r="J220" t="s">
        <v>617</v>
      </c>
      <c r="K220" t="s">
        <v>618</v>
      </c>
      <c r="P220" t="s">
        <v>619</v>
      </c>
      <c r="Q220" t="s">
        <v>620</v>
      </c>
      <c r="R220" t="s">
        <v>621</v>
      </c>
      <c r="S220" t="s">
        <v>622</v>
      </c>
      <c r="T220" s="3" t="str">
        <f>HYPERLINK("doors://fe-dorapcm3.de.bosch.com:36679/?version=2&amp;prodID=0&amp;view=00000015&amp;urn=urn:telelogic::1-52394082008461e6-O-7375-00059142","BSW_SWS_AR4_0_R2_DIODriver-7375")</f>
        <v>BSW_SWS_AR4_0_R2_DIODriver-7375</v>
      </c>
    </row>
    <row r="221" spans="1:20" x14ac:dyDescent="0.2">
      <c r="A221" t="s">
        <v>645</v>
      </c>
      <c r="B221" t="s">
        <v>614</v>
      </c>
      <c r="C221" t="s">
        <v>646</v>
      </c>
      <c r="D221" t="s">
        <v>647</v>
      </c>
      <c r="J221" t="s">
        <v>617</v>
      </c>
      <c r="K221" t="s">
        <v>618</v>
      </c>
      <c r="P221" t="s">
        <v>619</v>
      </c>
      <c r="Q221" t="s">
        <v>620</v>
      </c>
      <c r="R221" t="s">
        <v>621</v>
      </c>
      <c r="S221" t="s">
        <v>622</v>
      </c>
      <c r="T221" s="3" t="str">
        <f>HYPERLINK("doors://fe-dorapcm3.de.bosch.com:36679/?version=2&amp;prodID=0&amp;view=00000015&amp;urn=urn:telelogic::1-52394082008461e6-O-7376-00059142","BSW_SWS_AR4_0_R2_DIODriver-7376")</f>
        <v>BSW_SWS_AR4_0_R2_DIODriver-7376</v>
      </c>
    </row>
    <row r="222" spans="1:20" x14ac:dyDescent="0.2">
      <c r="A222" t="s">
        <v>648</v>
      </c>
      <c r="B222" t="s">
        <v>614</v>
      </c>
      <c r="C222" t="s">
        <v>649</v>
      </c>
      <c r="D222" t="s">
        <v>650</v>
      </c>
      <c r="K222" t="s">
        <v>618</v>
      </c>
      <c r="P222" t="s">
        <v>619</v>
      </c>
      <c r="Q222" t="s">
        <v>651</v>
      </c>
      <c r="R222" t="s">
        <v>621</v>
      </c>
      <c r="S222" t="s">
        <v>622</v>
      </c>
      <c r="T222" s="3" t="str">
        <f>HYPERLINK("doors://fe-dorapcm3.de.bosch.com:36679/?version=2&amp;prodID=0&amp;view=00000015&amp;urn=urn:telelogic::1-52394082008461e6-O-7377-00059142","BSW_SWS_AR4_0_R2_DIODriver-7377")</f>
        <v>BSW_SWS_AR4_0_R2_DIODriver-7377</v>
      </c>
    </row>
    <row r="223" spans="1:20" x14ac:dyDescent="0.2">
      <c r="A223" t="s">
        <v>652</v>
      </c>
      <c r="B223" t="s">
        <v>614</v>
      </c>
      <c r="C223" t="s">
        <v>653</v>
      </c>
      <c r="D223" t="s">
        <v>654</v>
      </c>
      <c r="K223" t="s">
        <v>618</v>
      </c>
      <c r="P223" t="s">
        <v>619</v>
      </c>
      <c r="Q223" t="s">
        <v>651</v>
      </c>
      <c r="R223" t="s">
        <v>621</v>
      </c>
      <c r="S223" t="s">
        <v>622</v>
      </c>
      <c r="T223" s="3" t="str">
        <f>HYPERLINK("doors://fe-dorapcm3.de.bosch.com:36679/?version=2&amp;prodID=0&amp;view=00000015&amp;urn=urn:telelogic::1-52394082008461e6-O-7378-00059142","BSW_SWS_AR4_0_R2_DIODriver-7378")</f>
        <v>BSW_SWS_AR4_0_R2_DIODriver-7378</v>
      </c>
    </row>
    <row r="224" spans="1:20" x14ac:dyDescent="0.2">
      <c r="A224" t="s">
        <v>655</v>
      </c>
      <c r="B224" t="s">
        <v>76</v>
      </c>
      <c r="C224" t="s">
        <v>656</v>
      </c>
      <c r="D224" t="s">
        <v>657</v>
      </c>
      <c r="T224" s="3" t="str">
        <f>HYPERLINK("doors://fe-dorapcm3.de.bosch.com:36679/?version=2&amp;prodID=0&amp;view=00000015&amp;urn=urn:telelogic::1-52394082008461e6-O-7379-00059142","BSW_SWS_AR4_0_R2_DIODriver-7379")</f>
        <v>BSW_SWS_AR4_0_R2_DIODriver-7379</v>
      </c>
    </row>
    <row r="225" spans="1:20" x14ac:dyDescent="0.2">
      <c r="A225" t="s">
        <v>658</v>
      </c>
      <c r="B225" t="s">
        <v>76</v>
      </c>
      <c r="C225" t="s">
        <v>659</v>
      </c>
      <c r="D225" t="s">
        <v>660</v>
      </c>
      <c r="T225" s="3" t="str">
        <f>HYPERLINK("doors://fe-dorapcm3.de.bosch.com:36679/?version=2&amp;prodID=0&amp;view=00000015&amp;urn=urn:telelogic::1-52394082008461e6-O-7380-00059142","BSW_SWS_AR4_0_R2_DIODriver-7380")</f>
        <v>BSW_SWS_AR4_0_R2_DIODriver-7380</v>
      </c>
    </row>
    <row r="226" spans="1:20" x14ac:dyDescent="0.2">
      <c r="A226" t="s">
        <v>661</v>
      </c>
      <c r="B226" t="s">
        <v>76</v>
      </c>
      <c r="C226" t="s">
        <v>662</v>
      </c>
      <c r="D226" s="2" t="s">
        <v>663</v>
      </c>
      <c r="T226" s="3" t="str">
        <f>HYPERLINK("doors://fe-dorapcm3.de.bosch.com:36679/?version=2&amp;prodID=0&amp;view=00000015&amp;urn=urn:telelogic::1-52394082008461e6-O-7381-00059142","BSW_SWS_AR4_0_R2_DIODriver-7381")</f>
        <v>BSW_SWS_AR4_0_R2_DIODriver-7381</v>
      </c>
    </row>
    <row r="227" spans="1:20" x14ac:dyDescent="0.2">
      <c r="A227" t="s">
        <v>664</v>
      </c>
      <c r="B227" t="s">
        <v>614</v>
      </c>
      <c r="C227" t="s">
        <v>665</v>
      </c>
      <c r="D227" t="s">
        <v>666</v>
      </c>
      <c r="K227" t="s">
        <v>618</v>
      </c>
      <c r="P227" t="s">
        <v>619</v>
      </c>
      <c r="Q227" t="s">
        <v>651</v>
      </c>
      <c r="R227" t="s">
        <v>621</v>
      </c>
      <c r="S227" t="s">
        <v>622</v>
      </c>
      <c r="T227" s="3" t="str">
        <f>HYPERLINK("doors://fe-dorapcm3.de.bosch.com:36679/?version=2&amp;prodID=0&amp;view=00000015&amp;urn=urn:telelogic::1-52394082008461e6-O-7382-00059142","BSW_SWS_AR4_0_R2_DIODriver-7382")</f>
        <v>BSW_SWS_AR4_0_R2_DIODriver-7382</v>
      </c>
    </row>
    <row r="228" spans="1:20" x14ac:dyDescent="0.2">
      <c r="A228" t="s">
        <v>667</v>
      </c>
      <c r="B228" t="s">
        <v>21</v>
      </c>
      <c r="C228">
        <v>6</v>
      </c>
      <c r="D228" s="2" t="s">
        <v>668</v>
      </c>
      <c r="T228" s="3" t="str">
        <f>HYPERLINK("doors://fe-dorapcm3.de.bosch.com:36679/?version=2&amp;prodID=0&amp;view=00000015&amp;urn=urn:telelogic::1-52394082008461e6-O-7383-00059142","BSW_SWS_AR4_0_R2_DIODriver-7383")</f>
        <v>BSW_SWS_AR4_0_R2_DIODriver-7383</v>
      </c>
    </row>
    <row r="229" spans="1:20" x14ac:dyDescent="0.2">
      <c r="A229" t="s">
        <v>669</v>
      </c>
      <c r="B229" t="s">
        <v>76</v>
      </c>
      <c r="C229" t="s">
        <v>670</v>
      </c>
      <c r="D229" t="s">
        <v>671</v>
      </c>
      <c r="T229" s="3" t="str">
        <f>HYPERLINK("doors://fe-dorapcm3.de.bosch.com:36679/?version=2&amp;prodID=0&amp;view=00000015&amp;urn=urn:telelogic::1-52394082008461e6-O-7384-00059142","BSW_SWS_AR4_0_R2_DIODriver-7384")</f>
        <v>BSW_SWS_AR4_0_R2_DIODriver-7384</v>
      </c>
    </row>
    <row r="230" spans="1:20" x14ac:dyDescent="0.2">
      <c r="A230" t="s">
        <v>672</v>
      </c>
      <c r="B230" t="s">
        <v>76</v>
      </c>
      <c r="C230" t="s">
        <v>673</v>
      </c>
      <c r="D230" t="s">
        <v>674</v>
      </c>
      <c r="T230" s="3" t="str">
        <f>HYPERLINK("doors://fe-dorapcm3.de.bosch.com:36679/?version=2&amp;prodID=0&amp;view=00000015&amp;urn=urn:telelogic::1-52394082008461e6-O-7385-00059142","BSW_SWS_AR4_0_R2_DIODriver-7385")</f>
        <v>BSW_SWS_AR4_0_R2_DIODriver-7385</v>
      </c>
    </row>
    <row r="231" spans="1:20" x14ac:dyDescent="0.2">
      <c r="A231" t="s">
        <v>675</v>
      </c>
      <c r="B231" t="s">
        <v>76</v>
      </c>
      <c r="C231" t="s">
        <v>676</v>
      </c>
      <c r="D231" t="s">
        <v>677</v>
      </c>
      <c r="T231" s="3" t="str">
        <f>HYPERLINK("doors://fe-dorapcm3.de.bosch.com:36679/?version=2&amp;prodID=0&amp;view=00000015&amp;urn=urn:telelogic::1-52394082008461e6-O-7386-00059142","BSW_SWS_AR4_0_R2_DIODriver-7386")</f>
        <v>BSW_SWS_AR4_0_R2_DIODriver-7386</v>
      </c>
    </row>
    <row r="232" spans="1:20" x14ac:dyDescent="0.2">
      <c r="A232" t="s">
        <v>678</v>
      </c>
      <c r="B232" t="s">
        <v>21</v>
      </c>
      <c r="C232" t="s">
        <v>679</v>
      </c>
      <c r="D232" s="5" t="s">
        <v>680</v>
      </c>
      <c r="T232" s="3" t="str">
        <f>HYPERLINK("doors://fe-dorapcm3.de.bosch.com:36679/?version=2&amp;prodID=0&amp;view=00000015&amp;urn=urn:telelogic::1-52394082008461e6-O-7389-00059142","BSW_SWS_AR4_0_R2_DIODriver-7389")</f>
        <v>BSW_SWS_AR4_0_R2_DIODriver-7389</v>
      </c>
    </row>
    <row r="233" spans="1:20" x14ac:dyDescent="0.2">
      <c r="A233" t="s">
        <v>681</v>
      </c>
      <c r="B233" t="s">
        <v>21</v>
      </c>
      <c r="C233" t="s">
        <v>682</v>
      </c>
      <c r="D233" s="5" t="s">
        <v>683</v>
      </c>
      <c r="T233" s="3" t="str">
        <f>HYPERLINK("doors://fe-dorapcm3.de.bosch.com:36679/?version=2&amp;prodID=0&amp;view=00000015&amp;urn=urn:telelogic::1-52394082008461e6-O-7390-00059142","BSW_SWS_AR4_0_R2_DIODriver-7390")</f>
        <v>BSW_SWS_AR4_0_R2_DIODriver-7390</v>
      </c>
    </row>
    <row r="234" spans="1:20" x14ac:dyDescent="0.2">
      <c r="A234" t="s">
        <v>684</v>
      </c>
      <c r="B234" t="s">
        <v>21</v>
      </c>
      <c r="C234" t="s">
        <v>685</v>
      </c>
      <c r="D234" t="s">
        <v>686</v>
      </c>
      <c r="T234" s="3" t="str">
        <f>HYPERLINK("doors://fe-dorapcm3.de.bosch.com:36679/?version=2&amp;prodID=0&amp;view=00000015&amp;urn=urn:telelogic::1-52394082008461e6-O-7392-00059142","BSW_SWS_AR4_0_R2_DIODriver-7392")</f>
        <v>BSW_SWS_AR4_0_R2_DIODriver-7392</v>
      </c>
    </row>
    <row r="235" spans="1:20" x14ac:dyDescent="0.2">
      <c r="A235" t="s">
        <v>687</v>
      </c>
      <c r="B235" t="s">
        <v>21</v>
      </c>
      <c r="C235" t="s">
        <v>688</v>
      </c>
      <c r="D235" t="s">
        <v>689</v>
      </c>
      <c r="T235" s="3" t="str">
        <f>HYPERLINK("doors://fe-dorapcm3.de.bosch.com:36679/?version=2&amp;prodID=0&amp;view=00000015&amp;urn=urn:telelogic::1-52394082008461e6-O-7393-00059142","BSW_SWS_AR4_0_R2_DIODriver-7393")</f>
        <v>BSW_SWS_AR4_0_R2_DIODriver-7393</v>
      </c>
    </row>
    <row r="236" spans="1:20" x14ac:dyDescent="0.2">
      <c r="A236" t="s">
        <v>690</v>
      </c>
      <c r="B236" t="s">
        <v>21</v>
      </c>
      <c r="C236" t="s">
        <v>691</v>
      </c>
      <c r="D236" t="s">
        <v>692</v>
      </c>
      <c r="T236" s="3" t="str">
        <f>HYPERLINK("doors://fe-dorapcm3.de.bosch.com:36679/?version=2&amp;prodID=0&amp;view=00000015&amp;urn=urn:telelogic::1-52394082008461e6-O-7395-00059142","BSW_SWS_AR4_0_R2_DIODriver-7395")</f>
        <v>BSW_SWS_AR4_0_R2_DIODriver-7395</v>
      </c>
    </row>
    <row r="237" spans="1:20" x14ac:dyDescent="0.2">
      <c r="A237" t="s">
        <v>693</v>
      </c>
      <c r="B237" t="s">
        <v>21</v>
      </c>
      <c r="C237" t="s">
        <v>694</v>
      </c>
      <c r="D237" t="s">
        <v>695</v>
      </c>
      <c r="T237" s="3" t="str">
        <f>HYPERLINK("doors://fe-dorapcm3.de.bosch.com:36679/?version=2&amp;prodID=0&amp;view=00000015&amp;urn=urn:telelogic::1-52394082008461e6-O-7396-00059142","BSW_SWS_AR4_0_R2_DIODriver-7396")</f>
        <v>BSW_SWS_AR4_0_R2_DIODriver-7396</v>
      </c>
    </row>
    <row r="238" spans="1:20" x14ac:dyDescent="0.2">
      <c r="A238" t="s">
        <v>696</v>
      </c>
      <c r="B238" t="s">
        <v>21</v>
      </c>
      <c r="C238" t="s">
        <v>697</v>
      </c>
      <c r="D238" t="s">
        <v>698</v>
      </c>
      <c r="T238" s="3" t="str">
        <f>HYPERLINK("doors://fe-dorapcm3.de.bosch.com:36679/?version=2&amp;prodID=0&amp;view=00000015&amp;urn=urn:telelogic::1-52394082008461e6-O-7398-00059142","BSW_SWS_AR4_0_R2_DIODriver-7398")</f>
        <v>BSW_SWS_AR4_0_R2_DIODriver-7398</v>
      </c>
    </row>
    <row r="239" spans="1:20" ht="25.5" x14ac:dyDescent="0.2">
      <c r="A239" t="s">
        <v>699</v>
      </c>
      <c r="B239" t="s">
        <v>21</v>
      </c>
      <c r="C239" t="s">
        <v>700</v>
      </c>
      <c r="D239" s="4" t="s">
        <v>701</v>
      </c>
      <c r="T239" s="3" t="str">
        <f>HYPERLINK("doors://fe-dorapcm3.de.bosch.com:36679/?version=2&amp;prodID=0&amp;view=00000015&amp;urn=urn:telelogic::1-52394082008461e6-O-7399-00059142","BSW_SWS_AR4_0_R2_DIODriver-7399")</f>
        <v>BSW_SWS_AR4_0_R2_DIODriver-7399</v>
      </c>
    </row>
    <row r="240" spans="1:20" x14ac:dyDescent="0.2">
      <c r="A240" t="s">
        <v>702</v>
      </c>
      <c r="B240" t="s">
        <v>21</v>
      </c>
      <c r="C240" t="s">
        <v>703</v>
      </c>
      <c r="D240" t="s">
        <v>704</v>
      </c>
      <c r="T240" s="3" t="str">
        <f>HYPERLINK("doors://fe-dorapcm3.de.bosch.com:36679/?version=2&amp;prodID=0&amp;view=00000015&amp;urn=urn:telelogic::1-52394082008461e6-O-7401-00059142","BSW_SWS_AR4_0_R2_DIODriver-7401")</f>
        <v>BSW_SWS_AR4_0_R2_DIODriver-7401</v>
      </c>
    </row>
    <row r="241" spans="1:20" ht="25.5" x14ac:dyDescent="0.2">
      <c r="A241" t="s">
        <v>705</v>
      </c>
      <c r="B241" t="s">
        <v>21</v>
      </c>
      <c r="C241" t="s">
        <v>706</v>
      </c>
      <c r="D241" s="4" t="s">
        <v>707</v>
      </c>
      <c r="T241" s="3" t="str">
        <f>HYPERLINK("doors://fe-dorapcm3.de.bosch.com:36679/?version=2&amp;prodID=0&amp;view=00000015&amp;urn=urn:telelogic::1-52394082008461e6-O-7402-00059142","BSW_SWS_AR4_0_R2_DIODriver-7402")</f>
        <v>BSW_SWS_AR4_0_R2_DIODriver-7402</v>
      </c>
    </row>
    <row r="242" spans="1:20" x14ac:dyDescent="0.2">
      <c r="A242" t="s">
        <v>708</v>
      </c>
      <c r="B242" t="s">
        <v>21</v>
      </c>
      <c r="C242" t="s">
        <v>709</v>
      </c>
      <c r="D242" t="s">
        <v>710</v>
      </c>
      <c r="T242" s="3" t="str">
        <f>HYPERLINK("doors://fe-dorapcm3.de.bosch.com:36679/?version=2&amp;prodID=0&amp;view=00000015&amp;urn=urn:telelogic::1-52394082008461e6-O-7404-00059142","BSW_SWS_AR4_0_R2_DIODriver-7404")</f>
        <v>BSW_SWS_AR4_0_R2_DIODriver-7404</v>
      </c>
    </row>
    <row r="243" spans="1:20" ht="25.5" x14ac:dyDescent="0.2">
      <c r="A243" t="s">
        <v>711</v>
      </c>
      <c r="B243" t="s">
        <v>21</v>
      </c>
      <c r="C243" t="s">
        <v>712</v>
      </c>
      <c r="D243" s="4" t="s">
        <v>707</v>
      </c>
      <c r="T243" s="3" t="str">
        <f>HYPERLINK("doors://fe-dorapcm3.de.bosch.com:36679/?version=2&amp;prodID=0&amp;view=00000015&amp;urn=urn:telelogic::1-52394082008461e6-O-7405-00059142","BSW_SWS_AR4_0_R2_DIODriver-7405")</f>
        <v>BSW_SWS_AR4_0_R2_DIODriver-7405</v>
      </c>
    </row>
    <row r="244" spans="1:20" x14ac:dyDescent="0.2">
      <c r="A244" t="s">
        <v>713</v>
      </c>
      <c r="B244" t="s">
        <v>21</v>
      </c>
      <c r="C244" t="s">
        <v>714</v>
      </c>
      <c r="D244" t="s">
        <v>715</v>
      </c>
      <c r="T244" s="3" t="str">
        <f>HYPERLINK("doors://fe-dorapcm3.de.bosch.com:36679/?version=2&amp;prodID=0&amp;view=00000015&amp;urn=urn:telelogic::1-52394082008461e6-O-7407-00059142","BSW_SWS_AR4_0_R2_DIODriver-7407")</f>
        <v>BSW_SWS_AR4_0_R2_DIODriver-7407</v>
      </c>
    </row>
    <row r="245" spans="1:20" ht="25.5" x14ac:dyDescent="0.2">
      <c r="A245" t="s">
        <v>716</v>
      </c>
      <c r="B245" t="s">
        <v>21</v>
      </c>
      <c r="C245" t="s">
        <v>717</v>
      </c>
      <c r="D245" s="4" t="s">
        <v>707</v>
      </c>
      <c r="T245" s="3" t="str">
        <f>HYPERLINK("doors://fe-dorapcm3.de.bosch.com:36679/?version=2&amp;prodID=0&amp;view=00000015&amp;urn=urn:telelogic::1-52394082008461e6-O-7408-00059142","BSW_SWS_AR4_0_R2_DIODriver-7408")</f>
        <v>BSW_SWS_AR4_0_R2_DIODriver-7408</v>
      </c>
    </row>
    <row r="246" spans="1:20" x14ac:dyDescent="0.2">
      <c r="A246" t="s">
        <v>718</v>
      </c>
      <c r="B246" t="s">
        <v>21</v>
      </c>
      <c r="C246" t="s">
        <v>719</v>
      </c>
      <c r="D246" t="s">
        <v>720</v>
      </c>
      <c r="T246" s="3" t="str">
        <f>HYPERLINK("doors://fe-dorapcm3.de.bosch.com:36679/?version=2&amp;prodID=0&amp;view=00000015&amp;urn=urn:telelogic::1-52394082008461e6-O-7410-00059142","BSW_SWS_AR4_0_R2_DIODriver-7410")</f>
        <v>BSW_SWS_AR4_0_R2_DIODriver-7410</v>
      </c>
    </row>
    <row r="247" spans="1:20" ht="25.5" x14ac:dyDescent="0.2">
      <c r="A247" t="s">
        <v>721</v>
      </c>
      <c r="B247" t="s">
        <v>21</v>
      </c>
      <c r="C247" t="s">
        <v>722</v>
      </c>
      <c r="D247" s="4" t="s">
        <v>707</v>
      </c>
      <c r="T247" s="3" t="str">
        <f>HYPERLINK("doors://fe-dorapcm3.de.bosch.com:36679/?version=2&amp;prodID=0&amp;view=00000015&amp;urn=urn:telelogic::1-52394082008461e6-O-7411-00059142","BSW_SWS_AR4_0_R2_DIODriver-7411")</f>
        <v>BSW_SWS_AR4_0_R2_DIODriver-7411</v>
      </c>
    </row>
    <row r="248" spans="1:20" x14ac:dyDescent="0.2">
      <c r="A248" t="s">
        <v>723</v>
      </c>
      <c r="B248" t="s">
        <v>21</v>
      </c>
      <c r="C248" t="s">
        <v>724</v>
      </c>
      <c r="D248" t="s">
        <v>725</v>
      </c>
      <c r="T248" s="3" t="str">
        <f>HYPERLINK("doors://fe-dorapcm3.de.bosch.com:36679/?version=2&amp;prodID=0&amp;view=00000015&amp;urn=urn:telelogic::1-52394082008461e6-O-7413-00059142","BSW_SWS_AR4_0_R2_DIODriver-7413")</f>
        <v>BSW_SWS_AR4_0_R2_DIODriver-7413</v>
      </c>
    </row>
    <row r="249" spans="1:20" x14ac:dyDescent="0.2">
      <c r="A249" t="s">
        <v>726</v>
      </c>
      <c r="B249" t="s">
        <v>21</v>
      </c>
      <c r="C249" t="s">
        <v>727</v>
      </c>
      <c r="D249" t="s">
        <v>728</v>
      </c>
      <c r="T249" s="3" t="str">
        <f>HYPERLINK("doors://fe-dorapcm3.de.bosch.com:36679/?version=2&amp;prodID=0&amp;view=00000015&amp;urn=urn:telelogic::1-52394082008461e6-O-7414-00059142","BSW_SWS_AR4_0_R2_DIODriver-7414")</f>
        <v>BSW_SWS_AR4_0_R2_DIODriver-7414</v>
      </c>
    </row>
    <row r="250" spans="1:20" x14ac:dyDescent="0.2">
      <c r="A250" t="s">
        <v>729</v>
      </c>
      <c r="B250" t="s">
        <v>21</v>
      </c>
      <c r="C250" t="s">
        <v>730</v>
      </c>
      <c r="D250" t="s">
        <v>731</v>
      </c>
      <c r="T250" s="3" t="str">
        <f>HYPERLINK("doors://fe-dorapcm3.de.bosch.com:36679/?version=2&amp;prodID=0&amp;view=00000015&amp;urn=urn:telelogic::1-52394082008461e6-O-7416-00059142","BSW_SWS_AR4_0_R2_DIODriver-7416")</f>
        <v>BSW_SWS_AR4_0_R2_DIODriver-7416</v>
      </c>
    </row>
    <row r="251" spans="1:20" x14ac:dyDescent="0.2">
      <c r="A251" t="s">
        <v>732</v>
      </c>
      <c r="B251" t="s">
        <v>21</v>
      </c>
      <c r="C251" t="s">
        <v>733</v>
      </c>
      <c r="D251" t="s">
        <v>734</v>
      </c>
      <c r="T251" s="3" t="str">
        <f>HYPERLINK("doors://fe-dorapcm3.de.bosch.com:36679/?version=2&amp;prodID=0&amp;view=00000015&amp;urn=urn:telelogic::1-52394082008461e6-O-7417-00059142","BSW_SWS_AR4_0_R2_DIODriver-7417")</f>
        <v>BSW_SWS_AR4_0_R2_DIODriver-7417</v>
      </c>
    </row>
    <row r="252" spans="1:20" x14ac:dyDescent="0.2">
      <c r="A252" t="s">
        <v>735</v>
      </c>
      <c r="B252" t="s">
        <v>21</v>
      </c>
      <c r="C252" t="s">
        <v>736</v>
      </c>
      <c r="D252" t="s">
        <v>737</v>
      </c>
      <c r="T252" s="3" t="str">
        <f>HYPERLINK("doors://fe-dorapcm3.de.bosch.com:36679/?version=2&amp;prodID=0&amp;view=00000015&amp;urn=urn:telelogic::1-52394082008461e6-O-7419-00059142","BSW_SWS_AR4_0_R2_DIODriver-7419")</f>
        <v>BSW_SWS_AR4_0_R2_DIODriver-7419</v>
      </c>
    </row>
    <row r="253" spans="1:20" x14ac:dyDescent="0.2">
      <c r="A253" t="s">
        <v>738</v>
      </c>
      <c r="B253" t="s">
        <v>21</v>
      </c>
      <c r="C253" t="s">
        <v>739</v>
      </c>
      <c r="D253" t="s">
        <v>740</v>
      </c>
      <c r="T253" s="3" t="str">
        <f>HYPERLINK("doors://fe-dorapcm3.de.bosch.com:36679/?version=2&amp;prodID=0&amp;view=00000015&amp;urn=urn:telelogic::1-52394082008461e6-O-7420-00059142","BSW_SWS_AR4_0_R2_DIODriver-7420")</f>
        <v>BSW_SWS_AR4_0_R2_DIODriver-7420</v>
      </c>
    </row>
    <row r="254" spans="1:20" x14ac:dyDescent="0.2">
      <c r="A254" t="s">
        <v>741</v>
      </c>
      <c r="B254" t="s">
        <v>21</v>
      </c>
      <c r="C254" t="s">
        <v>742</v>
      </c>
      <c r="D254" t="s">
        <v>743</v>
      </c>
      <c r="T254" s="3" t="str">
        <f>HYPERLINK("doors://fe-dorapcm3.de.bosch.com:36679/?version=2&amp;prodID=0&amp;view=00000015&amp;urn=urn:telelogic::1-52394082008461e6-O-7422-00059142","BSW_SWS_AR4_0_R2_DIODriver-7422")</f>
        <v>BSW_SWS_AR4_0_R2_DIODriver-7422</v>
      </c>
    </row>
    <row r="255" spans="1:20" ht="25.5" x14ac:dyDescent="0.2">
      <c r="A255" t="s">
        <v>744</v>
      </c>
      <c r="B255" t="s">
        <v>21</v>
      </c>
      <c r="C255" t="s">
        <v>745</v>
      </c>
      <c r="D255" s="4" t="s">
        <v>746</v>
      </c>
      <c r="T255" s="3" t="str">
        <f>HYPERLINK("doors://fe-dorapcm3.de.bosch.com:36679/?version=2&amp;prodID=0&amp;view=00000015&amp;urn=urn:telelogic::1-52394082008461e6-O-7423-00059142","BSW_SWS_AR4_0_R2_DIODriver-7423")</f>
        <v>BSW_SWS_AR4_0_R2_DIODriver-7423</v>
      </c>
    </row>
    <row r="256" spans="1:20" x14ac:dyDescent="0.2">
      <c r="A256" t="s">
        <v>747</v>
      </c>
      <c r="B256" t="s">
        <v>21</v>
      </c>
      <c r="C256" t="s">
        <v>748</v>
      </c>
      <c r="D256" t="s">
        <v>749</v>
      </c>
      <c r="T256" s="3" t="str">
        <f>HYPERLINK("doors://fe-dorapcm3.de.bosch.com:36679/?version=2&amp;prodID=0&amp;view=00000015&amp;urn=urn:telelogic::1-52394082008461e6-O-7425-00059142","BSW_SWS_AR4_0_R2_DIODriver-7425")</f>
        <v>BSW_SWS_AR4_0_R2_DIODriver-7425</v>
      </c>
    </row>
    <row r="257" spans="1:20" ht="25.5" x14ac:dyDescent="0.2">
      <c r="A257" t="s">
        <v>750</v>
      </c>
      <c r="B257" t="s">
        <v>21</v>
      </c>
      <c r="C257" t="s">
        <v>751</v>
      </c>
      <c r="D257" s="4" t="s">
        <v>752</v>
      </c>
      <c r="T257" s="3" t="str">
        <f>HYPERLINK("doors://fe-dorapcm3.de.bosch.com:36679/?version=2&amp;prodID=0&amp;view=00000015&amp;urn=urn:telelogic::1-52394082008461e6-O-7426-00059142","BSW_SWS_AR4_0_R2_DIODriver-7426")</f>
        <v>BSW_SWS_AR4_0_R2_DIODriver-7426</v>
      </c>
    </row>
    <row r="258" spans="1:20" x14ac:dyDescent="0.2">
      <c r="A258" t="s">
        <v>753</v>
      </c>
      <c r="B258" t="s">
        <v>21</v>
      </c>
      <c r="C258" t="s">
        <v>754</v>
      </c>
      <c r="D258" t="s">
        <v>755</v>
      </c>
      <c r="T258" s="3" t="str">
        <f>HYPERLINK("doors://fe-dorapcm3.de.bosch.com:36679/?version=2&amp;prodID=0&amp;view=00000015&amp;urn=urn:telelogic::1-52394082008461e6-O-7428-00059142","BSW_SWS_AR4_0_R2_DIODriver-7428")</f>
        <v>BSW_SWS_AR4_0_R2_DIODriver-7428</v>
      </c>
    </row>
    <row r="259" spans="1:20" ht="25.5" x14ac:dyDescent="0.2">
      <c r="A259" t="s">
        <v>756</v>
      </c>
      <c r="B259" t="s">
        <v>21</v>
      </c>
      <c r="C259" t="s">
        <v>757</v>
      </c>
      <c r="D259" s="4" t="s">
        <v>758</v>
      </c>
      <c r="T259" s="3" t="str">
        <f>HYPERLINK("doors://fe-dorapcm3.de.bosch.com:36679/?version=2&amp;prodID=0&amp;view=00000015&amp;urn=urn:telelogic::1-52394082008461e6-O-7429-00059142","BSW_SWS_AR4_0_R2_DIODriver-7429")</f>
        <v>BSW_SWS_AR4_0_R2_DIODriver-7429</v>
      </c>
    </row>
    <row r="260" spans="1:20" x14ac:dyDescent="0.2">
      <c r="A260" t="s">
        <v>759</v>
      </c>
      <c r="B260" t="s">
        <v>21</v>
      </c>
      <c r="C260" t="s">
        <v>760</v>
      </c>
      <c r="D260" t="s">
        <v>761</v>
      </c>
      <c r="T260" s="3" t="str">
        <f>HYPERLINK("doors://fe-dorapcm3.de.bosch.com:36679/?version=2&amp;prodID=0&amp;view=00000015&amp;urn=urn:telelogic::1-52394082008461e6-O-7431-00059142","BSW_SWS_AR4_0_R2_DIODriver-7431")</f>
        <v>BSW_SWS_AR4_0_R2_DIODriver-7431</v>
      </c>
    </row>
    <row r="261" spans="1:20" ht="25.5" x14ac:dyDescent="0.2">
      <c r="A261" t="s">
        <v>762</v>
      </c>
      <c r="B261" t="s">
        <v>21</v>
      </c>
      <c r="C261" t="s">
        <v>763</v>
      </c>
      <c r="D261" s="4" t="s">
        <v>764</v>
      </c>
      <c r="T261" s="3" t="str">
        <f>HYPERLINK("doors://fe-dorapcm3.de.bosch.com:36679/?version=2&amp;prodID=0&amp;view=00000015&amp;urn=urn:telelogic::1-52394082008461e6-O-7432-00059142","BSW_SWS_AR4_0_R2_DIODriver-7432")</f>
        <v>BSW_SWS_AR4_0_R2_DIODriver-7432</v>
      </c>
    </row>
    <row r="262" spans="1:20" x14ac:dyDescent="0.2">
      <c r="A262" t="s">
        <v>765</v>
      </c>
      <c r="B262" t="s">
        <v>21</v>
      </c>
      <c r="C262" t="s">
        <v>766</v>
      </c>
      <c r="D262" t="s">
        <v>767</v>
      </c>
      <c r="T262" s="3" t="str">
        <f>HYPERLINK("doors://fe-dorapcm3.de.bosch.com:36679/?version=2&amp;prodID=0&amp;view=00000015&amp;urn=urn:telelogic::1-52394082008461e6-O-7434-00059142","BSW_SWS_AR4_0_R2_DIODriver-7434")</f>
        <v>BSW_SWS_AR4_0_R2_DIODriver-7434</v>
      </c>
    </row>
    <row r="263" spans="1:20" ht="25.5" x14ac:dyDescent="0.2">
      <c r="A263" t="s">
        <v>768</v>
      </c>
      <c r="B263" t="s">
        <v>21</v>
      </c>
      <c r="C263" t="s">
        <v>769</v>
      </c>
      <c r="D263" s="4" t="s">
        <v>770</v>
      </c>
      <c r="T263" s="3" t="str">
        <f>HYPERLINK("doors://fe-dorapcm3.de.bosch.com:36679/?version=2&amp;prodID=0&amp;view=00000015&amp;urn=urn:telelogic::1-52394082008461e6-O-7435-00059142","BSW_SWS_AR4_0_R2_DIODriver-7435")</f>
        <v>BSW_SWS_AR4_0_R2_DIODriver-7435</v>
      </c>
    </row>
    <row r="264" spans="1:20" x14ac:dyDescent="0.2">
      <c r="A264" t="s">
        <v>771</v>
      </c>
      <c r="B264" t="s">
        <v>21</v>
      </c>
      <c r="C264" t="s">
        <v>772</v>
      </c>
      <c r="D264" t="s">
        <v>773</v>
      </c>
      <c r="T264" s="3" t="str">
        <f>HYPERLINK("doors://fe-dorapcm3.de.bosch.com:36679/?version=2&amp;prodID=0&amp;view=00000015&amp;urn=urn:telelogic::1-52394082008461e6-O-7437-00059142","BSW_SWS_AR4_0_R2_DIODriver-7437")</f>
        <v>BSW_SWS_AR4_0_R2_DIODriver-7437</v>
      </c>
    </row>
    <row r="265" spans="1:20" ht="25.5" x14ac:dyDescent="0.2">
      <c r="A265" t="s">
        <v>774</v>
      </c>
      <c r="B265" t="s">
        <v>21</v>
      </c>
      <c r="C265" t="s">
        <v>775</v>
      </c>
      <c r="D265" s="4" t="s">
        <v>776</v>
      </c>
      <c r="T265" s="3" t="str">
        <f>HYPERLINK("doors://fe-dorapcm3.de.bosch.com:36679/?version=2&amp;prodID=0&amp;view=00000015&amp;urn=urn:telelogic::1-52394082008461e6-O-7438-00059142","BSW_SWS_AR4_0_R2_DIODriver-7438")</f>
        <v>BSW_SWS_AR4_0_R2_DIODriver-7438</v>
      </c>
    </row>
    <row r="266" spans="1:20" x14ac:dyDescent="0.2">
      <c r="A266" t="s">
        <v>777</v>
      </c>
      <c r="B266" t="s">
        <v>21</v>
      </c>
      <c r="C266" t="s">
        <v>778</v>
      </c>
      <c r="D266" t="s">
        <v>779</v>
      </c>
      <c r="T266" s="3" t="str">
        <f>HYPERLINK("doors://fe-dorapcm3.de.bosch.com:36679/?version=2&amp;prodID=0&amp;view=00000015&amp;urn=urn:telelogic::1-52394082008461e6-O-7440-00059142","BSW_SWS_AR4_0_R2_DIODriver-7440")</f>
        <v>BSW_SWS_AR4_0_R2_DIODriver-7440</v>
      </c>
    </row>
    <row r="267" spans="1:20" ht="25.5" x14ac:dyDescent="0.2">
      <c r="A267" t="s">
        <v>780</v>
      </c>
      <c r="B267" t="s">
        <v>21</v>
      </c>
      <c r="C267" t="s">
        <v>781</v>
      </c>
      <c r="D267" s="4" t="s">
        <v>782</v>
      </c>
      <c r="T267" s="3" t="str">
        <f>HYPERLINK("doors://fe-dorapcm3.de.bosch.com:36679/?version=2&amp;prodID=0&amp;view=00000015&amp;urn=urn:telelogic::1-52394082008461e6-O-7441-00059142","BSW_SWS_AR4_0_R2_DIODriver-7441")</f>
        <v>BSW_SWS_AR4_0_R2_DIODriver-7441</v>
      </c>
    </row>
    <row r="268" spans="1:20" x14ac:dyDescent="0.2">
      <c r="A268" t="s">
        <v>783</v>
      </c>
      <c r="B268" t="s">
        <v>21</v>
      </c>
      <c r="C268" t="s">
        <v>784</v>
      </c>
      <c r="D268" t="s">
        <v>785</v>
      </c>
      <c r="T268" s="3" t="str">
        <f>HYPERLINK("doors://fe-dorapcm3.de.bosch.com:36679/?version=2&amp;prodID=0&amp;view=00000015&amp;urn=urn:telelogic::1-52394082008461e6-O-7443-00059142","BSW_SWS_AR4_0_R2_DIODriver-7443")</f>
        <v>BSW_SWS_AR4_0_R2_DIODriver-7443</v>
      </c>
    </row>
    <row r="269" spans="1:20" x14ac:dyDescent="0.2">
      <c r="A269" t="s">
        <v>786</v>
      </c>
      <c r="B269" t="s">
        <v>21</v>
      </c>
      <c r="C269" t="s">
        <v>787</v>
      </c>
      <c r="D269" t="s">
        <v>788</v>
      </c>
      <c r="T269" s="3" t="str">
        <f>HYPERLINK("doors://fe-dorapcm3.de.bosch.com:36679/?version=2&amp;prodID=0&amp;view=00000015&amp;urn=urn:telelogic::1-52394082008461e6-O-7444-00059142","BSW_SWS_AR4_0_R2_DIODriver-7444")</f>
        <v>BSW_SWS_AR4_0_R2_DIODriver-7444</v>
      </c>
    </row>
    <row r="270" spans="1:20" x14ac:dyDescent="0.2">
      <c r="A270" t="s">
        <v>789</v>
      </c>
      <c r="B270" t="s">
        <v>21</v>
      </c>
      <c r="C270" t="s">
        <v>790</v>
      </c>
      <c r="D270" t="s">
        <v>791</v>
      </c>
      <c r="T270" s="3" t="str">
        <f>HYPERLINK("doors://fe-dorapcm3.de.bosch.com:36679/?version=2&amp;prodID=0&amp;view=00000015&amp;urn=urn:telelogic::1-52394082008461e6-O-7446-00059142","BSW_SWS_AR4_0_R2_DIODriver-7446")</f>
        <v>BSW_SWS_AR4_0_R2_DIODriver-7446</v>
      </c>
    </row>
    <row r="271" spans="1:20" ht="25.5" x14ac:dyDescent="0.2">
      <c r="A271" t="s">
        <v>792</v>
      </c>
      <c r="B271" t="s">
        <v>21</v>
      </c>
      <c r="C271" t="s">
        <v>793</v>
      </c>
      <c r="D271" s="4" t="s">
        <v>794</v>
      </c>
      <c r="T271" s="3" t="str">
        <f>HYPERLINK("doors://fe-dorapcm3.de.bosch.com:36679/?version=2&amp;prodID=0&amp;view=00000015&amp;urn=urn:telelogic::1-52394082008461e6-O-7447-00059142","BSW_SWS_AR4_0_R2_DIODriver-7447")</f>
        <v>BSW_SWS_AR4_0_R2_DIODriver-7447</v>
      </c>
    </row>
    <row r="272" spans="1:20" x14ac:dyDescent="0.2">
      <c r="A272" t="s">
        <v>795</v>
      </c>
      <c r="B272" t="s">
        <v>21</v>
      </c>
      <c r="C272" t="s">
        <v>796</v>
      </c>
      <c r="D272" t="s">
        <v>797</v>
      </c>
      <c r="T272" s="3" t="str">
        <f>HYPERLINK("doors://fe-dorapcm3.de.bosch.com:36679/?version=2&amp;prodID=0&amp;view=00000015&amp;urn=urn:telelogic::1-52394082008461e6-O-7449-00059142","BSW_SWS_AR4_0_R2_DIODriver-7449")</f>
        <v>BSW_SWS_AR4_0_R2_DIODriver-7449</v>
      </c>
    </row>
    <row r="273" spans="1:20" x14ac:dyDescent="0.2">
      <c r="A273" t="s">
        <v>798</v>
      </c>
      <c r="B273" t="s">
        <v>21</v>
      </c>
      <c r="C273" t="s">
        <v>799</v>
      </c>
      <c r="D273" t="s">
        <v>740</v>
      </c>
      <c r="T273" s="3" t="str">
        <f>HYPERLINK("doors://fe-dorapcm3.de.bosch.com:36679/?version=2&amp;prodID=0&amp;view=00000015&amp;urn=urn:telelogic::1-52394082008461e6-O-7450-00059142","BSW_SWS_AR4_0_R2_DIODriver-7450")</f>
        <v>BSW_SWS_AR4_0_R2_DIODriver-7450</v>
      </c>
    </row>
    <row r="274" spans="1:20" x14ac:dyDescent="0.2">
      <c r="A274" t="s">
        <v>800</v>
      </c>
      <c r="B274" t="s">
        <v>21</v>
      </c>
      <c r="C274" t="s">
        <v>801</v>
      </c>
      <c r="D274" t="s">
        <v>802</v>
      </c>
      <c r="T274" s="3" t="str">
        <f>HYPERLINK("doors://fe-dorapcm3.de.bosch.com:36679/?version=2&amp;prodID=0&amp;view=00000015&amp;urn=urn:telelogic::1-52394082008461e6-O-7452-00059142","BSW_SWS_AR4_0_R2_DIODriver-7452")</f>
        <v>BSW_SWS_AR4_0_R2_DIODriver-7452</v>
      </c>
    </row>
    <row r="275" spans="1:20" x14ac:dyDescent="0.2">
      <c r="A275" t="s">
        <v>803</v>
      </c>
      <c r="B275" t="s">
        <v>21</v>
      </c>
      <c r="C275" t="s">
        <v>804</v>
      </c>
      <c r="D275" t="s">
        <v>805</v>
      </c>
      <c r="T275" s="3" t="str">
        <f>HYPERLINK("doors://fe-dorapcm3.de.bosch.com:36679/?version=2&amp;prodID=0&amp;view=00000015&amp;urn=urn:telelogic::1-52394082008461e6-O-7453-00059142","BSW_SWS_AR4_0_R2_DIODriver-7453")</f>
        <v>BSW_SWS_AR4_0_R2_DIODriver-7453</v>
      </c>
    </row>
    <row r="276" spans="1:20" x14ac:dyDescent="0.2">
      <c r="A276" t="s">
        <v>806</v>
      </c>
      <c r="B276" t="s">
        <v>21</v>
      </c>
      <c r="C276" t="s">
        <v>807</v>
      </c>
      <c r="D276" t="s">
        <v>808</v>
      </c>
      <c r="T276" s="3" t="str">
        <f>HYPERLINK("doors://fe-dorapcm3.de.bosch.com:36679/?version=2&amp;prodID=0&amp;view=00000015&amp;urn=urn:telelogic::1-52394082008461e6-O-7455-00059142","BSW_SWS_AR4_0_R2_DIODriver-7455")</f>
        <v>BSW_SWS_AR4_0_R2_DIODriver-7455</v>
      </c>
    </row>
    <row r="277" spans="1:20" x14ac:dyDescent="0.2">
      <c r="A277" t="s">
        <v>809</v>
      </c>
      <c r="B277" t="s">
        <v>21</v>
      </c>
      <c r="C277" t="s">
        <v>810</v>
      </c>
      <c r="D277" t="s">
        <v>805</v>
      </c>
      <c r="T277" s="3" t="str">
        <f>HYPERLINK("doors://fe-dorapcm3.de.bosch.com:36679/?version=2&amp;prodID=0&amp;view=00000015&amp;urn=urn:telelogic::1-52394082008461e6-O-7456-00059142","BSW_SWS_AR4_0_R2_DIODriver-7456")</f>
        <v>BSW_SWS_AR4_0_R2_DIODriver-7456</v>
      </c>
    </row>
    <row r="278" spans="1:20" x14ac:dyDescent="0.2">
      <c r="A278" t="s">
        <v>811</v>
      </c>
      <c r="B278" t="s">
        <v>21</v>
      </c>
      <c r="C278" t="s">
        <v>812</v>
      </c>
      <c r="D278" t="s">
        <v>813</v>
      </c>
      <c r="T278" s="3" t="str">
        <f>HYPERLINK("doors://fe-dorapcm3.de.bosch.com:36679/?version=2&amp;prodID=0&amp;view=00000015&amp;urn=urn:telelogic::1-52394082008461e6-O-7458-00059142","BSW_SWS_AR4_0_R2_DIODriver-7458")</f>
        <v>BSW_SWS_AR4_0_R2_DIODriver-7458</v>
      </c>
    </row>
    <row r="279" spans="1:20" ht="25.5" x14ac:dyDescent="0.2">
      <c r="A279" t="s">
        <v>814</v>
      </c>
      <c r="B279" t="s">
        <v>21</v>
      </c>
      <c r="C279" t="s">
        <v>815</v>
      </c>
      <c r="D279" s="4" t="s">
        <v>707</v>
      </c>
      <c r="T279" s="3" t="str">
        <f>HYPERLINK("doors://fe-dorapcm3.de.bosch.com:36679/?version=2&amp;prodID=0&amp;view=00000015&amp;urn=urn:telelogic::1-52394082008461e6-O-7459-00059142","BSW_SWS_AR4_0_R2_DIODriver-7459")</f>
        <v>BSW_SWS_AR4_0_R2_DIODriver-7459</v>
      </c>
    </row>
    <row r="280" spans="1:20" x14ac:dyDescent="0.2">
      <c r="A280" t="s">
        <v>816</v>
      </c>
      <c r="B280" t="s">
        <v>21</v>
      </c>
      <c r="C280" t="s">
        <v>817</v>
      </c>
      <c r="D280" t="s">
        <v>818</v>
      </c>
      <c r="T280" s="3" t="str">
        <f>HYPERLINK("doors://fe-dorapcm3.de.bosch.com:36679/?version=2&amp;prodID=0&amp;view=00000015&amp;urn=urn:telelogic::1-52394082008461e6-O-7461-00059142","BSW_SWS_AR4_0_R2_DIODriver-7461")</f>
        <v>BSW_SWS_AR4_0_R2_DIODriver-7461</v>
      </c>
    </row>
    <row r="281" spans="1:20" x14ac:dyDescent="0.2">
      <c r="A281" t="s">
        <v>819</v>
      </c>
      <c r="B281" t="s">
        <v>21</v>
      </c>
      <c r="C281" t="s">
        <v>820</v>
      </c>
      <c r="D281" t="s">
        <v>821</v>
      </c>
      <c r="T281" s="3" t="str">
        <f>HYPERLINK("doors://fe-dorapcm3.de.bosch.com:36679/?version=2&amp;prodID=0&amp;view=00000015&amp;urn=urn:telelogic::1-52394082008461e6-O-7462-00059142","BSW_SWS_AR4_0_R2_DIODriver-7462")</f>
        <v>BSW_SWS_AR4_0_R2_DIODriver-7462</v>
      </c>
    </row>
    <row r="282" spans="1:20" x14ac:dyDescent="0.2">
      <c r="A282" t="s">
        <v>822</v>
      </c>
      <c r="B282" t="s">
        <v>21</v>
      </c>
      <c r="C282" t="s">
        <v>823</v>
      </c>
      <c r="D282" t="s">
        <v>824</v>
      </c>
      <c r="T282" s="3" t="str">
        <f>HYPERLINK("doors://fe-dorapcm3.de.bosch.com:36679/?version=2&amp;prodID=0&amp;view=00000015&amp;urn=urn:telelogic::1-52394082008461e6-O-7464-00059142","BSW_SWS_AR4_0_R2_DIODriver-7464")</f>
        <v>BSW_SWS_AR4_0_R2_DIODriver-7464</v>
      </c>
    </row>
    <row r="283" spans="1:20" ht="25.5" x14ac:dyDescent="0.2">
      <c r="A283" t="s">
        <v>825</v>
      </c>
      <c r="B283" t="s">
        <v>21</v>
      </c>
      <c r="C283" t="s">
        <v>826</v>
      </c>
      <c r="D283" s="4" t="s">
        <v>827</v>
      </c>
      <c r="T283" s="3" t="str">
        <f>HYPERLINK("doors://fe-dorapcm3.de.bosch.com:36679/?version=2&amp;prodID=0&amp;view=00000015&amp;urn=urn:telelogic::1-52394082008461e6-O-7465-00059142","BSW_SWS_AR4_0_R2_DIODriver-7465")</f>
        <v>BSW_SWS_AR4_0_R2_DIODriver-7465</v>
      </c>
    </row>
    <row r="284" spans="1:20" x14ac:dyDescent="0.2">
      <c r="A284" t="s">
        <v>828</v>
      </c>
      <c r="B284" t="s">
        <v>21</v>
      </c>
      <c r="C284" t="s">
        <v>829</v>
      </c>
      <c r="D284" t="s">
        <v>830</v>
      </c>
      <c r="T284" s="3" t="str">
        <f>HYPERLINK("doors://fe-dorapcm3.de.bosch.com:36679/?version=2&amp;prodID=0&amp;view=00000015&amp;urn=urn:telelogic::1-52394082008461e6-O-7467-00059142","BSW_SWS_AR4_0_R2_DIODriver-7467")</f>
        <v>BSW_SWS_AR4_0_R2_DIODriver-7467</v>
      </c>
    </row>
    <row r="285" spans="1:20" ht="25.5" x14ac:dyDescent="0.2">
      <c r="A285" t="s">
        <v>831</v>
      </c>
      <c r="B285" t="s">
        <v>21</v>
      </c>
      <c r="C285" t="s">
        <v>832</v>
      </c>
      <c r="D285" s="4" t="s">
        <v>827</v>
      </c>
      <c r="T285" s="3" t="str">
        <f>HYPERLINK("doors://fe-dorapcm3.de.bosch.com:36679/?version=2&amp;prodID=0&amp;view=00000015&amp;urn=urn:telelogic::1-52394082008461e6-O-7468-00059142","BSW_SWS_AR4_0_R2_DIODriver-7468")</f>
        <v>BSW_SWS_AR4_0_R2_DIODriver-7468</v>
      </c>
    </row>
    <row r="286" spans="1:20" x14ac:dyDescent="0.2">
      <c r="A286" t="s">
        <v>833</v>
      </c>
      <c r="B286" t="s">
        <v>21</v>
      </c>
      <c r="C286" t="s">
        <v>834</v>
      </c>
      <c r="D286" t="s">
        <v>835</v>
      </c>
      <c r="T286" s="3" t="str">
        <f>HYPERLINK("doors://fe-dorapcm3.de.bosch.com:36679/?version=2&amp;prodID=0&amp;view=00000015&amp;urn=urn:telelogic::1-52394082008461e6-O-7470-00059142","BSW_SWS_AR4_0_R2_DIODriver-7470")</f>
        <v>BSW_SWS_AR4_0_R2_DIODriver-7470</v>
      </c>
    </row>
    <row r="287" spans="1:20" ht="25.5" x14ac:dyDescent="0.2">
      <c r="A287" t="s">
        <v>836</v>
      </c>
      <c r="B287" t="s">
        <v>21</v>
      </c>
      <c r="C287" t="s">
        <v>837</v>
      </c>
      <c r="D287" s="4" t="s">
        <v>827</v>
      </c>
      <c r="T287" s="3" t="str">
        <f>HYPERLINK("doors://fe-dorapcm3.de.bosch.com:36679/?version=2&amp;prodID=0&amp;view=00000015&amp;urn=urn:telelogic::1-52394082008461e6-O-7471-00059142","BSW_SWS_AR4_0_R2_DIODriver-7471")</f>
        <v>BSW_SWS_AR4_0_R2_DIODriver-7471</v>
      </c>
    </row>
    <row r="288" spans="1:20" x14ac:dyDescent="0.2">
      <c r="A288" t="s">
        <v>838</v>
      </c>
      <c r="B288" t="s">
        <v>21</v>
      </c>
      <c r="C288" t="s">
        <v>839</v>
      </c>
      <c r="D288" t="s">
        <v>840</v>
      </c>
      <c r="T288" s="3" t="str">
        <f>HYPERLINK("doors://fe-dorapcm3.de.bosch.com:36679/?version=2&amp;prodID=0&amp;view=00000015&amp;urn=urn:telelogic::1-52394082008461e6-O-7473-00059142","BSW_SWS_AR4_0_R2_DIODriver-7473")</f>
        <v>BSW_SWS_AR4_0_R2_DIODriver-7473</v>
      </c>
    </row>
    <row r="289" spans="1:20" ht="25.5" x14ac:dyDescent="0.2">
      <c r="A289" t="s">
        <v>841</v>
      </c>
      <c r="B289" t="s">
        <v>21</v>
      </c>
      <c r="C289" t="s">
        <v>842</v>
      </c>
      <c r="D289" s="4" t="s">
        <v>707</v>
      </c>
      <c r="T289" s="3" t="str">
        <f>HYPERLINK("doors://fe-dorapcm3.de.bosch.com:36679/?version=2&amp;prodID=0&amp;view=00000015&amp;urn=urn:telelogic::1-52394082008461e6-O-7474-00059142","BSW_SWS_AR4_0_R2_DIODriver-7474")</f>
        <v>BSW_SWS_AR4_0_R2_DIODriver-7474</v>
      </c>
    </row>
    <row r="290" spans="1:20" x14ac:dyDescent="0.2">
      <c r="A290" t="s">
        <v>843</v>
      </c>
      <c r="B290" t="s">
        <v>21</v>
      </c>
      <c r="C290" t="s">
        <v>844</v>
      </c>
      <c r="D290" t="s">
        <v>845</v>
      </c>
      <c r="T290" s="3" t="str">
        <f>HYPERLINK("doors://fe-dorapcm3.de.bosch.com:36679/?version=2&amp;prodID=0&amp;view=00000015&amp;urn=urn:telelogic::1-52394082008461e6-O-7476-00059142","BSW_SWS_AR4_0_R2_DIODriver-7476")</f>
        <v>BSW_SWS_AR4_0_R2_DIODriver-7476</v>
      </c>
    </row>
    <row r="291" spans="1:20" x14ac:dyDescent="0.2">
      <c r="A291" t="s">
        <v>846</v>
      </c>
      <c r="B291" t="s">
        <v>21</v>
      </c>
      <c r="C291" t="s">
        <v>847</v>
      </c>
      <c r="D291" t="s">
        <v>848</v>
      </c>
      <c r="T291" s="3" t="str">
        <f>HYPERLINK("doors://fe-dorapcm3.de.bosch.com:36679/?version=2&amp;prodID=0&amp;view=00000015&amp;urn=urn:telelogic::1-52394082008461e6-O-7477-00059142","BSW_SWS_AR4_0_R2_DIODriver-7477")</f>
        <v>BSW_SWS_AR4_0_R2_DIODriver-7477</v>
      </c>
    </row>
    <row r="292" spans="1:20" x14ac:dyDescent="0.2">
      <c r="A292" t="s">
        <v>849</v>
      </c>
      <c r="B292" t="s">
        <v>21</v>
      </c>
      <c r="C292" t="s">
        <v>850</v>
      </c>
      <c r="D292" t="s">
        <v>851</v>
      </c>
      <c r="T292" s="3" t="str">
        <f>HYPERLINK("doors://fe-dorapcm3.de.bosch.com:36679/?version=2&amp;prodID=0&amp;view=00000015&amp;urn=urn:telelogic::1-52394082008461e6-O-7479-00059142","BSW_SWS_AR4_0_R2_DIODriver-7479")</f>
        <v>BSW_SWS_AR4_0_R2_DIODriver-7479</v>
      </c>
    </row>
    <row r="293" spans="1:20" x14ac:dyDescent="0.2">
      <c r="A293" t="s">
        <v>852</v>
      </c>
      <c r="B293" t="s">
        <v>21</v>
      </c>
      <c r="C293" t="s">
        <v>853</v>
      </c>
      <c r="D293" t="s">
        <v>848</v>
      </c>
      <c r="T293" s="3" t="str">
        <f>HYPERLINK("doors://fe-dorapcm3.de.bosch.com:36679/?version=2&amp;prodID=0&amp;view=00000015&amp;urn=urn:telelogic::1-52394082008461e6-O-7480-00059142","BSW_SWS_AR4_0_R2_DIODriver-7480")</f>
        <v>BSW_SWS_AR4_0_R2_DIODriver-7480</v>
      </c>
    </row>
    <row r="294" spans="1:20" x14ac:dyDescent="0.2">
      <c r="A294" t="s">
        <v>854</v>
      </c>
      <c r="B294" t="s">
        <v>21</v>
      </c>
      <c r="C294" t="s">
        <v>855</v>
      </c>
      <c r="D294" t="s">
        <v>856</v>
      </c>
      <c r="T294" s="3" t="str">
        <f>HYPERLINK("doors://fe-dorapcm3.de.bosch.com:36679/?version=2&amp;prodID=0&amp;view=00000015&amp;urn=urn:telelogic::1-52394082008461e6-O-7482-00059142","BSW_SWS_AR4_0_R2_DIODriver-7482")</f>
        <v>BSW_SWS_AR4_0_R2_DIODriver-7482</v>
      </c>
    </row>
    <row r="295" spans="1:20" ht="25.5" x14ac:dyDescent="0.2">
      <c r="A295" t="s">
        <v>857</v>
      </c>
      <c r="B295" t="s">
        <v>21</v>
      </c>
      <c r="C295" t="s">
        <v>858</v>
      </c>
      <c r="D295" s="4" t="s">
        <v>859</v>
      </c>
      <c r="T295" s="3" t="str">
        <f>HYPERLINK("doors://fe-dorapcm3.de.bosch.com:36679/?version=2&amp;prodID=0&amp;view=00000015&amp;urn=urn:telelogic::1-52394082008461e6-O-7483-00059142","BSW_SWS_AR4_0_R2_DIODriver-7483")</f>
        <v>BSW_SWS_AR4_0_R2_DIODriver-7483</v>
      </c>
    </row>
    <row r="296" spans="1:20" x14ac:dyDescent="0.2">
      <c r="A296" t="s">
        <v>860</v>
      </c>
      <c r="B296" t="s">
        <v>21</v>
      </c>
      <c r="C296" t="s">
        <v>861</v>
      </c>
      <c r="D296" t="s">
        <v>862</v>
      </c>
      <c r="T296" s="3" t="str">
        <f>HYPERLINK("doors://fe-dorapcm3.de.bosch.com:36679/?version=2&amp;prodID=0&amp;view=00000015&amp;urn=urn:telelogic::1-52394082008461e6-O-7485-00059142","BSW_SWS_AR4_0_R2_DIODriver-7485")</f>
        <v>BSW_SWS_AR4_0_R2_DIODriver-7485</v>
      </c>
    </row>
    <row r="297" spans="1:20" x14ac:dyDescent="0.2">
      <c r="A297" t="s">
        <v>863</v>
      </c>
      <c r="B297" t="s">
        <v>21</v>
      </c>
      <c r="C297" t="s">
        <v>864</v>
      </c>
      <c r="D297" t="s">
        <v>689</v>
      </c>
      <c r="T297" s="3" t="str">
        <f>HYPERLINK("doors://fe-dorapcm3.de.bosch.com:36679/?version=2&amp;prodID=0&amp;view=00000015&amp;urn=urn:telelogic::1-52394082008461e6-O-7486-00059142","BSW_SWS_AR4_0_R2_DIODriver-7486")</f>
        <v>BSW_SWS_AR4_0_R2_DIODriver-7486</v>
      </c>
    </row>
    <row r="298" spans="1:20" x14ac:dyDescent="0.2">
      <c r="A298" t="s">
        <v>865</v>
      </c>
      <c r="B298" t="s">
        <v>21</v>
      </c>
      <c r="C298" t="s">
        <v>866</v>
      </c>
      <c r="D298" t="s">
        <v>867</v>
      </c>
      <c r="T298" s="3" t="str">
        <f>HYPERLINK("doors://fe-dorapcm3.de.bosch.com:36679/?version=2&amp;prodID=0&amp;view=00000015&amp;urn=urn:telelogic::1-52394082008461e6-O-7488-00059142","BSW_SWS_AR4_0_R2_DIODriver-7488")</f>
        <v>BSW_SWS_AR4_0_R2_DIODriver-7488</v>
      </c>
    </row>
    <row r="299" spans="1:20" ht="25.5" x14ac:dyDescent="0.2">
      <c r="A299" t="s">
        <v>868</v>
      </c>
      <c r="B299" t="s">
        <v>21</v>
      </c>
      <c r="C299" t="s">
        <v>869</v>
      </c>
      <c r="D299" s="4" t="s">
        <v>827</v>
      </c>
      <c r="T299" s="3" t="str">
        <f>HYPERLINK("doors://fe-dorapcm3.de.bosch.com:36679/?version=2&amp;prodID=0&amp;view=00000015&amp;urn=urn:telelogic::1-52394082008461e6-O-7489-00059142","BSW_SWS_AR4_0_R2_DIODriver-7489")</f>
        <v>BSW_SWS_AR4_0_R2_DIODriver-7489</v>
      </c>
    </row>
    <row r="300" spans="1:20" x14ac:dyDescent="0.2">
      <c r="A300" t="s">
        <v>870</v>
      </c>
      <c r="B300" t="s">
        <v>21</v>
      </c>
      <c r="C300" t="s">
        <v>871</v>
      </c>
      <c r="D300" t="s">
        <v>872</v>
      </c>
      <c r="T300" s="3" t="str">
        <f>HYPERLINK("doors://fe-dorapcm3.de.bosch.com:36679/?version=2&amp;prodID=0&amp;view=00000015&amp;urn=urn:telelogic::1-52394082008461e6-O-7491-00059142","BSW_SWS_AR4_0_R2_DIODriver-7491")</f>
        <v>BSW_SWS_AR4_0_R2_DIODriver-7491</v>
      </c>
    </row>
    <row r="301" spans="1:20" x14ac:dyDescent="0.2">
      <c r="A301" t="s">
        <v>873</v>
      </c>
      <c r="B301" t="s">
        <v>21</v>
      </c>
      <c r="C301" t="s">
        <v>874</v>
      </c>
      <c r="D301" t="s">
        <v>875</v>
      </c>
      <c r="T301" s="3" t="str">
        <f>HYPERLINK("doors://fe-dorapcm3.de.bosch.com:36679/?version=2&amp;prodID=0&amp;view=00000015&amp;urn=urn:telelogic::1-52394082008461e6-O-7492-00059142","BSW_SWS_AR4_0_R2_DIODriver-7492")</f>
        <v>BSW_SWS_AR4_0_R2_DIODriver-7492</v>
      </c>
    </row>
    <row r="302" spans="1:20" x14ac:dyDescent="0.2">
      <c r="A302" t="s">
        <v>876</v>
      </c>
      <c r="B302" t="s">
        <v>21</v>
      </c>
      <c r="C302" t="s">
        <v>877</v>
      </c>
      <c r="D302" t="s">
        <v>878</v>
      </c>
      <c r="T302" s="3" t="str">
        <f>HYPERLINK("doors://fe-dorapcm3.de.bosch.com:36679/?version=2&amp;prodID=0&amp;view=00000015&amp;urn=urn:telelogic::1-52394082008461e6-O-7494-00059142","BSW_SWS_AR4_0_R2_DIODriver-7494")</f>
        <v>BSW_SWS_AR4_0_R2_DIODriver-7494</v>
      </c>
    </row>
    <row r="303" spans="1:20" ht="25.5" x14ac:dyDescent="0.2">
      <c r="A303" t="s">
        <v>879</v>
      </c>
      <c r="B303" t="s">
        <v>21</v>
      </c>
      <c r="C303" t="s">
        <v>880</v>
      </c>
      <c r="D303" s="4" t="s">
        <v>881</v>
      </c>
      <c r="T303" s="3" t="str">
        <f>HYPERLINK("doors://fe-dorapcm3.de.bosch.com:36679/?version=2&amp;prodID=0&amp;view=00000015&amp;urn=urn:telelogic::1-52394082008461e6-O-7495-00059142","BSW_SWS_AR4_0_R2_DIODriver-7495")</f>
        <v>BSW_SWS_AR4_0_R2_DIODriver-7495</v>
      </c>
    </row>
    <row r="304" spans="1:20" x14ac:dyDescent="0.2">
      <c r="A304" t="s">
        <v>882</v>
      </c>
      <c r="B304" t="s">
        <v>21</v>
      </c>
      <c r="C304" t="s">
        <v>883</v>
      </c>
      <c r="D304" t="s">
        <v>884</v>
      </c>
      <c r="T304" s="3" t="str">
        <f>HYPERLINK("doors://fe-dorapcm3.de.bosch.com:36679/?version=2&amp;prodID=0&amp;view=00000015&amp;urn=urn:telelogic::1-52394082008461e6-O-7497-00059142","BSW_SWS_AR4_0_R2_DIODriver-7497")</f>
        <v>BSW_SWS_AR4_0_R2_DIODriver-7497</v>
      </c>
    </row>
    <row r="305" spans="1:20" x14ac:dyDescent="0.2">
      <c r="A305" t="s">
        <v>885</v>
      </c>
      <c r="B305" t="s">
        <v>21</v>
      </c>
      <c r="C305" t="s">
        <v>886</v>
      </c>
      <c r="D305" t="s">
        <v>887</v>
      </c>
      <c r="T305" s="3" t="str">
        <f>HYPERLINK("doors://fe-dorapcm3.de.bosch.com:36679/?version=2&amp;prodID=0&amp;view=00000015&amp;urn=urn:telelogic::1-52394082008461e6-O-7498-00059142","BSW_SWS_AR4_0_R2_DIODriver-7498")</f>
        <v>BSW_SWS_AR4_0_R2_DIODriver-7498</v>
      </c>
    </row>
    <row r="306" spans="1:20" x14ac:dyDescent="0.2">
      <c r="A306" t="s">
        <v>888</v>
      </c>
      <c r="B306" t="s">
        <v>21</v>
      </c>
      <c r="C306" t="s">
        <v>889</v>
      </c>
      <c r="D306" t="s">
        <v>890</v>
      </c>
      <c r="T306" s="3" t="str">
        <f>HYPERLINK("doors://fe-dorapcm3.de.bosch.com:36679/?version=2&amp;prodID=0&amp;view=00000015&amp;urn=urn:telelogic::1-52394082008461e6-O-7500-00059142","BSW_SWS_AR4_0_R2_DIODriver-7500")</f>
        <v>BSW_SWS_AR4_0_R2_DIODriver-7500</v>
      </c>
    </row>
    <row r="307" spans="1:20" x14ac:dyDescent="0.2">
      <c r="A307" t="s">
        <v>891</v>
      </c>
      <c r="B307" t="s">
        <v>21</v>
      </c>
      <c r="C307" t="s">
        <v>892</v>
      </c>
      <c r="D307" t="s">
        <v>893</v>
      </c>
      <c r="T307" s="3" t="str">
        <f>HYPERLINK("doors://fe-dorapcm3.de.bosch.com:36679/?version=2&amp;prodID=0&amp;view=00000015&amp;urn=urn:telelogic::1-52394082008461e6-O-7501-00059142","BSW_SWS_AR4_0_R2_DIODriver-7501")</f>
        <v>BSW_SWS_AR4_0_R2_DIODriver-7501</v>
      </c>
    </row>
    <row r="308" spans="1:20" x14ac:dyDescent="0.2">
      <c r="A308" t="s">
        <v>894</v>
      </c>
      <c r="B308" t="s">
        <v>21</v>
      </c>
      <c r="C308" t="s">
        <v>895</v>
      </c>
      <c r="D308" t="s">
        <v>896</v>
      </c>
      <c r="T308" s="3" t="str">
        <f>HYPERLINK("doors://fe-dorapcm3.de.bosch.com:36679/?version=2&amp;prodID=0&amp;view=00000015&amp;urn=urn:telelogic::1-52394082008461e6-O-7503-00059142","BSW_SWS_AR4_0_R2_DIODriver-7503")</f>
        <v>BSW_SWS_AR4_0_R2_DIODriver-7503</v>
      </c>
    </row>
    <row r="309" spans="1:20" x14ac:dyDescent="0.2">
      <c r="A309" t="s">
        <v>897</v>
      </c>
      <c r="B309" t="s">
        <v>21</v>
      </c>
      <c r="C309" t="s">
        <v>898</v>
      </c>
      <c r="D309" t="s">
        <v>899</v>
      </c>
      <c r="T309" s="3" t="str">
        <f>HYPERLINK("doors://fe-dorapcm3.de.bosch.com:36679/?version=2&amp;prodID=0&amp;view=00000015&amp;urn=urn:telelogic::1-52394082008461e6-O-7504-00059142","BSW_SWS_AR4_0_R2_DIODriver-7504")</f>
        <v>BSW_SWS_AR4_0_R2_DIODriver-7504</v>
      </c>
    </row>
    <row r="310" spans="1:20" x14ac:dyDescent="0.2">
      <c r="A310" t="s">
        <v>900</v>
      </c>
      <c r="B310" t="s">
        <v>21</v>
      </c>
      <c r="C310" t="s">
        <v>901</v>
      </c>
      <c r="D310" t="s">
        <v>902</v>
      </c>
      <c r="T310" s="3" t="str">
        <f>HYPERLINK("doors://fe-dorapcm3.de.bosch.com:36679/?version=2&amp;prodID=0&amp;view=00000015&amp;urn=urn:telelogic::1-52394082008461e6-O-7506-00059142","BSW_SWS_AR4_0_R2_DIODriver-7506")</f>
        <v>BSW_SWS_AR4_0_R2_DIODriver-7506</v>
      </c>
    </row>
    <row r="311" spans="1:20" ht="25.5" x14ac:dyDescent="0.2">
      <c r="A311" t="s">
        <v>903</v>
      </c>
      <c r="B311" t="s">
        <v>21</v>
      </c>
      <c r="C311" t="s">
        <v>904</v>
      </c>
      <c r="D311" s="4" t="s">
        <v>905</v>
      </c>
      <c r="T311" s="3" t="str">
        <f>HYPERLINK("doors://fe-dorapcm3.de.bosch.com:36679/?version=2&amp;prodID=0&amp;view=00000015&amp;urn=urn:telelogic::1-52394082008461e6-O-7507-00059142","BSW_SWS_AR4_0_R2_DIODriver-7507")</f>
        <v>BSW_SWS_AR4_0_R2_DIODriver-7507</v>
      </c>
    </row>
    <row r="312" spans="1:20" x14ac:dyDescent="0.2">
      <c r="A312" t="s">
        <v>906</v>
      </c>
      <c r="B312" t="s">
        <v>21</v>
      </c>
      <c r="C312" t="s">
        <v>907</v>
      </c>
      <c r="D312" t="s">
        <v>908</v>
      </c>
      <c r="T312" s="3" t="str">
        <f>HYPERLINK("doors://fe-dorapcm3.de.bosch.com:36679/?version=2&amp;prodID=0&amp;view=00000015&amp;urn=urn:telelogic::1-52394082008461e6-O-7509-00059142","BSW_SWS_AR4_0_R2_DIODriver-7509")</f>
        <v>BSW_SWS_AR4_0_R2_DIODriver-7509</v>
      </c>
    </row>
    <row r="313" spans="1:20" ht="25.5" x14ac:dyDescent="0.2">
      <c r="A313" t="s">
        <v>909</v>
      </c>
      <c r="B313" t="s">
        <v>21</v>
      </c>
      <c r="C313" t="s">
        <v>910</v>
      </c>
      <c r="D313" s="4" t="s">
        <v>911</v>
      </c>
      <c r="T313" s="3" t="str">
        <f>HYPERLINK("doors://fe-dorapcm3.de.bosch.com:36679/?version=2&amp;prodID=0&amp;view=00000015&amp;urn=urn:telelogic::1-52394082008461e6-O-7510-00059142","BSW_SWS_AR4_0_R2_DIODriver-7510")</f>
        <v>BSW_SWS_AR4_0_R2_DIODriver-7510</v>
      </c>
    </row>
    <row r="314" spans="1:20" x14ac:dyDescent="0.2">
      <c r="A314" t="s">
        <v>912</v>
      </c>
      <c r="B314" t="s">
        <v>21</v>
      </c>
      <c r="C314" t="s">
        <v>913</v>
      </c>
      <c r="D314" t="s">
        <v>914</v>
      </c>
      <c r="T314" s="3" t="str">
        <f>HYPERLINK("doors://fe-dorapcm3.de.bosch.com:36679/?version=2&amp;prodID=0&amp;view=00000015&amp;urn=urn:telelogic::1-52394082008461e6-O-7512-00059142","BSW_SWS_AR4_0_R2_DIODriver-7512")</f>
        <v>BSW_SWS_AR4_0_R2_DIODriver-7512</v>
      </c>
    </row>
    <row r="315" spans="1:20" ht="25.5" x14ac:dyDescent="0.2">
      <c r="A315" t="s">
        <v>915</v>
      </c>
      <c r="B315" t="s">
        <v>21</v>
      </c>
      <c r="C315" t="s">
        <v>916</v>
      </c>
      <c r="D315" s="4" t="s">
        <v>917</v>
      </c>
      <c r="T315" s="3" t="str">
        <f>HYPERLINK("doors://fe-dorapcm3.de.bosch.com:36679/?version=2&amp;prodID=0&amp;view=00000015&amp;urn=urn:telelogic::1-52394082008461e6-O-7513-00059142","BSW_SWS_AR4_0_R2_DIODriver-7513")</f>
        <v>BSW_SWS_AR4_0_R2_DIODriver-7513</v>
      </c>
    </row>
    <row r="316" spans="1:20" x14ac:dyDescent="0.2">
      <c r="A316" t="s">
        <v>918</v>
      </c>
      <c r="B316" t="s">
        <v>21</v>
      </c>
      <c r="C316" t="s">
        <v>919</v>
      </c>
      <c r="D316" t="s">
        <v>920</v>
      </c>
      <c r="T316" s="3" t="str">
        <f>HYPERLINK("doors://fe-dorapcm3.de.bosch.com:36679/?version=2&amp;prodID=0&amp;view=00000015&amp;urn=urn:telelogic::1-52394082008461e6-O-7515-00059142","BSW_SWS_AR4_0_R2_DIODriver-7515")</f>
        <v>BSW_SWS_AR4_0_R2_DIODriver-7515</v>
      </c>
    </row>
    <row r="317" spans="1:20" ht="25.5" x14ac:dyDescent="0.2">
      <c r="A317" t="s">
        <v>921</v>
      </c>
      <c r="B317" t="s">
        <v>21</v>
      </c>
      <c r="C317" t="s">
        <v>922</v>
      </c>
      <c r="D317" s="4" t="s">
        <v>707</v>
      </c>
      <c r="T317" s="3" t="str">
        <f>HYPERLINK("doors://fe-dorapcm3.de.bosch.com:36679/?version=2&amp;prodID=0&amp;view=00000015&amp;urn=urn:telelogic::1-52394082008461e6-O-7516-00059142","BSW_SWS_AR4_0_R2_DIODriver-7516")</f>
        <v>BSW_SWS_AR4_0_R2_DIODriver-7516</v>
      </c>
    </row>
    <row r="318" spans="1:20" x14ac:dyDescent="0.2">
      <c r="A318" t="s">
        <v>923</v>
      </c>
      <c r="B318" t="s">
        <v>21</v>
      </c>
      <c r="C318" t="s">
        <v>924</v>
      </c>
      <c r="D318" t="s">
        <v>925</v>
      </c>
      <c r="T318" s="3" t="str">
        <f>HYPERLINK("doors://fe-dorapcm3.de.bosch.com:36679/?version=2&amp;prodID=0&amp;view=00000015&amp;urn=urn:telelogic::1-52394082008461e6-O-7518-00059142","BSW_SWS_AR4_0_R2_DIODriver-7518")</f>
        <v>BSW_SWS_AR4_0_R2_DIODriver-7518</v>
      </c>
    </row>
    <row r="319" spans="1:20" ht="25.5" x14ac:dyDescent="0.2">
      <c r="A319" t="s">
        <v>926</v>
      </c>
      <c r="B319" t="s">
        <v>21</v>
      </c>
      <c r="C319" t="s">
        <v>927</v>
      </c>
      <c r="D319" s="4" t="s">
        <v>707</v>
      </c>
      <c r="T319" s="3" t="str">
        <f>HYPERLINK("doors://fe-dorapcm3.de.bosch.com:36679/?version=2&amp;prodID=0&amp;view=00000015&amp;urn=urn:telelogic::1-52394082008461e6-O-7519-00059142","BSW_SWS_AR4_0_R2_DIODriver-7519")</f>
        <v>BSW_SWS_AR4_0_R2_DIODriver-7519</v>
      </c>
    </row>
    <row r="320" spans="1:20" x14ac:dyDescent="0.2">
      <c r="A320" t="s">
        <v>928</v>
      </c>
      <c r="B320" t="s">
        <v>21</v>
      </c>
      <c r="C320" t="s">
        <v>929</v>
      </c>
      <c r="D320" t="s">
        <v>930</v>
      </c>
      <c r="T320" s="3" t="str">
        <f>HYPERLINK("doors://fe-dorapcm3.de.bosch.com:36679/?version=2&amp;prodID=0&amp;view=00000015&amp;urn=urn:telelogic::1-52394082008461e6-O-7521-00059142","BSW_SWS_AR4_0_R2_DIODriver-7521")</f>
        <v>BSW_SWS_AR4_0_R2_DIODriver-7521</v>
      </c>
    </row>
    <row r="321" spans="1:20" ht="25.5" x14ac:dyDescent="0.2">
      <c r="A321" t="s">
        <v>931</v>
      </c>
      <c r="B321" t="s">
        <v>21</v>
      </c>
      <c r="C321" t="s">
        <v>932</v>
      </c>
      <c r="D321" s="4" t="s">
        <v>917</v>
      </c>
      <c r="T321" s="3" t="str">
        <f>HYPERLINK("doors://fe-dorapcm3.de.bosch.com:36679/?version=2&amp;prodID=0&amp;view=00000015&amp;urn=urn:telelogic::1-52394082008461e6-O-7522-00059142","BSW_SWS_AR4_0_R2_DIODriver-7522")</f>
        <v>BSW_SWS_AR4_0_R2_DIODriver-7522</v>
      </c>
    </row>
    <row r="322" spans="1:20" x14ac:dyDescent="0.2">
      <c r="A322" t="s">
        <v>933</v>
      </c>
      <c r="B322" t="s">
        <v>21</v>
      </c>
      <c r="C322" t="s">
        <v>934</v>
      </c>
      <c r="D322" t="s">
        <v>935</v>
      </c>
      <c r="T322" s="3" t="str">
        <f>HYPERLINK("doors://fe-dorapcm3.de.bosch.com:36679/?version=2&amp;prodID=0&amp;view=00000015&amp;urn=urn:telelogic::1-52394082008461e6-O-7524-00059142","BSW_SWS_AR4_0_R2_DIODriver-7524")</f>
        <v>BSW_SWS_AR4_0_R2_DIODriver-7524</v>
      </c>
    </row>
    <row r="323" spans="1:20" ht="25.5" x14ac:dyDescent="0.2">
      <c r="A323" t="s">
        <v>936</v>
      </c>
      <c r="B323" t="s">
        <v>21</v>
      </c>
      <c r="C323" t="s">
        <v>937</v>
      </c>
      <c r="D323" s="4" t="s">
        <v>938</v>
      </c>
      <c r="T323" s="3" t="str">
        <f>HYPERLINK("doors://fe-dorapcm3.de.bosch.com:36679/?version=2&amp;prodID=0&amp;view=00000015&amp;urn=urn:telelogic::1-52394082008461e6-O-7525-00059142","BSW_SWS_AR4_0_R2_DIODriver-7525")</f>
        <v>BSW_SWS_AR4_0_R2_DIODriver-7525</v>
      </c>
    </row>
    <row r="324" spans="1:20" x14ac:dyDescent="0.2">
      <c r="A324" t="s">
        <v>939</v>
      </c>
      <c r="B324" t="s">
        <v>21</v>
      </c>
      <c r="C324" t="s">
        <v>940</v>
      </c>
      <c r="D324" t="s">
        <v>941</v>
      </c>
      <c r="T324" s="3" t="str">
        <f>HYPERLINK("doors://fe-dorapcm3.de.bosch.com:36679/?version=2&amp;prodID=0&amp;view=00000015&amp;urn=urn:telelogic::1-52394082008461e6-O-7527-00059142","BSW_SWS_AR4_0_R2_DIODriver-7527")</f>
        <v>BSW_SWS_AR4_0_R2_DIODriver-7527</v>
      </c>
    </row>
    <row r="325" spans="1:20" x14ac:dyDescent="0.2">
      <c r="A325" t="s">
        <v>942</v>
      </c>
      <c r="B325" t="s">
        <v>21</v>
      </c>
      <c r="C325" t="s">
        <v>943</v>
      </c>
      <c r="D325" t="s">
        <v>944</v>
      </c>
      <c r="T325" s="3" t="str">
        <f>HYPERLINK("doors://fe-dorapcm3.de.bosch.com:36679/?version=2&amp;prodID=0&amp;view=00000015&amp;urn=urn:telelogic::1-52394082008461e6-O-7528-00059142","BSW_SWS_AR4_0_R2_DIODriver-7528")</f>
        <v>BSW_SWS_AR4_0_R2_DIODriver-7528</v>
      </c>
    </row>
    <row r="326" spans="1:20" x14ac:dyDescent="0.2">
      <c r="A326" t="s">
        <v>945</v>
      </c>
      <c r="B326" t="s">
        <v>21</v>
      </c>
      <c r="C326" t="s">
        <v>946</v>
      </c>
      <c r="D326" t="s">
        <v>947</v>
      </c>
      <c r="T326" s="3" t="str">
        <f>HYPERLINK("doors://fe-dorapcm3.de.bosch.com:36679/?version=2&amp;prodID=0&amp;view=00000015&amp;urn=urn:telelogic::1-52394082008461e6-O-7530-00059142","BSW_SWS_AR4_0_R2_DIODriver-7530")</f>
        <v>BSW_SWS_AR4_0_R2_DIODriver-7530</v>
      </c>
    </row>
    <row r="327" spans="1:20" x14ac:dyDescent="0.2">
      <c r="A327" t="s">
        <v>948</v>
      </c>
      <c r="B327" t="s">
        <v>21</v>
      </c>
      <c r="C327" t="s">
        <v>949</v>
      </c>
      <c r="D327" t="s">
        <v>950</v>
      </c>
      <c r="T327" s="3" t="str">
        <f>HYPERLINK("doors://fe-dorapcm3.de.bosch.com:36679/?version=2&amp;prodID=0&amp;view=00000015&amp;urn=urn:telelogic::1-52394082008461e6-O-7531-00059142","BSW_SWS_AR4_0_R2_DIODriver-7531")</f>
        <v>BSW_SWS_AR4_0_R2_DIODriver-7531</v>
      </c>
    </row>
    <row r="328" spans="1:20" x14ac:dyDescent="0.2">
      <c r="A328" t="s">
        <v>951</v>
      </c>
      <c r="B328" t="s">
        <v>21</v>
      </c>
      <c r="C328" t="s">
        <v>952</v>
      </c>
      <c r="D328" t="s">
        <v>953</v>
      </c>
      <c r="T328" s="3" t="str">
        <f>HYPERLINK("doors://fe-dorapcm3.de.bosch.com:36679/?version=2&amp;prodID=0&amp;view=00000015&amp;urn=urn:telelogic::1-52394082008461e6-O-7533-00059142","BSW_SWS_AR4_0_R2_DIODriver-7533")</f>
        <v>BSW_SWS_AR4_0_R2_DIODriver-7533</v>
      </c>
    </row>
    <row r="329" spans="1:20" ht="25.5" x14ac:dyDescent="0.2">
      <c r="A329" t="s">
        <v>954</v>
      </c>
      <c r="B329" t="s">
        <v>21</v>
      </c>
      <c r="C329" t="s">
        <v>955</v>
      </c>
      <c r="D329" s="4" t="s">
        <v>956</v>
      </c>
      <c r="T329" s="3" t="str">
        <f>HYPERLINK("doors://fe-dorapcm3.de.bosch.com:36679/?version=2&amp;prodID=0&amp;view=00000015&amp;urn=urn:telelogic::1-52394082008461e6-O-7534-00059142","BSW_SWS_AR4_0_R2_DIODriver-7534")</f>
        <v>BSW_SWS_AR4_0_R2_DIODriver-7534</v>
      </c>
    </row>
    <row r="330" spans="1:20" x14ac:dyDescent="0.2">
      <c r="A330" t="s">
        <v>957</v>
      </c>
      <c r="B330" t="s">
        <v>21</v>
      </c>
      <c r="C330" t="s">
        <v>958</v>
      </c>
      <c r="D330" t="s">
        <v>959</v>
      </c>
      <c r="T330" s="3" t="str">
        <f>HYPERLINK("doors://fe-dorapcm3.de.bosch.com:36679/?version=2&amp;prodID=0&amp;view=00000015&amp;urn=urn:telelogic::1-52394082008461e6-O-7536-00059142","BSW_SWS_AR4_0_R2_DIODriver-7536")</f>
        <v>BSW_SWS_AR4_0_R2_DIODriver-7536</v>
      </c>
    </row>
    <row r="331" spans="1:20" ht="25.5" x14ac:dyDescent="0.2">
      <c r="A331" t="s">
        <v>960</v>
      </c>
      <c r="B331" t="s">
        <v>21</v>
      </c>
      <c r="C331" t="s">
        <v>961</v>
      </c>
      <c r="D331" s="4" t="s">
        <v>911</v>
      </c>
      <c r="T331" s="3" t="str">
        <f>HYPERLINK("doors://fe-dorapcm3.de.bosch.com:36679/?version=2&amp;prodID=0&amp;view=00000015&amp;urn=urn:telelogic::1-52394082008461e6-O-7537-00059142","BSW_SWS_AR4_0_R2_DIODriver-7537")</f>
        <v>BSW_SWS_AR4_0_R2_DIODriver-7537</v>
      </c>
    </row>
    <row r="332" spans="1:20" x14ac:dyDescent="0.2">
      <c r="A332" t="s">
        <v>962</v>
      </c>
      <c r="B332" t="s">
        <v>21</v>
      </c>
      <c r="C332" t="s">
        <v>963</v>
      </c>
      <c r="D332" t="s">
        <v>964</v>
      </c>
      <c r="T332" s="3" t="str">
        <f>HYPERLINK("doors://fe-dorapcm3.de.bosch.com:36679/?version=2&amp;prodID=0&amp;view=00000015&amp;urn=urn:telelogic::1-52394082008461e6-O-7539-00059142","BSW_SWS_AR4_0_R2_DIODriver-7539")</f>
        <v>BSW_SWS_AR4_0_R2_DIODriver-7539</v>
      </c>
    </row>
    <row r="333" spans="1:20" ht="25.5" x14ac:dyDescent="0.2">
      <c r="A333" t="s">
        <v>965</v>
      </c>
      <c r="B333" t="s">
        <v>21</v>
      </c>
      <c r="C333" t="s">
        <v>966</v>
      </c>
      <c r="D333" s="4" t="s">
        <v>827</v>
      </c>
      <c r="T333" s="3" t="str">
        <f>HYPERLINK("doors://fe-dorapcm3.de.bosch.com:36679/?version=2&amp;prodID=0&amp;view=00000015&amp;urn=urn:telelogic::1-52394082008461e6-O-7540-00059142","BSW_SWS_AR4_0_R2_DIODriver-7540")</f>
        <v>BSW_SWS_AR4_0_R2_DIODriver-7540</v>
      </c>
    </row>
    <row r="334" spans="1:20" x14ac:dyDescent="0.2">
      <c r="A334" t="s">
        <v>967</v>
      </c>
      <c r="B334" t="s">
        <v>21</v>
      </c>
      <c r="C334" t="s">
        <v>968</v>
      </c>
      <c r="D334" t="s">
        <v>969</v>
      </c>
      <c r="T334" s="3" t="str">
        <f>HYPERLINK("doors://fe-dorapcm3.de.bosch.com:36679/?version=2&amp;prodID=0&amp;view=00000015&amp;urn=urn:telelogic::1-52394082008461e6-O-7542-00059142","BSW_SWS_AR4_0_R2_DIODriver-7542")</f>
        <v>BSW_SWS_AR4_0_R2_DIODriver-7542</v>
      </c>
    </row>
    <row r="335" spans="1:20" ht="25.5" x14ac:dyDescent="0.2">
      <c r="A335" t="s">
        <v>970</v>
      </c>
      <c r="B335" t="s">
        <v>21</v>
      </c>
      <c r="C335" t="s">
        <v>971</v>
      </c>
      <c r="D335" s="4" t="s">
        <v>972</v>
      </c>
      <c r="T335" s="3" t="str">
        <f>HYPERLINK("doors://fe-dorapcm3.de.bosch.com:36679/?version=2&amp;prodID=0&amp;view=00000015&amp;urn=urn:telelogic::1-52394082008461e6-O-7543-00059142","BSW_SWS_AR4_0_R2_DIODriver-7543")</f>
        <v>BSW_SWS_AR4_0_R2_DIODriver-7543</v>
      </c>
    </row>
    <row r="336" spans="1:20" x14ac:dyDescent="0.2">
      <c r="A336" t="s">
        <v>973</v>
      </c>
      <c r="B336" t="s">
        <v>21</v>
      </c>
      <c r="C336" t="s">
        <v>974</v>
      </c>
      <c r="D336" t="s">
        <v>975</v>
      </c>
      <c r="T336" s="3" t="str">
        <f>HYPERLINK("doors://fe-dorapcm3.de.bosch.com:36679/?version=2&amp;prodID=0&amp;view=00000015&amp;urn=urn:telelogic::1-52394082008461e6-O-7545-00059142","BSW_SWS_AR4_0_R2_DIODriver-7545")</f>
        <v>BSW_SWS_AR4_0_R2_DIODriver-7545</v>
      </c>
    </row>
    <row r="337" spans="1:20" x14ac:dyDescent="0.2">
      <c r="A337" t="s">
        <v>976</v>
      </c>
      <c r="B337" t="s">
        <v>21</v>
      </c>
      <c r="C337" t="s">
        <v>977</v>
      </c>
      <c r="D337" t="s">
        <v>978</v>
      </c>
      <c r="T337" s="3" t="str">
        <f>HYPERLINK("doors://fe-dorapcm3.de.bosch.com:36679/?version=2&amp;prodID=0&amp;view=00000015&amp;urn=urn:telelogic::1-52394082008461e6-O-7546-00059142","BSW_SWS_AR4_0_R2_DIODriver-7546")</f>
        <v>BSW_SWS_AR4_0_R2_DIODriver-7546</v>
      </c>
    </row>
    <row r="338" spans="1:20" x14ac:dyDescent="0.2">
      <c r="A338" t="s">
        <v>979</v>
      </c>
      <c r="B338" t="s">
        <v>21</v>
      </c>
      <c r="C338" t="s">
        <v>980</v>
      </c>
      <c r="D338" t="s">
        <v>981</v>
      </c>
      <c r="T338" s="3" t="str">
        <f>HYPERLINK("doors://fe-dorapcm3.de.bosch.com:36679/?version=2&amp;prodID=0&amp;view=00000015&amp;urn=urn:telelogic::1-52394082008461e6-O-7548-00059142","BSW_SWS_AR4_0_R2_DIODriver-7548")</f>
        <v>BSW_SWS_AR4_0_R2_DIODriver-7548</v>
      </c>
    </row>
    <row r="339" spans="1:20" x14ac:dyDescent="0.2">
      <c r="A339" t="s">
        <v>982</v>
      </c>
      <c r="B339" t="s">
        <v>21</v>
      </c>
      <c r="C339" t="s">
        <v>983</v>
      </c>
      <c r="D339" t="s">
        <v>984</v>
      </c>
      <c r="T339" s="3" t="str">
        <f>HYPERLINK("doors://fe-dorapcm3.de.bosch.com:36679/?version=2&amp;prodID=0&amp;view=00000015&amp;urn=urn:telelogic::1-52394082008461e6-O-7549-00059142","BSW_SWS_AR4_0_R2_DIODriver-7549")</f>
        <v>BSW_SWS_AR4_0_R2_DIODriver-7549</v>
      </c>
    </row>
    <row r="340" spans="1:20" x14ac:dyDescent="0.2">
      <c r="A340" t="s">
        <v>985</v>
      </c>
      <c r="B340" t="s">
        <v>21</v>
      </c>
      <c r="C340" t="s">
        <v>986</v>
      </c>
      <c r="D340" t="s">
        <v>987</v>
      </c>
      <c r="T340" s="3" t="str">
        <f>HYPERLINK("doors://fe-dorapcm3.de.bosch.com:36679/?version=2&amp;prodID=0&amp;view=00000015&amp;urn=urn:telelogic::1-52394082008461e6-O-7551-00059142","BSW_SWS_AR4_0_R2_DIODriver-7551")</f>
        <v>BSW_SWS_AR4_0_R2_DIODriver-7551</v>
      </c>
    </row>
    <row r="341" spans="1:20" x14ac:dyDescent="0.2">
      <c r="A341" t="s">
        <v>988</v>
      </c>
      <c r="B341" t="s">
        <v>21</v>
      </c>
      <c r="C341" t="s">
        <v>989</v>
      </c>
      <c r="D341" t="s">
        <v>805</v>
      </c>
      <c r="T341" s="3" t="str">
        <f>HYPERLINK("doors://fe-dorapcm3.de.bosch.com:36679/?version=2&amp;prodID=0&amp;view=00000015&amp;urn=urn:telelogic::1-52394082008461e6-O-7552-00059142","BSW_SWS_AR4_0_R2_DIODriver-7552")</f>
        <v>BSW_SWS_AR4_0_R2_DIODriver-7552</v>
      </c>
    </row>
    <row r="342" spans="1:20" x14ac:dyDescent="0.2">
      <c r="A342" t="s">
        <v>990</v>
      </c>
      <c r="B342" t="s">
        <v>21</v>
      </c>
      <c r="C342" t="s">
        <v>991</v>
      </c>
      <c r="D342" t="s">
        <v>992</v>
      </c>
      <c r="T342" s="3" t="str">
        <f>HYPERLINK("doors://fe-dorapcm3.de.bosch.com:36679/?version=2&amp;prodID=0&amp;view=00000015&amp;urn=urn:telelogic::1-52394082008461e6-O-7554-00059142","BSW_SWS_AR4_0_R2_DIODriver-7554")</f>
        <v>BSW_SWS_AR4_0_R2_DIODriver-7554</v>
      </c>
    </row>
    <row r="343" spans="1:20" ht="25.5" x14ac:dyDescent="0.2">
      <c r="A343" t="s">
        <v>993</v>
      </c>
      <c r="B343" t="s">
        <v>21</v>
      </c>
      <c r="C343" t="s">
        <v>994</v>
      </c>
      <c r="D343" s="4" t="s">
        <v>827</v>
      </c>
      <c r="T343" s="3" t="str">
        <f>HYPERLINK("doors://fe-dorapcm3.de.bosch.com:36679/?version=2&amp;prodID=0&amp;view=00000015&amp;urn=urn:telelogic::1-52394082008461e6-O-7555-00059142","BSW_SWS_AR4_0_R2_DIODriver-7555")</f>
        <v>BSW_SWS_AR4_0_R2_DIODriver-7555</v>
      </c>
    </row>
    <row r="344" spans="1:20" x14ac:dyDescent="0.2">
      <c r="A344" t="s">
        <v>995</v>
      </c>
      <c r="B344" t="s">
        <v>21</v>
      </c>
      <c r="C344" t="s">
        <v>996</v>
      </c>
      <c r="D344" t="s">
        <v>997</v>
      </c>
      <c r="T344" s="3" t="str">
        <f>HYPERLINK("doors://fe-dorapcm3.de.bosch.com:36679/?version=2&amp;prodID=0&amp;view=00000015&amp;urn=urn:telelogic::1-52394082008461e6-O-7557-00059142","BSW_SWS_AR4_0_R2_DIODriver-7557")</f>
        <v>BSW_SWS_AR4_0_R2_DIODriver-7557</v>
      </c>
    </row>
    <row r="345" spans="1:20" x14ac:dyDescent="0.2">
      <c r="A345" t="s">
        <v>998</v>
      </c>
      <c r="B345" t="s">
        <v>21</v>
      </c>
      <c r="C345" t="s">
        <v>999</v>
      </c>
      <c r="D345" t="s">
        <v>740</v>
      </c>
      <c r="T345" s="3" t="str">
        <f>HYPERLINK("doors://fe-dorapcm3.de.bosch.com:36679/?version=2&amp;prodID=0&amp;view=00000015&amp;urn=urn:telelogic::1-52394082008461e6-O-7558-00059142","BSW_SWS_AR4_0_R2_DIODriver-7558")</f>
        <v>BSW_SWS_AR4_0_R2_DIODriver-7558</v>
      </c>
    </row>
    <row r="346" spans="1:20" x14ac:dyDescent="0.2">
      <c r="A346" t="s">
        <v>1000</v>
      </c>
      <c r="B346" t="s">
        <v>21</v>
      </c>
      <c r="C346" t="s">
        <v>1001</v>
      </c>
      <c r="D346" t="s">
        <v>1002</v>
      </c>
      <c r="T346" s="3" t="str">
        <f>HYPERLINK("doors://fe-dorapcm3.de.bosch.com:36679/?version=2&amp;prodID=0&amp;view=00000015&amp;urn=urn:telelogic::1-52394082008461e6-O-7560-00059142","BSW_SWS_AR4_0_R2_DIODriver-7560")</f>
        <v>BSW_SWS_AR4_0_R2_DIODriver-7560</v>
      </c>
    </row>
    <row r="347" spans="1:20" x14ac:dyDescent="0.2">
      <c r="A347" t="s">
        <v>1003</v>
      </c>
      <c r="B347" t="s">
        <v>21</v>
      </c>
      <c r="C347" t="s">
        <v>1004</v>
      </c>
      <c r="D347" t="s">
        <v>1005</v>
      </c>
      <c r="T347" s="3" t="str">
        <f>HYPERLINK("doors://fe-dorapcm3.de.bosch.com:36679/?version=2&amp;prodID=0&amp;view=00000015&amp;urn=urn:telelogic::1-52394082008461e6-O-7561-00059142","BSW_SWS_AR4_0_R2_DIODriver-7561")</f>
        <v>BSW_SWS_AR4_0_R2_DIODriver-7561</v>
      </c>
    </row>
    <row r="348" spans="1:20" x14ac:dyDescent="0.2">
      <c r="A348" t="s">
        <v>1006</v>
      </c>
      <c r="B348" t="s">
        <v>21</v>
      </c>
      <c r="C348" t="s">
        <v>1007</v>
      </c>
      <c r="D348" t="s">
        <v>1008</v>
      </c>
      <c r="T348" s="3" t="str">
        <f>HYPERLINK("doors://fe-dorapcm3.de.bosch.com:36679/?version=2&amp;prodID=0&amp;view=00000015&amp;urn=urn:telelogic::1-52394082008461e6-O-7563-00059142","BSW_SWS_AR4_0_R2_DIODriver-7563")</f>
        <v>BSW_SWS_AR4_0_R2_DIODriver-7563</v>
      </c>
    </row>
    <row r="349" spans="1:20" x14ac:dyDescent="0.2">
      <c r="A349" t="s">
        <v>1009</v>
      </c>
      <c r="B349" t="s">
        <v>21</v>
      </c>
      <c r="C349" t="s">
        <v>1010</v>
      </c>
      <c r="D349" t="s">
        <v>740</v>
      </c>
      <c r="T349" s="3" t="str">
        <f>HYPERLINK("doors://fe-dorapcm3.de.bosch.com:36679/?version=2&amp;prodID=0&amp;view=00000015&amp;urn=urn:telelogic::1-52394082008461e6-O-7564-00059142","BSW_SWS_AR4_0_R2_DIODriver-7564")</f>
        <v>BSW_SWS_AR4_0_R2_DIODriver-7564</v>
      </c>
    </row>
    <row r="350" spans="1:20" x14ac:dyDescent="0.2">
      <c r="A350" t="s">
        <v>1011</v>
      </c>
      <c r="B350" t="s">
        <v>21</v>
      </c>
      <c r="C350" t="s">
        <v>1012</v>
      </c>
      <c r="D350" t="s">
        <v>1013</v>
      </c>
      <c r="T350" s="3" t="str">
        <f>HYPERLINK("doors://fe-dorapcm3.de.bosch.com:36679/?version=2&amp;prodID=0&amp;view=00000015&amp;urn=urn:telelogic::1-52394082008461e6-O-7566-00059142","BSW_SWS_AR4_0_R2_DIODriver-7566")</f>
        <v>BSW_SWS_AR4_0_R2_DIODriver-7566</v>
      </c>
    </row>
    <row r="351" spans="1:20" ht="25.5" x14ac:dyDescent="0.2">
      <c r="A351" t="s">
        <v>1014</v>
      </c>
      <c r="B351" t="s">
        <v>21</v>
      </c>
      <c r="C351" t="s">
        <v>1015</v>
      </c>
      <c r="D351" s="4" t="s">
        <v>1016</v>
      </c>
      <c r="T351" s="3" t="str">
        <f>HYPERLINK("doors://fe-dorapcm3.de.bosch.com:36679/?version=2&amp;prodID=0&amp;view=00000015&amp;urn=urn:telelogic::1-52394082008461e6-O-7567-00059142","BSW_SWS_AR4_0_R2_DIODriver-7567")</f>
        <v>BSW_SWS_AR4_0_R2_DIODriver-7567</v>
      </c>
    </row>
    <row r="352" spans="1:20" x14ac:dyDescent="0.2">
      <c r="A352" t="s">
        <v>1017</v>
      </c>
      <c r="B352" t="s">
        <v>21</v>
      </c>
      <c r="C352" t="s">
        <v>1018</v>
      </c>
      <c r="D352" t="s">
        <v>1019</v>
      </c>
      <c r="T352" s="3" t="str">
        <f>HYPERLINK("doors://fe-dorapcm3.de.bosch.com:36679/?version=2&amp;prodID=0&amp;view=00000015&amp;urn=urn:telelogic::1-52394082008461e6-O-7569-00059142","BSW_SWS_AR4_0_R2_DIODriver-7569")</f>
        <v>BSW_SWS_AR4_0_R2_DIODriver-7569</v>
      </c>
    </row>
    <row r="353" spans="1:20" ht="25.5" x14ac:dyDescent="0.2">
      <c r="A353" t="s">
        <v>1020</v>
      </c>
      <c r="B353" t="s">
        <v>21</v>
      </c>
      <c r="C353" t="s">
        <v>1021</v>
      </c>
      <c r="D353" s="4" t="s">
        <v>707</v>
      </c>
      <c r="T353" s="3" t="str">
        <f>HYPERLINK("doors://fe-dorapcm3.de.bosch.com:36679/?version=2&amp;prodID=0&amp;view=00000015&amp;urn=urn:telelogic::1-52394082008461e6-O-7570-00059142","BSW_SWS_AR4_0_R2_DIODriver-7570")</f>
        <v>BSW_SWS_AR4_0_R2_DIODriver-7570</v>
      </c>
    </row>
    <row r="354" spans="1:20" x14ac:dyDescent="0.2">
      <c r="A354" t="s">
        <v>1022</v>
      </c>
      <c r="B354" t="s">
        <v>21</v>
      </c>
      <c r="C354" t="s">
        <v>1023</v>
      </c>
      <c r="D354" t="s">
        <v>1024</v>
      </c>
      <c r="T354" s="3" t="str">
        <f>HYPERLINK("doors://fe-dorapcm3.de.bosch.com:36679/?version=2&amp;prodID=0&amp;view=00000015&amp;urn=urn:telelogic::1-52394082008461e6-O-7572-00059142","BSW_SWS_AR4_0_R2_DIODriver-7572")</f>
        <v>BSW_SWS_AR4_0_R2_DIODriver-7572</v>
      </c>
    </row>
    <row r="355" spans="1:20" x14ac:dyDescent="0.2">
      <c r="A355" t="s">
        <v>1025</v>
      </c>
      <c r="B355" t="s">
        <v>21</v>
      </c>
      <c r="C355" t="s">
        <v>1026</v>
      </c>
      <c r="D355" t="s">
        <v>1027</v>
      </c>
      <c r="T355" s="3" t="str">
        <f>HYPERLINK("doors://fe-dorapcm3.de.bosch.com:36679/?version=2&amp;prodID=0&amp;view=00000015&amp;urn=urn:telelogic::1-52394082008461e6-O-7573-00059142","BSW_SWS_AR4_0_R2_DIODriver-7573")</f>
        <v>BSW_SWS_AR4_0_R2_DIODriver-7573</v>
      </c>
    </row>
    <row r="356" spans="1:20" x14ac:dyDescent="0.2">
      <c r="A356" t="s">
        <v>1028</v>
      </c>
      <c r="B356" t="s">
        <v>21</v>
      </c>
      <c r="C356" t="s">
        <v>1029</v>
      </c>
      <c r="D356" t="s">
        <v>1030</v>
      </c>
      <c r="T356" s="3" t="str">
        <f>HYPERLINK("doors://fe-dorapcm3.de.bosch.com:36679/?version=2&amp;prodID=0&amp;view=00000015&amp;urn=urn:telelogic::1-52394082008461e6-O-7575-00059142","BSW_SWS_AR4_0_R2_DIODriver-7575")</f>
        <v>BSW_SWS_AR4_0_R2_DIODriver-7575</v>
      </c>
    </row>
    <row r="357" spans="1:20" ht="25.5" x14ac:dyDescent="0.2">
      <c r="A357" t="s">
        <v>1031</v>
      </c>
      <c r="B357" t="s">
        <v>21</v>
      </c>
      <c r="C357" t="s">
        <v>1032</v>
      </c>
      <c r="D357" s="4" t="s">
        <v>1033</v>
      </c>
      <c r="T357" s="3" t="str">
        <f>HYPERLINK("doors://fe-dorapcm3.de.bosch.com:36679/?version=2&amp;prodID=0&amp;view=00000015&amp;urn=urn:telelogic::1-52394082008461e6-O-7576-00059142","BSW_SWS_AR4_0_R2_DIODriver-7576")</f>
        <v>BSW_SWS_AR4_0_R2_DIODriver-7576</v>
      </c>
    </row>
    <row r="358" spans="1:20" x14ac:dyDescent="0.2">
      <c r="A358" t="s">
        <v>1034</v>
      </c>
      <c r="B358" t="s">
        <v>21</v>
      </c>
      <c r="C358" t="s">
        <v>1035</v>
      </c>
      <c r="D358" t="s">
        <v>1036</v>
      </c>
      <c r="T358" s="3" t="str">
        <f>HYPERLINK("doors://fe-dorapcm3.de.bosch.com:36679/?version=2&amp;prodID=0&amp;view=00000015&amp;urn=urn:telelogic::1-52394082008461e6-O-7578-00059142","BSW_SWS_AR4_0_R2_DIODriver-7578")</f>
        <v>BSW_SWS_AR4_0_R2_DIODriver-7578</v>
      </c>
    </row>
    <row r="359" spans="1:20" ht="25.5" x14ac:dyDescent="0.2">
      <c r="A359" t="s">
        <v>1037</v>
      </c>
      <c r="B359" t="s">
        <v>21</v>
      </c>
      <c r="C359" t="s">
        <v>1038</v>
      </c>
      <c r="D359" s="4" t="s">
        <v>1033</v>
      </c>
      <c r="T359" s="3" t="str">
        <f>HYPERLINK("doors://fe-dorapcm3.de.bosch.com:36679/?version=2&amp;prodID=0&amp;view=00000015&amp;urn=urn:telelogic::1-52394082008461e6-O-7579-00059142","BSW_SWS_AR4_0_R2_DIODriver-7579")</f>
        <v>BSW_SWS_AR4_0_R2_DIODriver-7579</v>
      </c>
    </row>
    <row r="360" spans="1:20" x14ac:dyDescent="0.2">
      <c r="A360" t="s">
        <v>1039</v>
      </c>
      <c r="B360" t="s">
        <v>21</v>
      </c>
      <c r="C360" t="s">
        <v>1040</v>
      </c>
      <c r="D360" t="s">
        <v>1041</v>
      </c>
      <c r="T360" s="3" t="str">
        <f>HYPERLINK("doors://fe-dorapcm3.de.bosch.com:36679/?version=2&amp;prodID=0&amp;view=00000015&amp;urn=urn:telelogic::1-52394082008461e6-O-7581-00059142","BSW_SWS_AR4_0_R2_DIODriver-7581")</f>
        <v>BSW_SWS_AR4_0_R2_DIODriver-7581</v>
      </c>
    </row>
    <row r="361" spans="1:20" x14ac:dyDescent="0.2">
      <c r="A361" t="s">
        <v>1042</v>
      </c>
      <c r="B361" t="s">
        <v>21</v>
      </c>
      <c r="C361" t="s">
        <v>1043</v>
      </c>
      <c r="D361" t="s">
        <v>740</v>
      </c>
      <c r="T361" s="3" t="str">
        <f>HYPERLINK("doors://fe-dorapcm3.de.bosch.com:36679/?version=2&amp;prodID=0&amp;view=00000015&amp;urn=urn:telelogic::1-52394082008461e6-O-7582-00059142","BSW_SWS_AR4_0_R2_DIODriver-7582")</f>
        <v>BSW_SWS_AR4_0_R2_DIODriver-7582</v>
      </c>
    </row>
    <row r="362" spans="1:20" x14ac:dyDescent="0.2">
      <c r="A362" t="s">
        <v>1044</v>
      </c>
      <c r="B362" t="s">
        <v>21</v>
      </c>
      <c r="C362" t="s">
        <v>1045</v>
      </c>
      <c r="D362" t="s">
        <v>1046</v>
      </c>
      <c r="T362" s="3" t="str">
        <f>HYPERLINK("doors://fe-dorapcm3.de.bosch.com:36679/?version=2&amp;prodID=0&amp;view=00000015&amp;urn=urn:telelogic::1-52394082008461e6-O-7584-00059142","BSW_SWS_AR4_0_R2_DIODriver-7584")</f>
        <v>BSW_SWS_AR4_0_R2_DIODriver-7584</v>
      </c>
    </row>
    <row r="363" spans="1:20" ht="25.5" x14ac:dyDescent="0.2">
      <c r="A363" t="s">
        <v>1047</v>
      </c>
      <c r="B363" t="s">
        <v>21</v>
      </c>
      <c r="C363" t="s">
        <v>1048</v>
      </c>
      <c r="D363" s="4" t="s">
        <v>707</v>
      </c>
      <c r="T363" s="3" t="str">
        <f>HYPERLINK("doors://fe-dorapcm3.de.bosch.com:36679/?version=2&amp;prodID=0&amp;view=00000015&amp;urn=urn:telelogic::1-52394082008461e6-O-7585-00059142","BSW_SWS_AR4_0_R2_DIODriver-7585")</f>
        <v>BSW_SWS_AR4_0_R2_DIODriver-7585</v>
      </c>
    </row>
    <row r="364" spans="1:20" x14ac:dyDescent="0.2">
      <c r="A364" t="s">
        <v>1049</v>
      </c>
      <c r="B364" t="s">
        <v>21</v>
      </c>
      <c r="C364" t="s">
        <v>1050</v>
      </c>
      <c r="D364" t="s">
        <v>1051</v>
      </c>
      <c r="T364" s="3" t="str">
        <f>HYPERLINK("doors://fe-dorapcm3.de.bosch.com:36679/?version=2&amp;prodID=0&amp;view=00000015&amp;urn=urn:telelogic::1-52394082008461e6-O-7587-00059142","BSW_SWS_AR4_0_R2_DIODriver-7587")</f>
        <v>BSW_SWS_AR4_0_R2_DIODriver-7587</v>
      </c>
    </row>
    <row r="365" spans="1:20" ht="25.5" x14ac:dyDescent="0.2">
      <c r="A365" t="s">
        <v>1052</v>
      </c>
      <c r="B365" t="s">
        <v>21</v>
      </c>
      <c r="C365" t="s">
        <v>1053</v>
      </c>
      <c r="D365" s="4" t="s">
        <v>1033</v>
      </c>
      <c r="T365" s="3" t="str">
        <f>HYPERLINK("doors://fe-dorapcm3.de.bosch.com:36679/?version=2&amp;prodID=0&amp;view=00000015&amp;urn=urn:telelogic::1-52394082008461e6-O-7588-00059142","BSW_SWS_AR4_0_R2_DIODriver-7588")</f>
        <v>BSW_SWS_AR4_0_R2_DIODriver-7588</v>
      </c>
    </row>
    <row r="366" spans="1:20" x14ac:dyDescent="0.2">
      <c r="A366" t="s">
        <v>1054</v>
      </c>
      <c r="B366" t="s">
        <v>21</v>
      </c>
      <c r="C366" t="s">
        <v>1055</v>
      </c>
      <c r="D366" t="s">
        <v>1056</v>
      </c>
      <c r="T366" s="3" t="str">
        <f>HYPERLINK("doors://fe-dorapcm3.de.bosch.com:36679/?version=2&amp;prodID=0&amp;view=00000015&amp;urn=urn:telelogic::1-52394082008461e6-O-7590-00059142","BSW_SWS_AR4_0_R2_DIODriver-7590")</f>
        <v>BSW_SWS_AR4_0_R2_DIODriver-7590</v>
      </c>
    </row>
    <row r="367" spans="1:20" ht="25.5" x14ac:dyDescent="0.2">
      <c r="A367" t="s">
        <v>1057</v>
      </c>
      <c r="B367" t="s">
        <v>21</v>
      </c>
      <c r="C367" t="s">
        <v>1058</v>
      </c>
      <c r="D367" s="4" t="s">
        <v>1059</v>
      </c>
      <c r="T367" s="3" t="str">
        <f>HYPERLINK("doors://fe-dorapcm3.de.bosch.com:36679/?version=2&amp;prodID=0&amp;view=00000015&amp;urn=urn:telelogic::1-52394082008461e6-O-7591-00059142","BSW_SWS_AR4_0_R2_DIODriver-7591")</f>
        <v>BSW_SWS_AR4_0_R2_DIODriver-7591</v>
      </c>
    </row>
    <row r="368" spans="1:20" x14ac:dyDescent="0.2">
      <c r="A368" t="s">
        <v>1060</v>
      </c>
      <c r="B368" t="s">
        <v>21</v>
      </c>
      <c r="C368" t="s">
        <v>1061</v>
      </c>
      <c r="D368" t="s">
        <v>1062</v>
      </c>
      <c r="T368" s="3" t="str">
        <f>HYPERLINK("doors://fe-dorapcm3.de.bosch.com:36679/?version=2&amp;prodID=0&amp;view=00000015&amp;urn=urn:telelogic::1-52394082008461e6-O-7593-00059142","BSW_SWS_AR4_0_R2_DIODriver-7593")</f>
        <v>BSW_SWS_AR4_0_R2_DIODriver-7593</v>
      </c>
    </row>
    <row r="369" spans="1:20" ht="25.5" x14ac:dyDescent="0.2">
      <c r="A369" t="s">
        <v>1063</v>
      </c>
      <c r="B369" t="s">
        <v>21</v>
      </c>
      <c r="C369" t="s">
        <v>1064</v>
      </c>
      <c r="D369" s="4" t="s">
        <v>1065</v>
      </c>
      <c r="T369" s="3" t="str">
        <f>HYPERLINK("doors://fe-dorapcm3.de.bosch.com:36679/?version=2&amp;prodID=0&amp;view=00000015&amp;urn=urn:telelogic::1-52394082008461e6-O-7594-00059142","BSW_SWS_AR4_0_R2_DIODriver-7594")</f>
        <v>BSW_SWS_AR4_0_R2_DIODriver-7594</v>
      </c>
    </row>
    <row r="370" spans="1:20" x14ac:dyDescent="0.2">
      <c r="A370" t="s">
        <v>1066</v>
      </c>
      <c r="B370" t="s">
        <v>21</v>
      </c>
      <c r="C370" t="s">
        <v>1067</v>
      </c>
      <c r="D370" t="s">
        <v>1068</v>
      </c>
      <c r="T370" s="3" t="str">
        <f>HYPERLINK("doors://fe-dorapcm3.de.bosch.com:36679/?version=2&amp;prodID=0&amp;view=00000015&amp;urn=urn:telelogic::1-52394082008461e6-O-7596-00059142","BSW_SWS_AR4_0_R2_DIODriver-7596")</f>
        <v>BSW_SWS_AR4_0_R2_DIODriver-7596</v>
      </c>
    </row>
    <row r="371" spans="1:20" x14ac:dyDescent="0.2">
      <c r="A371" t="s">
        <v>1069</v>
      </c>
      <c r="B371" t="s">
        <v>21</v>
      </c>
      <c r="C371" t="s">
        <v>1070</v>
      </c>
      <c r="D371" t="s">
        <v>689</v>
      </c>
      <c r="T371" s="3" t="str">
        <f>HYPERLINK("doors://fe-dorapcm3.de.bosch.com:36679/?version=2&amp;prodID=0&amp;view=00000015&amp;urn=urn:telelogic::1-52394082008461e6-O-7597-00059142","BSW_SWS_AR4_0_R2_DIODriver-7597")</f>
        <v>BSW_SWS_AR4_0_R2_DIODriver-7597</v>
      </c>
    </row>
    <row r="372" spans="1:20" x14ac:dyDescent="0.2">
      <c r="A372" t="s">
        <v>1071</v>
      </c>
      <c r="B372" t="s">
        <v>21</v>
      </c>
      <c r="C372" t="s">
        <v>1072</v>
      </c>
      <c r="D372" t="s">
        <v>1073</v>
      </c>
      <c r="T372" s="3" t="str">
        <f>HYPERLINK("doors://fe-dorapcm3.de.bosch.com:36679/?version=2&amp;prodID=0&amp;view=00000015&amp;urn=urn:telelogic::1-52394082008461e6-O-7599-00059142","BSW_SWS_AR4_0_R2_DIODriver-7599")</f>
        <v>BSW_SWS_AR4_0_R2_DIODriver-7599</v>
      </c>
    </row>
    <row r="373" spans="1:20" ht="25.5" x14ac:dyDescent="0.2">
      <c r="A373" t="s">
        <v>1074</v>
      </c>
      <c r="B373" t="s">
        <v>21</v>
      </c>
      <c r="C373" t="s">
        <v>1075</v>
      </c>
      <c r="D373" s="4" t="s">
        <v>1076</v>
      </c>
      <c r="T373" s="3" t="str">
        <f>HYPERLINK("doors://fe-dorapcm3.de.bosch.com:36679/?version=2&amp;prodID=0&amp;view=00000015&amp;urn=urn:telelogic::1-52394082008461e6-O-7600-00059142","BSW_SWS_AR4_0_R2_DIODriver-7600")</f>
        <v>BSW_SWS_AR4_0_R2_DIODriver-7600</v>
      </c>
    </row>
    <row r="374" spans="1:20" x14ac:dyDescent="0.2">
      <c r="A374" t="s">
        <v>1077</v>
      </c>
      <c r="B374" t="s">
        <v>21</v>
      </c>
      <c r="C374" t="s">
        <v>1078</v>
      </c>
      <c r="D374" t="s">
        <v>1079</v>
      </c>
      <c r="T374" s="3" t="str">
        <f>HYPERLINK("doors://fe-dorapcm3.de.bosch.com:36679/?version=2&amp;prodID=0&amp;view=00000015&amp;urn=urn:telelogic::1-52394082008461e6-O-7602-00059142","BSW_SWS_AR4_0_R2_DIODriver-7602")</f>
        <v>BSW_SWS_AR4_0_R2_DIODriver-7602</v>
      </c>
    </row>
    <row r="375" spans="1:20" ht="25.5" x14ac:dyDescent="0.2">
      <c r="A375" t="s">
        <v>1080</v>
      </c>
      <c r="B375" t="s">
        <v>21</v>
      </c>
      <c r="C375" t="s">
        <v>1081</v>
      </c>
      <c r="D375" s="4" t="s">
        <v>1065</v>
      </c>
      <c r="T375" s="3" t="str">
        <f>HYPERLINK("doors://fe-dorapcm3.de.bosch.com:36679/?version=2&amp;prodID=0&amp;view=00000015&amp;urn=urn:telelogic::1-52394082008461e6-O-7603-00059142","BSW_SWS_AR4_0_R2_DIODriver-7603")</f>
        <v>BSW_SWS_AR4_0_R2_DIODriver-7603</v>
      </c>
    </row>
    <row r="376" spans="1:20" x14ac:dyDescent="0.2">
      <c r="A376" t="s">
        <v>1082</v>
      </c>
      <c r="B376" t="s">
        <v>21</v>
      </c>
      <c r="C376" t="s">
        <v>1083</v>
      </c>
      <c r="D376" t="s">
        <v>1084</v>
      </c>
      <c r="T376" s="3" t="str">
        <f>HYPERLINK("doors://fe-dorapcm3.de.bosch.com:36679/?version=2&amp;prodID=0&amp;view=00000015&amp;urn=urn:telelogic::1-52394082008461e6-O-7605-00059142","BSW_SWS_AR4_0_R2_DIODriver-7605")</f>
        <v>BSW_SWS_AR4_0_R2_DIODriver-7605</v>
      </c>
    </row>
    <row r="377" spans="1:20" ht="25.5" x14ac:dyDescent="0.2">
      <c r="A377" t="s">
        <v>1085</v>
      </c>
      <c r="B377" t="s">
        <v>21</v>
      </c>
      <c r="C377" t="s">
        <v>1086</v>
      </c>
      <c r="D377" s="4" t="s">
        <v>707</v>
      </c>
      <c r="T377" s="3" t="str">
        <f>HYPERLINK("doors://fe-dorapcm3.de.bosch.com:36679/?version=2&amp;prodID=0&amp;view=00000015&amp;urn=urn:telelogic::1-52394082008461e6-O-7606-00059142","BSW_SWS_AR4_0_R2_DIODriver-7606")</f>
        <v>BSW_SWS_AR4_0_R2_DIODriver-7606</v>
      </c>
    </row>
    <row r="378" spans="1:20" x14ac:dyDescent="0.2">
      <c r="A378" t="s">
        <v>1087</v>
      </c>
      <c r="B378" t="s">
        <v>21</v>
      </c>
      <c r="C378" t="s">
        <v>1088</v>
      </c>
      <c r="D378" t="s">
        <v>1089</v>
      </c>
      <c r="T378" s="3" t="str">
        <f>HYPERLINK("doors://fe-dorapcm3.de.bosch.com:36679/?version=2&amp;prodID=0&amp;view=00000015&amp;urn=urn:telelogic::1-52394082008461e6-O-7608-00059142","BSW_SWS_AR4_0_R2_DIODriver-7608")</f>
        <v>BSW_SWS_AR4_0_R2_DIODriver-7608</v>
      </c>
    </row>
    <row r="379" spans="1:20" ht="25.5" x14ac:dyDescent="0.2">
      <c r="A379" t="s">
        <v>1090</v>
      </c>
      <c r="B379" t="s">
        <v>21</v>
      </c>
      <c r="C379" t="s">
        <v>1091</v>
      </c>
      <c r="D379" s="4" t="s">
        <v>707</v>
      </c>
      <c r="T379" s="3" t="str">
        <f>HYPERLINK("doors://fe-dorapcm3.de.bosch.com:36679/?version=2&amp;prodID=0&amp;view=00000015&amp;urn=urn:telelogic::1-52394082008461e6-O-7609-00059142","BSW_SWS_AR4_0_R2_DIODriver-7609")</f>
        <v>BSW_SWS_AR4_0_R2_DIODriver-7609</v>
      </c>
    </row>
    <row r="380" spans="1:20" x14ac:dyDescent="0.2">
      <c r="A380" t="s">
        <v>1092</v>
      </c>
      <c r="B380" t="s">
        <v>21</v>
      </c>
      <c r="C380" t="s">
        <v>1093</v>
      </c>
      <c r="D380" t="s">
        <v>1094</v>
      </c>
      <c r="T380" s="3" t="str">
        <f>HYPERLINK("doors://fe-dorapcm3.de.bosch.com:36679/?version=2&amp;prodID=0&amp;view=00000015&amp;urn=urn:telelogic::1-52394082008461e6-O-7611-00059142","BSW_SWS_AR4_0_R2_DIODriver-7611")</f>
        <v>BSW_SWS_AR4_0_R2_DIODriver-7611</v>
      </c>
    </row>
    <row r="381" spans="1:20" x14ac:dyDescent="0.2">
      <c r="A381" t="s">
        <v>1095</v>
      </c>
      <c r="B381" t="s">
        <v>21</v>
      </c>
      <c r="C381" t="s">
        <v>1096</v>
      </c>
      <c r="D381" t="s">
        <v>689</v>
      </c>
      <c r="T381" s="3" t="str">
        <f>HYPERLINK("doors://fe-dorapcm3.de.bosch.com:36679/?version=2&amp;prodID=0&amp;view=00000015&amp;urn=urn:telelogic::1-52394082008461e6-O-7612-00059142","BSW_SWS_AR4_0_R2_DIODriver-7612")</f>
        <v>BSW_SWS_AR4_0_R2_DIODriver-7612</v>
      </c>
    </row>
    <row r="382" spans="1:20" x14ac:dyDescent="0.2">
      <c r="A382" t="s">
        <v>1097</v>
      </c>
      <c r="B382" t="s">
        <v>21</v>
      </c>
      <c r="C382" t="s">
        <v>1098</v>
      </c>
      <c r="D382" t="s">
        <v>1099</v>
      </c>
      <c r="T382" s="3" t="str">
        <f>HYPERLINK("doors://fe-dorapcm3.de.bosch.com:36679/?version=2&amp;prodID=0&amp;view=00000015&amp;urn=urn:telelogic::1-52394082008461e6-O-7614-00059142","BSW_SWS_AR4_0_R2_DIODriver-7614")</f>
        <v>BSW_SWS_AR4_0_R2_DIODriver-7614</v>
      </c>
    </row>
    <row r="383" spans="1:20" x14ac:dyDescent="0.2">
      <c r="A383" t="s">
        <v>1100</v>
      </c>
      <c r="B383" t="s">
        <v>21</v>
      </c>
      <c r="C383" t="s">
        <v>1101</v>
      </c>
      <c r="D383" t="s">
        <v>1102</v>
      </c>
      <c r="T383" s="3" t="str">
        <f>HYPERLINK("doors://fe-dorapcm3.de.bosch.com:36679/?version=2&amp;prodID=0&amp;view=00000015&amp;urn=urn:telelogic::1-52394082008461e6-O-7615-00059142","BSW_SWS_AR4_0_R2_DIODriver-7615")</f>
        <v>BSW_SWS_AR4_0_R2_DIODriver-7615</v>
      </c>
    </row>
    <row r="384" spans="1:20" x14ac:dyDescent="0.2">
      <c r="A384" t="s">
        <v>1103</v>
      </c>
      <c r="B384" t="s">
        <v>21</v>
      </c>
      <c r="C384" t="s">
        <v>1104</v>
      </c>
      <c r="D384" t="s">
        <v>1105</v>
      </c>
      <c r="T384" s="3" t="str">
        <f>HYPERLINK("doors://fe-dorapcm3.de.bosch.com:36679/?version=2&amp;prodID=0&amp;view=00000015&amp;urn=urn:telelogic::1-52394082008461e6-O-7617-00059142","BSW_SWS_AR4_0_R2_DIODriver-7617")</f>
        <v>BSW_SWS_AR4_0_R2_DIODriver-7617</v>
      </c>
    </row>
    <row r="385" spans="1:20" x14ac:dyDescent="0.2">
      <c r="A385" t="s">
        <v>1106</v>
      </c>
      <c r="B385" t="s">
        <v>21</v>
      </c>
      <c r="C385" t="s">
        <v>1107</v>
      </c>
      <c r="D385" t="s">
        <v>1102</v>
      </c>
      <c r="T385" s="3" t="str">
        <f>HYPERLINK("doors://fe-dorapcm3.de.bosch.com:36679/?version=2&amp;prodID=0&amp;view=00000015&amp;urn=urn:telelogic::1-52394082008461e6-O-7618-00059142","BSW_SWS_AR4_0_R2_DIODriver-7618")</f>
        <v>BSW_SWS_AR4_0_R2_DIODriver-7618</v>
      </c>
    </row>
    <row r="386" spans="1:20" x14ac:dyDescent="0.2">
      <c r="A386" t="s">
        <v>1108</v>
      </c>
      <c r="B386" t="s">
        <v>21</v>
      </c>
      <c r="C386" t="s">
        <v>1109</v>
      </c>
      <c r="D386" t="s">
        <v>1110</v>
      </c>
      <c r="T386" s="3" t="str">
        <f>HYPERLINK("doors://fe-dorapcm3.de.bosch.com:36679/?version=2&amp;prodID=0&amp;view=00000015&amp;urn=urn:telelogic::1-52394082008461e6-O-7620-00059142","BSW_SWS_AR4_0_R2_DIODriver-7620")</f>
        <v>BSW_SWS_AR4_0_R2_DIODriver-7620</v>
      </c>
    </row>
    <row r="387" spans="1:20" ht="25.5" x14ac:dyDescent="0.2">
      <c r="A387" t="s">
        <v>1111</v>
      </c>
      <c r="B387" t="s">
        <v>21</v>
      </c>
      <c r="C387" t="s">
        <v>1112</v>
      </c>
      <c r="D387" s="4" t="s">
        <v>707</v>
      </c>
      <c r="T387" s="3" t="str">
        <f>HYPERLINK("doors://fe-dorapcm3.de.bosch.com:36679/?version=2&amp;prodID=0&amp;view=00000015&amp;urn=urn:telelogic::1-52394082008461e6-O-7621-00059142","BSW_SWS_AR4_0_R2_DIODriver-7621")</f>
        <v>BSW_SWS_AR4_0_R2_DIODriver-7621</v>
      </c>
    </row>
    <row r="388" spans="1:20" x14ac:dyDescent="0.2">
      <c r="A388" t="s">
        <v>1113</v>
      </c>
      <c r="B388" t="s">
        <v>21</v>
      </c>
      <c r="C388" t="s">
        <v>1114</v>
      </c>
      <c r="D388" t="s">
        <v>1115</v>
      </c>
      <c r="T388" s="3" t="str">
        <f>HYPERLINK("doors://fe-dorapcm3.de.bosch.com:36679/?version=2&amp;prodID=0&amp;view=00000015&amp;urn=urn:telelogic::1-52394082008461e6-O-7623-00059142","BSW_SWS_AR4_0_R2_DIODriver-7623")</f>
        <v>BSW_SWS_AR4_0_R2_DIODriver-7623</v>
      </c>
    </row>
    <row r="389" spans="1:20" x14ac:dyDescent="0.2">
      <c r="A389" t="s">
        <v>1116</v>
      </c>
      <c r="B389" t="s">
        <v>21</v>
      </c>
      <c r="C389" t="s">
        <v>1117</v>
      </c>
      <c r="D389" t="s">
        <v>689</v>
      </c>
      <c r="T389" s="3" t="str">
        <f>HYPERLINK("doors://fe-dorapcm3.de.bosch.com:36679/?version=2&amp;prodID=0&amp;view=00000015&amp;urn=urn:telelogic::1-52394082008461e6-O-7624-00059142","BSW_SWS_AR4_0_R2_DIODriver-7624")</f>
        <v>BSW_SWS_AR4_0_R2_DIODriver-7624</v>
      </c>
    </row>
    <row r="390" spans="1:20" x14ac:dyDescent="0.2">
      <c r="A390" t="s">
        <v>1118</v>
      </c>
      <c r="B390" t="s">
        <v>21</v>
      </c>
      <c r="C390" t="s">
        <v>1119</v>
      </c>
      <c r="D390" t="s">
        <v>1120</v>
      </c>
      <c r="T390" s="3" t="str">
        <f>HYPERLINK("doors://fe-dorapcm3.de.bosch.com:36679/?version=2&amp;prodID=0&amp;view=00000015&amp;urn=urn:telelogic::1-52394082008461e6-O-7626-00059142","BSW_SWS_AR4_0_R2_DIODriver-7626")</f>
        <v>BSW_SWS_AR4_0_R2_DIODriver-7626</v>
      </c>
    </row>
    <row r="391" spans="1:20" ht="25.5" x14ac:dyDescent="0.2">
      <c r="A391" t="s">
        <v>1121</v>
      </c>
      <c r="B391" t="s">
        <v>21</v>
      </c>
      <c r="C391" t="s">
        <v>1122</v>
      </c>
      <c r="D391" s="4" t="s">
        <v>707</v>
      </c>
      <c r="T391" s="3" t="str">
        <f>HYPERLINK("doors://fe-dorapcm3.de.bosch.com:36679/?version=2&amp;prodID=0&amp;view=00000015&amp;urn=urn:telelogic::1-52394082008461e6-O-7627-00059142","BSW_SWS_AR4_0_R2_DIODriver-7627")</f>
        <v>BSW_SWS_AR4_0_R2_DIODriver-7627</v>
      </c>
    </row>
    <row r="392" spans="1:20" x14ac:dyDescent="0.2">
      <c r="A392" t="s">
        <v>1123</v>
      </c>
      <c r="B392" t="s">
        <v>21</v>
      </c>
      <c r="C392" t="s">
        <v>1124</v>
      </c>
      <c r="D392" t="s">
        <v>1125</v>
      </c>
      <c r="T392" s="3" t="str">
        <f>HYPERLINK("doors://fe-dorapcm3.de.bosch.com:36679/?version=2&amp;prodID=0&amp;view=00000015&amp;urn=urn:telelogic::1-52394082008461e6-O-7629-00059142","BSW_SWS_AR4_0_R2_DIODriver-7629")</f>
        <v>BSW_SWS_AR4_0_R2_DIODriver-7629</v>
      </c>
    </row>
    <row r="393" spans="1:20" x14ac:dyDescent="0.2">
      <c r="A393" t="s">
        <v>1126</v>
      </c>
      <c r="B393" t="s">
        <v>21</v>
      </c>
      <c r="C393" t="s">
        <v>1127</v>
      </c>
      <c r="D393" t="s">
        <v>1128</v>
      </c>
      <c r="T393" s="3" t="str">
        <f>HYPERLINK("doors://fe-dorapcm3.de.bosch.com:36679/?version=2&amp;prodID=0&amp;view=00000015&amp;urn=urn:telelogic::1-52394082008461e6-O-7630-00059142","BSW_SWS_AR4_0_R2_DIODriver-7630")</f>
        <v>BSW_SWS_AR4_0_R2_DIODriver-7630</v>
      </c>
    </row>
    <row r="394" spans="1:20" x14ac:dyDescent="0.2">
      <c r="A394" t="s">
        <v>1129</v>
      </c>
      <c r="B394" t="s">
        <v>21</v>
      </c>
      <c r="C394" t="s">
        <v>1130</v>
      </c>
      <c r="D394" t="s">
        <v>1131</v>
      </c>
      <c r="T394" s="3" t="str">
        <f>HYPERLINK("doors://fe-dorapcm3.de.bosch.com:36679/?version=2&amp;prodID=0&amp;view=00000015&amp;urn=urn:telelogic::1-52394082008461e6-O-7632-00059142","BSW_SWS_AR4_0_R2_DIODriver-7632")</f>
        <v>BSW_SWS_AR4_0_R2_DIODriver-7632</v>
      </c>
    </row>
    <row r="395" spans="1:20" x14ac:dyDescent="0.2">
      <c r="A395" t="s">
        <v>1132</v>
      </c>
      <c r="B395" t="s">
        <v>21</v>
      </c>
      <c r="C395" t="s">
        <v>1133</v>
      </c>
      <c r="D395" t="s">
        <v>1134</v>
      </c>
      <c r="T395" s="3" t="str">
        <f>HYPERLINK("doors://fe-dorapcm3.de.bosch.com:36679/?version=2&amp;prodID=0&amp;view=00000015&amp;urn=urn:telelogic::1-52394082008461e6-O-7633-00059142","BSW_SWS_AR4_0_R2_DIODriver-7633")</f>
        <v>BSW_SWS_AR4_0_R2_DIODriver-7633</v>
      </c>
    </row>
    <row r="396" spans="1:20" x14ac:dyDescent="0.2">
      <c r="A396" t="s">
        <v>1135</v>
      </c>
      <c r="B396" t="s">
        <v>21</v>
      </c>
      <c r="C396" t="s">
        <v>1136</v>
      </c>
      <c r="D396" t="s">
        <v>1137</v>
      </c>
      <c r="T396" s="3" t="str">
        <f>HYPERLINK("doors://fe-dorapcm3.de.bosch.com:36679/?version=2&amp;prodID=0&amp;view=00000015&amp;urn=urn:telelogic::1-52394082008461e6-O-7635-00059142","BSW_SWS_AR4_0_R2_DIODriver-7635")</f>
        <v>BSW_SWS_AR4_0_R2_DIODriver-7635</v>
      </c>
    </row>
    <row r="397" spans="1:20" ht="25.5" x14ac:dyDescent="0.2">
      <c r="A397" t="s">
        <v>1138</v>
      </c>
      <c r="B397" t="s">
        <v>21</v>
      </c>
      <c r="C397" t="s">
        <v>1139</v>
      </c>
      <c r="D397" s="4" t="s">
        <v>1140</v>
      </c>
      <c r="T397" s="3" t="str">
        <f>HYPERLINK("doors://fe-dorapcm3.de.bosch.com:36679/?version=2&amp;prodID=0&amp;view=00000015&amp;urn=urn:telelogic::1-52394082008461e6-O-7636-00059142","BSW_SWS_AR4_0_R2_DIODriver-7636")</f>
        <v>BSW_SWS_AR4_0_R2_DIODriver-7636</v>
      </c>
    </row>
    <row r="398" spans="1:20" x14ac:dyDescent="0.2">
      <c r="A398" t="s">
        <v>1141</v>
      </c>
      <c r="B398" t="s">
        <v>21</v>
      </c>
      <c r="C398" t="s">
        <v>1142</v>
      </c>
      <c r="D398" t="s">
        <v>1143</v>
      </c>
      <c r="T398" s="3" t="str">
        <f>HYPERLINK("doors://fe-dorapcm3.de.bosch.com:36679/?version=2&amp;prodID=0&amp;view=00000015&amp;urn=urn:telelogic::1-52394082008461e6-O-7638-00059142","BSW_SWS_AR4_0_R2_DIODriver-7638")</f>
        <v>BSW_SWS_AR4_0_R2_DIODriver-7638</v>
      </c>
    </row>
    <row r="399" spans="1:20" x14ac:dyDescent="0.2">
      <c r="A399" t="s">
        <v>1144</v>
      </c>
      <c r="B399" t="s">
        <v>21</v>
      </c>
      <c r="C399" t="s">
        <v>1145</v>
      </c>
      <c r="D399" t="s">
        <v>1146</v>
      </c>
      <c r="T399" s="3" t="str">
        <f>HYPERLINK("doors://fe-dorapcm3.de.bosch.com:36679/?version=2&amp;prodID=0&amp;view=00000015&amp;urn=urn:telelogic::1-52394082008461e6-O-7639-00059142","BSW_SWS_AR4_0_R2_DIODriver-7639")</f>
        <v>BSW_SWS_AR4_0_R2_DIODriver-7639</v>
      </c>
    </row>
    <row r="400" spans="1:20" x14ac:dyDescent="0.2">
      <c r="A400" t="s">
        <v>1147</v>
      </c>
      <c r="B400" t="s">
        <v>21</v>
      </c>
      <c r="C400" t="s">
        <v>1148</v>
      </c>
      <c r="D400" t="s">
        <v>1149</v>
      </c>
      <c r="T400" s="3" t="str">
        <f>HYPERLINK("doors://fe-dorapcm3.de.bosch.com:36679/?version=2&amp;prodID=0&amp;view=00000015&amp;urn=urn:telelogic::1-52394082008461e6-O-7641-00059142","BSW_SWS_AR4_0_R2_DIODriver-7641")</f>
        <v>BSW_SWS_AR4_0_R2_DIODriver-7641</v>
      </c>
    </row>
    <row r="401" spans="1:20" x14ac:dyDescent="0.2">
      <c r="A401" t="s">
        <v>1150</v>
      </c>
      <c r="B401" t="s">
        <v>21</v>
      </c>
      <c r="C401" t="s">
        <v>1151</v>
      </c>
      <c r="D401" t="s">
        <v>1146</v>
      </c>
      <c r="T401" s="3" t="str">
        <f>HYPERLINK("doors://fe-dorapcm3.de.bosch.com:36679/?version=2&amp;prodID=0&amp;view=00000015&amp;urn=urn:telelogic::1-52394082008461e6-O-7642-00059142","BSW_SWS_AR4_0_R2_DIODriver-7642")</f>
        <v>BSW_SWS_AR4_0_R2_DIODriver-7642</v>
      </c>
    </row>
    <row r="402" spans="1:20" x14ac:dyDescent="0.2">
      <c r="A402" t="s">
        <v>1152</v>
      </c>
      <c r="B402" t="s">
        <v>21</v>
      </c>
      <c r="C402" t="s">
        <v>1153</v>
      </c>
      <c r="D402" t="s">
        <v>1154</v>
      </c>
      <c r="T402" s="3" t="str">
        <f>HYPERLINK("doors://fe-dorapcm3.de.bosch.com:36679/?version=2&amp;prodID=0&amp;view=00000015&amp;urn=urn:telelogic::1-52394082008461e6-O-7644-00059142","BSW_SWS_AR4_0_R2_DIODriver-7644")</f>
        <v>BSW_SWS_AR4_0_R2_DIODriver-7644</v>
      </c>
    </row>
    <row r="403" spans="1:20" x14ac:dyDescent="0.2">
      <c r="A403" t="s">
        <v>1155</v>
      </c>
      <c r="B403" t="s">
        <v>21</v>
      </c>
      <c r="C403" t="s">
        <v>1156</v>
      </c>
      <c r="D403" t="s">
        <v>1146</v>
      </c>
      <c r="T403" s="3" t="str">
        <f>HYPERLINK("doors://fe-dorapcm3.de.bosch.com:36679/?version=2&amp;prodID=0&amp;view=00000015&amp;urn=urn:telelogic::1-52394082008461e6-O-7645-00059142","BSW_SWS_AR4_0_R2_DIODriver-7645")</f>
        <v>BSW_SWS_AR4_0_R2_DIODriver-7645</v>
      </c>
    </row>
    <row r="404" spans="1:20" x14ac:dyDescent="0.2">
      <c r="A404" t="s">
        <v>1157</v>
      </c>
      <c r="B404" t="s">
        <v>21</v>
      </c>
      <c r="C404" t="s">
        <v>1158</v>
      </c>
      <c r="D404" t="s">
        <v>1159</v>
      </c>
      <c r="T404" s="3" t="str">
        <f>HYPERLINK("doors://fe-dorapcm3.de.bosch.com:36679/?version=2&amp;prodID=0&amp;view=00000015&amp;urn=urn:telelogic::1-52394082008461e6-O-7647-00059142","BSW_SWS_AR4_0_R2_DIODriver-7647")</f>
        <v>BSW_SWS_AR4_0_R2_DIODriver-7647</v>
      </c>
    </row>
    <row r="405" spans="1:20" x14ac:dyDescent="0.2">
      <c r="A405" t="s">
        <v>1160</v>
      </c>
      <c r="B405" t="s">
        <v>21</v>
      </c>
      <c r="C405" t="s">
        <v>1161</v>
      </c>
      <c r="D405" t="s">
        <v>1146</v>
      </c>
      <c r="T405" s="3" t="str">
        <f>HYPERLINK("doors://fe-dorapcm3.de.bosch.com:36679/?version=2&amp;prodID=0&amp;view=00000015&amp;urn=urn:telelogic::1-52394082008461e6-O-7648-00059142","BSW_SWS_AR4_0_R2_DIODriver-7648")</f>
        <v>BSW_SWS_AR4_0_R2_DIODriver-7648</v>
      </c>
    </row>
    <row r="406" spans="1:20" x14ac:dyDescent="0.2">
      <c r="A406" t="s">
        <v>1162</v>
      </c>
      <c r="B406" t="s">
        <v>21</v>
      </c>
      <c r="C406" t="s">
        <v>1163</v>
      </c>
      <c r="D406" t="s">
        <v>1164</v>
      </c>
      <c r="T406" s="3" t="str">
        <f>HYPERLINK("doors://fe-dorapcm3.de.bosch.com:36679/?version=2&amp;prodID=0&amp;view=00000015&amp;urn=urn:telelogic::1-52394082008461e6-O-7650-00059142","BSW_SWS_AR4_0_R2_DIODriver-7650")</f>
        <v>BSW_SWS_AR4_0_R2_DIODriver-7650</v>
      </c>
    </row>
    <row r="407" spans="1:20" x14ac:dyDescent="0.2">
      <c r="A407" t="s">
        <v>1165</v>
      </c>
      <c r="B407" t="s">
        <v>21</v>
      </c>
      <c r="C407" t="s">
        <v>1166</v>
      </c>
      <c r="D407" t="s">
        <v>1146</v>
      </c>
      <c r="T407" s="3" t="str">
        <f>HYPERLINK("doors://fe-dorapcm3.de.bosch.com:36679/?version=2&amp;prodID=0&amp;view=00000015&amp;urn=urn:telelogic::1-52394082008461e6-O-7651-00059142","BSW_SWS_AR4_0_R2_DIODriver-7651")</f>
        <v>BSW_SWS_AR4_0_R2_DIODriver-7651</v>
      </c>
    </row>
    <row r="408" spans="1:20" x14ac:dyDescent="0.2">
      <c r="A408" t="s">
        <v>1167</v>
      </c>
      <c r="B408" t="s">
        <v>21</v>
      </c>
      <c r="C408" t="s">
        <v>1168</v>
      </c>
      <c r="D408" t="s">
        <v>1169</v>
      </c>
      <c r="T408" s="3" t="str">
        <f>HYPERLINK("doors://fe-dorapcm3.de.bosch.com:36679/?version=2&amp;prodID=0&amp;view=00000015&amp;urn=urn:telelogic::1-52394082008461e6-O-7653-00059142","BSW_SWS_AR4_0_R2_DIODriver-7653")</f>
        <v>BSW_SWS_AR4_0_R2_DIODriver-7653</v>
      </c>
    </row>
    <row r="409" spans="1:20" x14ac:dyDescent="0.2">
      <c r="A409" t="s">
        <v>1170</v>
      </c>
      <c r="B409" t="s">
        <v>21</v>
      </c>
      <c r="C409" t="s">
        <v>1171</v>
      </c>
      <c r="D409" t="s">
        <v>1146</v>
      </c>
      <c r="T409" s="3" t="str">
        <f>HYPERLINK("doors://fe-dorapcm3.de.bosch.com:36679/?version=2&amp;prodID=0&amp;view=00000015&amp;urn=urn:telelogic::1-52394082008461e6-O-7654-00059142","BSW_SWS_AR4_0_R2_DIODriver-7654")</f>
        <v>BSW_SWS_AR4_0_R2_DIODriver-7654</v>
      </c>
    </row>
    <row r="410" spans="1:20" x14ac:dyDescent="0.2">
      <c r="A410" t="s">
        <v>1172</v>
      </c>
      <c r="B410" t="s">
        <v>21</v>
      </c>
      <c r="C410" t="s">
        <v>1173</v>
      </c>
      <c r="D410" t="s">
        <v>1174</v>
      </c>
      <c r="T410" s="3" t="str">
        <f>HYPERLINK("doors://fe-dorapcm3.de.bosch.com:36679/?version=2&amp;prodID=0&amp;view=00000015&amp;urn=urn:telelogic::1-52394082008461e6-O-7656-00059142","BSW_SWS_AR4_0_R2_DIODriver-7656")</f>
        <v>BSW_SWS_AR4_0_R2_DIODriver-7656</v>
      </c>
    </row>
    <row r="411" spans="1:20" x14ac:dyDescent="0.2">
      <c r="A411" t="s">
        <v>1175</v>
      </c>
      <c r="B411" t="s">
        <v>21</v>
      </c>
      <c r="C411" t="s">
        <v>1176</v>
      </c>
      <c r="D411" t="s">
        <v>1146</v>
      </c>
      <c r="T411" s="3" t="str">
        <f>HYPERLINK("doors://fe-dorapcm3.de.bosch.com:36679/?version=2&amp;prodID=0&amp;view=00000015&amp;urn=urn:telelogic::1-52394082008461e6-O-7657-00059142","BSW_SWS_AR4_0_R2_DIODriver-7657")</f>
        <v>BSW_SWS_AR4_0_R2_DIODriver-7657</v>
      </c>
    </row>
    <row r="412" spans="1:20" x14ac:dyDescent="0.2">
      <c r="A412" t="s">
        <v>1177</v>
      </c>
      <c r="B412" t="s">
        <v>21</v>
      </c>
      <c r="C412" t="s">
        <v>1178</v>
      </c>
      <c r="D412" t="s">
        <v>1179</v>
      </c>
      <c r="T412" s="3" t="str">
        <f>HYPERLINK("doors://fe-dorapcm3.de.bosch.com:36679/?version=2&amp;prodID=0&amp;view=00000015&amp;urn=urn:telelogic::1-52394082008461e6-O-7659-00059142","BSW_SWS_AR4_0_R2_DIODriver-7659")</f>
        <v>BSW_SWS_AR4_0_R2_DIODriver-7659</v>
      </c>
    </row>
    <row r="413" spans="1:20" x14ac:dyDescent="0.2">
      <c r="A413" t="s">
        <v>1180</v>
      </c>
      <c r="B413" t="s">
        <v>21</v>
      </c>
      <c r="C413" t="s">
        <v>1181</v>
      </c>
      <c r="D413" t="s">
        <v>1146</v>
      </c>
      <c r="T413" s="3" t="str">
        <f>HYPERLINK("doors://fe-dorapcm3.de.bosch.com:36679/?version=2&amp;prodID=0&amp;view=00000015&amp;urn=urn:telelogic::1-52394082008461e6-O-7660-00059142","BSW_SWS_AR4_0_R2_DIODriver-7660")</f>
        <v>BSW_SWS_AR4_0_R2_DIODriver-7660</v>
      </c>
    </row>
    <row r="414" spans="1:20" x14ac:dyDescent="0.2">
      <c r="A414" t="s">
        <v>1182</v>
      </c>
      <c r="B414" t="s">
        <v>21</v>
      </c>
      <c r="C414" t="s">
        <v>1183</v>
      </c>
      <c r="D414" t="s">
        <v>1184</v>
      </c>
      <c r="T414" s="3" t="str">
        <f>HYPERLINK("doors://fe-dorapcm3.de.bosch.com:36679/?version=2&amp;prodID=0&amp;view=00000015&amp;urn=urn:telelogic::1-52394082008461e6-O-7662-00059142","BSW_SWS_AR4_0_R2_DIODriver-7662")</f>
        <v>BSW_SWS_AR4_0_R2_DIODriver-7662</v>
      </c>
    </row>
    <row r="415" spans="1:20" x14ac:dyDescent="0.2">
      <c r="A415" t="s">
        <v>1185</v>
      </c>
      <c r="B415" t="s">
        <v>21</v>
      </c>
      <c r="C415" t="s">
        <v>1186</v>
      </c>
      <c r="D415" t="s">
        <v>1146</v>
      </c>
      <c r="T415" s="3" t="str">
        <f>HYPERLINK("doors://fe-dorapcm3.de.bosch.com:36679/?version=2&amp;prodID=0&amp;view=00000015&amp;urn=urn:telelogic::1-52394082008461e6-O-7663-00059142","BSW_SWS_AR4_0_R2_DIODriver-7663")</f>
        <v>BSW_SWS_AR4_0_R2_DIODriver-7663</v>
      </c>
    </row>
    <row r="416" spans="1:20" x14ac:dyDescent="0.2">
      <c r="A416" t="s">
        <v>1187</v>
      </c>
      <c r="B416" t="s">
        <v>21</v>
      </c>
      <c r="C416" t="s">
        <v>1188</v>
      </c>
      <c r="D416" t="s">
        <v>1189</v>
      </c>
      <c r="T416" s="3" t="str">
        <f>HYPERLINK("doors://fe-dorapcm3.de.bosch.com:36679/?version=2&amp;prodID=0&amp;view=00000015&amp;urn=urn:telelogic::1-52394082008461e6-O-7665-00059142","BSW_SWS_AR4_0_R2_DIODriver-7665")</f>
        <v>BSW_SWS_AR4_0_R2_DIODriver-7665</v>
      </c>
    </row>
    <row r="417" spans="1:20" x14ac:dyDescent="0.2">
      <c r="A417" t="s">
        <v>1190</v>
      </c>
      <c r="B417" t="s">
        <v>21</v>
      </c>
      <c r="C417" t="s">
        <v>1191</v>
      </c>
      <c r="D417" t="s">
        <v>1146</v>
      </c>
      <c r="T417" s="3" t="str">
        <f>HYPERLINK("doors://fe-dorapcm3.de.bosch.com:36679/?version=2&amp;prodID=0&amp;view=00000015&amp;urn=urn:telelogic::1-52394082008461e6-O-7666-00059142","BSW_SWS_AR4_0_R2_DIODriver-7666")</f>
        <v>BSW_SWS_AR4_0_R2_DIODriver-7666</v>
      </c>
    </row>
    <row r="418" spans="1:20" x14ac:dyDescent="0.2">
      <c r="A418" t="s">
        <v>1192</v>
      </c>
      <c r="B418" t="s">
        <v>21</v>
      </c>
      <c r="C418" t="s">
        <v>1193</v>
      </c>
      <c r="D418" t="s">
        <v>1194</v>
      </c>
      <c r="T418" s="3" t="str">
        <f>HYPERLINK("doors://fe-dorapcm3.de.bosch.com:36679/?version=2&amp;prodID=0&amp;view=00000015&amp;urn=urn:telelogic::1-52394082008461e6-O-7668-00059142","BSW_SWS_AR4_0_R2_DIODriver-7668")</f>
        <v>BSW_SWS_AR4_0_R2_DIODriver-7668</v>
      </c>
    </row>
    <row r="419" spans="1:20" x14ac:dyDescent="0.2">
      <c r="A419" t="s">
        <v>1195</v>
      </c>
      <c r="B419" t="s">
        <v>21</v>
      </c>
      <c r="C419" t="s">
        <v>1196</v>
      </c>
      <c r="D419" t="s">
        <v>1146</v>
      </c>
      <c r="T419" s="3" t="str">
        <f>HYPERLINK("doors://fe-dorapcm3.de.bosch.com:36679/?version=2&amp;prodID=0&amp;view=00000015&amp;urn=urn:telelogic::1-52394082008461e6-O-7669-00059142","BSW_SWS_AR4_0_R2_DIODriver-7669")</f>
        <v>BSW_SWS_AR4_0_R2_DIODriver-7669</v>
      </c>
    </row>
    <row r="420" spans="1:20" x14ac:dyDescent="0.2">
      <c r="A420" t="s">
        <v>1197</v>
      </c>
      <c r="B420" t="s">
        <v>21</v>
      </c>
      <c r="C420" t="s">
        <v>1198</v>
      </c>
      <c r="D420" t="s">
        <v>1199</v>
      </c>
      <c r="T420" s="3" t="str">
        <f>HYPERLINK("doors://fe-dorapcm3.de.bosch.com:36679/?version=2&amp;prodID=0&amp;view=00000015&amp;urn=urn:telelogic::1-52394082008461e6-O-7671-00059142","BSW_SWS_AR4_0_R2_DIODriver-7671")</f>
        <v>BSW_SWS_AR4_0_R2_DIODriver-7671</v>
      </c>
    </row>
    <row r="421" spans="1:20" ht="25.5" x14ac:dyDescent="0.2">
      <c r="A421" t="s">
        <v>1200</v>
      </c>
      <c r="B421" t="s">
        <v>21</v>
      </c>
      <c r="C421" t="s">
        <v>1201</v>
      </c>
      <c r="D421" s="4" t="s">
        <v>1202</v>
      </c>
      <c r="T421" s="3" t="str">
        <f>HYPERLINK("doors://fe-dorapcm3.de.bosch.com:36679/?version=2&amp;prodID=0&amp;view=00000015&amp;urn=urn:telelogic::1-52394082008461e6-O-7672-00059142","BSW_SWS_AR4_0_R2_DIODriver-7672")</f>
        <v>BSW_SWS_AR4_0_R2_DIODriver-7672</v>
      </c>
    </row>
    <row r="422" spans="1:20" x14ac:dyDescent="0.2">
      <c r="A422" t="s">
        <v>1203</v>
      </c>
      <c r="B422" t="s">
        <v>21</v>
      </c>
      <c r="C422" t="s">
        <v>1204</v>
      </c>
      <c r="D422" t="s">
        <v>1205</v>
      </c>
      <c r="T422" s="3" t="str">
        <f>HYPERLINK("doors://fe-dorapcm3.de.bosch.com:36679/?version=2&amp;prodID=0&amp;view=00000015&amp;urn=urn:telelogic::1-52394082008461e6-O-7674-00059142","BSW_SWS_AR4_0_R2_DIODriver-7674")</f>
        <v>BSW_SWS_AR4_0_R2_DIODriver-7674</v>
      </c>
    </row>
    <row r="423" spans="1:20" x14ac:dyDescent="0.2">
      <c r="A423" t="s">
        <v>1206</v>
      </c>
      <c r="B423" t="s">
        <v>21</v>
      </c>
      <c r="C423" t="s">
        <v>1207</v>
      </c>
      <c r="D423" t="s">
        <v>1208</v>
      </c>
      <c r="T423" s="3" t="str">
        <f>HYPERLINK("doors://fe-dorapcm3.de.bosch.com:36679/?version=2&amp;prodID=0&amp;view=00000015&amp;urn=urn:telelogic::1-52394082008461e6-O-7675-00059142","BSW_SWS_AR4_0_R2_DIODriver-7675")</f>
        <v>BSW_SWS_AR4_0_R2_DIODriver-7675</v>
      </c>
    </row>
    <row r="424" spans="1:20" x14ac:dyDescent="0.2">
      <c r="A424" t="s">
        <v>1209</v>
      </c>
      <c r="B424" t="s">
        <v>21</v>
      </c>
      <c r="C424" t="s">
        <v>1210</v>
      </c>
      <c r="D424" t="s">
        <v>1211</v>
      </c>
      <c r="T424" s="3" t="str">
        <f>HYPERLINK("doors://fe-dorapcm3.de.bosch.com:36679/?version=2&amp;prodID=0&amp;view=00000015&amp;urn=urn:telelogic::1-52394082008461e6-O-7677-00059142","BSW_SWS_AR4_0_R2_DIODriver-7677")</f>
        <v>BSW_SWS_AR4_0_R2_DIODriver-7677</v>
      </c>
    </row>
    <row r="425" spans="1:20" x14ac:dyDescent="0.2">
      <c r="A425" t="s">
        <v>1212</v>
      </c>
      <c r="B425" t="s">
        <v>21</v>
      </c>
      <c r="C425" t="s">
        <v>1213</v>
      </c>
      <c r="D425" t="s">
        <v>1146</v>
      </c>
      <c r="T425" s="3" t="str">
        <f>HYPERLINK("doors://fe-dorapcm3.de.bosch.com:36679/?version=2&amp;prodID=0&amp;view=00000015&amp;urn=urn:telelogic::1-52394082008461e6-O-7678-00059142","BSW_SWS_AR4_0_R2_DIODriver-7678")</f>
        <v>BSW_SWS_AR4_0_R2_DIODriver-7678</v>
      </c>
    </row>
    <row r="426" spans="1:20" x14ac:dyDescent="0.2">
      <c r="A426" t="s">
        <v>1214</v>
      </c>
      <c r="B426" t="s">
        <v>21</v>
      </c>
      <c r="C426" t="s">
        <v>1215</v>
      </c>
      <c r="D426" t="s">
        <v>1216</v>
      </c>
      <c r="T426" s="3" t="str">
        <f>HYPERLINK("doors://fe-dorapcm3.de.bosch.com:36679/?version=2&amp;prodID=0&amp;view=00000015&amp;urn=urn:telelogic::1-52394082008461e6-O-7680-00059142","BSW_SWS_AR4_0_R2_DIODriver-7680")</f>
        <v>BSW_SWS_AR4_0_R2_DIODriver-7680</v>
      </c>
    </row>
    <row r="427" spans="1:20" x14ac:dyDescent="0.2">
      <c r="A427" t="s">
        <v>1217</v>
      </c>
      <c r="B427" t="s">
        <v>21</v>
      </c>
      <c r="C427" t="s">
        <v>1218</v>
      </c>
      <c r="D427" t="s">
        <v>1219</v>
      </c>
      <c r="T427" s="3" t="str">
        <f>HYPERLINK("doors://fe-dorapcm3.de.bosch.com:36679/?version=2&amp;prodID=0&amp;view=00000015&amp;urn=urn:telelogic::1-52394082008461e6-O-7681-00059142","BSW_SWS_AR4_0_R2_DIODriver-7681")</f>
        <v>BSW_SWS_AR4_0_R2_DIODriver-7681</v>
      </c>
    </row>
    <row r="428" spans="1:20" x14ac:dyDescent="0.2">
      <c r="A428" t="s">
        <v>1220</v>
      </c>
      <c r="B428" t="s">
        <v>21</v>
      </c>
      <c r="C428" t="s">
        <v>1221</v>
      </c>
      <c r="D428" t="s">
        <v>1222</v>
      </c>
      <c r="T428" s="3" t="str">
        <f>HYPERLINK("doors://fe-dorapcm3.de.bosch.com:36679/?version=2&amp;prodID=0&amp;view=00000015&amp;urn=urn:telelogic::1-52394082008461e6-O-7683-00059142","BSW_SWS_AR4_0_R2_DIODriver-7683")</f>
        <v>BSW_SWS_AR4_0_R2_DIODriver-7683</v>
      </c>
    </row>
    <row r="429" spans="1:20" ht="25.5" x14ac:dyDescent="0.2">
      <c r="A429" t="s">
        <v>1223</v>
      </c>
      <c r="B429" t="s">
        <v>21</v>
      </c>
      <c r="C429" t="s">
        <v>1224</v>
      </c>
      <c r="D429" s="4" t="s">
        <v>1225</v>
      </c>
      <c r="T429" s="3" t="str">
        <f>HYPERLINK("doors://fe-dorapcm3.de.bosch.com:36679/?version=2&amp;prodID=0&amp;view=00000015&amp;urn=urn:telelogic::1-52394082008461e6-O-7684-00059142","BSW_SWS_AR4_0_R2_DIODriver-7684")</f>
        <v>BSW_SWS_AR4_0_R2_DIODriver-7684</v>
      </c>
    </row>
    <row r="430" spans="1:20" x14ac:dyDescent="0.2">
      <c r="A430" t="s">
        <v>1226</v>
      </c>
      <c r="B430" t="s">
        <v>21</v>
      </c>
      <c r="C430" t="s">
        <v>1227</v>
      </c>
      <c r="D430" t="s">
        <v>1228</v>
      </c>
      <c r="T430" s="3" t="str">
        <f>HYPERLINK("doors://fe-dorapcm3.de.bosch.com:36679/?version=2&amp;prodID=0&amp;view=00000015&amp;urn=urn:telelogic::1-52394082008461e6-O-7686-00059142","BSW_SWS_AR4_0_R2_DIODriver-7686")</f>
        <v>BSW_SWS_AR4_0_R2_DIODriver-7686</v>
      </c>
    </row>
    <row r="431" spans="1:20" ht="25.5" x14ac:dyDescent="0.2">
      <c r="A431" t="s">
        <v>1229</v>
      </c>
      <c r="B431" t="s">
        <v>21</v>
      </c>
      <c r="C431" t="s">
        <v>1230</v>
      </c>
      <c r="D431" s="4" t="s">
        <v>1225</v>
      </c>
      <c r="T431" s="3" t="str">
        <f>HYPERLINK("doors://fe-dorapcm3.de.bosch.com:36679/?version=2&amp;prodID=0&amp;view=00000015&amp;urn=urn:telelogic::1-52394082008461e6-O-7687-00059142","BSW_SWS_AR4_0_R2_DIODriver-7687")</f>
        <v>BSW_SWS_AR4_0_R2_DIODriver-7687</v>
      </c>
    </row>
    <row r="432" spans="1:20" x14ac:dyDescent="0.2">
      <c r="A432" t="s">
        <v>1231</v>
      </c>
      <c r="B432" t="s">
        <v>21</v>
      </c>
      <c r="C432" t="s">
        <v>1232</v>
      </c>
      <c r="D432" t="s">
        <v>1233</v>
      </c>
      <c r="T432" s="3" t="str">
        <f>HYPERLINK("doors://fe-dorapcm3.de.bosch.com:36679/?version=2&amp;prodID=0&amp;view=00000015&amp;urn=urn:telelogic::1-52394082008461e6-O-7689-00059142","BSW_SWS_AR4_0_R2_DIODriver-7689")</f>
        <v>BSW_SWS_AR4_0_R2_DIODriver-7689</v>
      </c>
    </row>
    <row r="433" spans="1:20" ht="25.5" x14ac:dyDescent="0.2">
      <c r="A433" t="s">
        <v>1234</v>
      </c>
      <c r="B433" t="s">
        <v>21</v>
      </c>
      <c r="C433" t="s">
        <v>1235</v>
      </c>
      <c r="D433" s="4" t="s">
        <v>1236</v>
      </c>
      <c r="T433" s="3" t="str">
        <f>HYPERLINK("doors://fe-dorapcm3.de.bosch.com:36679/?version=2&amp;prodID=0&amp;view=00000015&amp;urn=urn:telelogic::1-52394082008461e6-O-7690-00059142","BSW_SWS_AR4_0_R2_DIODriver-7690")</f>
        <v>BSW_SWS_AR4_0_R2_DIODriver-7690</v>
      </c>
    </row>
    <row r="434" spans="1:20" x14ac:dyDescent="0.2">
      <c r="A434" t="s">
        <v>1237</v>
      </c>
      <c r="B434" t="s">
        <v>21</v>
      </c>
      <c r="C434" t="s">
        <v>1238</v>
      </c>
      <c r="D434" t="s">
        <v>1239</v>
      </c>
      <c r="T434" s="3" t="str">
        <f>HYPERLINK("doors://fe-dorapcm3.de.bosch.com:36679/?version=2&amp;prodID=0&amp;view=00000015&amp;urn=urn:telelogic::1-52394082008461e6-O-7692-00059142","BSW_SWS_AR4_0_R2_DIODriver-7692")</f>
        <v>BSW_SWS_AR4_0_R2_DIODriver-7692</v>
      </c>
    </row>
    <row r="435" spans="1:20" x14ac:dyDescent="0.2">
      <c r="A435" t="s">
        <v>1240</v>
      </c>
      <c r="B435" t="s">
        <v>21</v>
      </c>
      <c r="C435" t="s">
        <v>1241</v>
      </c>
      <c r="D435" t="s">
        <v>1242</v>
      </c>
      <c r="T435" s="3" t="str">
        <f>HYPERLINK("doors://fe-dorapcm3.de.bosch.com:36679/?version=2&amp;prodID=0&amp;view=00000015&amp;urn=urn:telelogic::1-52394082008461e6-O-7693-00059142","BSW_SWS_AR4_0_R2_DIODriver-7693")</f>
        <v>BSW_SWS_AR4_0_R2_DIODriver-7693</v>
      </c>
    </row>
    <row r="436" spans="1:20" x14ac:dyDescent="0.2">
      <c r="A436" t="s">
        <v>1243</v>
      </c>
      <c r="B436" t="s">
        <v>21</v>
      </c>
      <c r="C436" t="s">
        <v>1244</v>
      </c>
      <c r="D436" t="s">
        <v>1245</v>
      </c>
      <c r="T436" s="3" t="str">
        <f>HYPERLINK("doors://fe-dorapcm3.de.bosch.com:36679/?version=2&amp;prodID=0&amp;view=00000015&amp;urn=urn:telelogic::1-52394082008461e6-O-7695-00059142","BSW_SWS_AR4_0_R2_DIODriver-7695")</f>
        <v>BSW_SWS_AR4_0_R2_DIODriver-7695</v>
      </c>
    </row>
    <row r="437" spans="1:20" x14ac:dyDescent="0.2">
      <c r="A437" t="s">
        <v>1246</v>
      </c>
      <c r="B437" t="s">
        <v>21</v>
      </c>
      <c r="C437" t="s">
        <v>1247</v>
      </c>
      <c r="D437" t="s">
        <v>1146</v>
      </c>
      <c r="T437" s="3" t="str">
        <f>HYPERLINK("doors://fe-dorapcm3.de.bosch.com:36679/?version=2&amp;prodID=0&amp;view=00000015&amp;urn=urn:telelogic::1-52394082008461e6-O-7696-00059142","BSW_SWS_AR4_0_R2_DIODriver-7696")</f>
        <v>BSW_SWS_AR4_0_R2_DIODriver-7696</v>
      </c>
    </row>
    <row r="438" spans="1:20" x14ac:dyDescent="0.2">
      <c r="A438" t="s">
        <v>1248</v>
      </c>
      <c r="B438" t="s">
        <v>21</v>
      </c>
      <c r="C438" t="s">
        <v>1249</v>
      </c>
      <c r="D438" t="s">
        <v>1250</v>
      </c>
      <c r="T438" s="3" t="str">
        <f>HYPERLINK("doors://fe-dorapcm3.de.bosch.com:36679/?version=2&amp;prodID=0&amp;view=00000015&amp;urn=urn:telelogic::1-52394082008461e6-O-7698-00059142","BSW_SWS_AR4_0_R2_DIODriver-7698")</f>
        <v>BSW_SWS_AR4_0_R2_DIODriver-7698</v>
      </c>
    </row>
    <row r="439" spans="1:20" x14ac:dyDescent="0.2">
      <c r="A439" t="s">
        <v>1251</v>
      </c>
      <c r="B439" t="s">
        <v>21</v>
      </c>
      <c r="C439" t="s">
        <v>1252</v>
      </c>
      <c r="D439" t="s">
        <v>1102</v>
      </c>
      <c r="T439" s="3" t="str">
        <f>HYPERLINK("doors://fe-dorapcm3.de.bosch.com:36679/?version=2&amp;prodID=0&amp;view=00000015&amp;urn=urn:telelogic::1-52394082008461e6-O-7699-00059142","BSW_SWS_AR4_0_R2_DIODriver-7699")</f>
        <v>BSW_SWS_AR4_0_R2_DIODriver-7699</v>
      </c>
    </row>
    <row r="440" spans="1:20" x14ac:dyDescent="0.2">
      <c r="A440" t="s">
        <v>1253</v>
      </c>
      <c r="B440" t="s">
        <v>21</v>
      </c>
      <c r="C440" t="s">
        <v>1254</v>
      </c>
      <c r="D440" t="s">
        <v>1255</v>
      </c>
      <c r="T440" s="3" t="str">
        <f>HYPERLINK("doors://fe-dorapcm3.de.bosch.com:36679/?version=2&amp;prodID=0&amp;view=00000015&amp;urn=urn:telelogic::1-52394082008461e6-O-7701-00059142","BSW_SWS_AR4_0_R2_DIODriver-7701")</f>
        <v>BSW_SWS_AR4_0_R2_DIODriver-7701</v>
      </c>
    </row>
    <row r="441" spans="1:20" x14ac:dyDescent="0.2">
      <c r="A441" t="s">
        <v>1256</v>
      </c>
      <c r="B441" t="s">
        <v>21</v>
      </c>
      <c r="C441" t="s">
        <v>1257</v>
      </c>
      <c r="D441" t="s">
        <v>788</v>
      </c>
      <c r="T441" s="3" t="str">
        <f>HYPERLINK("doors://fe-dorapcm3.de.bosch.com:36679/?version=2&amp;prodID=0&amp;view=00000015&amp;urn=urn:telelogic::1-52394082008461e6-O-7702-00059142","BSW_SWS_AR4_0_R2_DIODriver-7702")</f>
        <v>BSW_SWS_AR4_0_R2_DIODriver-7702</v>
      </c>
    </row>
    <row r="442" spans="1:20" x14ac:dyDescent="0.2">
      <c r="A442" t="s">
        <v>1258</v>
      </c>
      <c r="B442" t="s">
        <v>21</v>
      </c>
      <c r="C442" t="s">
        <v>1259</v>
      </c>
      <c r="D442" t="s">
        <v>1260</v>
      </c>
      <c r="T442" s="3" t="str">
        <f>HYPERLINK("doors://fe-dorapcm3.de.bosch.com:36679/?version=2&amp;prodID=0&amp;view=00000015&amp;urn=urn:telelogic::1-52394082008461e6-O-7704-00059142","BSW_SWS_AR4_0_R2_DIODriver-7704")</f>
        <v>BSW_SWS_AR4_0_R2_DIODriver-7704</v>
      </c>
    </row>
    <row r="443" spans="1:20" x14ac:dyDescent="0.2">
      <c r="A443" t="s">
        <v>1261</v>
      </c>
      <c r="B443" t="s">
        <v>21</v>
      </c>
      <c r="C443" t="s">
        <v>1262</v>
      </c>
      <c r="D443" t="s">
        <v>1263</v>
      </c>
      <c r="T443" s="3" t="str">
        <f>HYPERLINK("doors://fe-dorapcm3.de.bosch.com:36679/?version=2&amp;prodID=0&amp;view=00000015&amp;urn=urn:telelogic::1-52394082008461e6-O-7705-00059142","BSW_SWS_AR4_0_R2_DIODriver-7705")</f>
        <v>BSW_SWS_AR4_0_R2_DIODriver-7705</v>
      </c>
    </row>
    <row r="444" spans="1:20" x14ac:dyDescent="0.2">
      <c r="A444" t="s">
        <v>1264</v>
      </c>
      <c r="B444" t="s">
        <v>21</v>
      </c>
      <c r="C444" t="s">
        <v>1265</v>
      </c>
      <c r="D444" t="s">
        <v>1266</v>
      </c>
      <c r="T444" s="3" t="str">
        <f>HYPERLINK("doors://fe-dorapcm3.de.bosch.com:36679/?version=2&amp;prodID=0&amp;view=00000015&amp;urn=urn:telelogic::1-52394082008461e6-O-7707-00059142","BSW_SWS_AR4_0_R2_DIODriver-7707")</f>
        <v>BSW_SWS_AR4_0_R2_DIODriver-7707</v>
      </c>
    </row>
    <row r="445" spans="1:20" x14ac:dyDescent="0.2">
      <c r="A445" t="s">
        <v>1267</v>
      </c>
      <c r="B445" t="s">
        <v>21</v>
      </c>
      <c r="C445" t="s">
        <v>1268</v>
      </c>
      <c r="D445" t="s">
        <v>1102</v>
      </c>
      <c r="T445" s="3" t="str">
        <f>HYPERLINK("doors://fe-dorapcm3.de.bosch.com:36679/?version=2&amp;prodID=0&amp;view=00000015&amp;urn=urn:telelogic::1-52394082008461e6-O-7708-00059142","BSW_SWS_AR4_0_R2_DIODriver-7708")</f>
        <v>BSW_SWS_AR4_0_R2_DIODriver-7708</v>
      </c>
    </row>
    <row r="446" spans="1:20" x14ac:dyDescent="0.2">
      <c r="A446" t="s">
        <v>1269</v>
      </c>
      <c r="B446" t="s">
        <v>21</v>
      </c>
      <c r="C446" t="s">
        <v>1270</v>
      </c>
      <c r="D446" t="s">
        <v>1271</v>
      </c>
      <c r="T446" s="3" t="str">
        <f>HYPERLINK("doors://fe-dorapcm3.de.bosch.com:36679/?version=2&amp;prodID=0&amp;view=00000015&amp;urn=urn:telelogic::1-52394082008461e6-O-7710-00059142","BSW_SWS_AR4_0_R2_DIODriver-7710")</f>
        <v>BSW_SWS_AR4_0_R2_DIODriver-7710</v>
      </c>
    </row>
    <row r="447" spans="1:20" ht="25.5" x14ac:dyDescent="0.2">
      <c r="A447" t="s">
        <v>1272</v>
      </c>
      <c r="B447" t="s">
        <v>21</v>
      </c>
      <c r="C447" t="s">
        <v>1273</v>
      </c>
      <c r="D447" s="4" t="s">
        <v>827</v>
      </c>
      <c r="T447" s="3" t="str">
        <f>HYPERLINK("doors://fe-dorapcm3.de.bosch.com:36679/?version=2&amp;prodID=0&amp;view=00000015&amp;urn=urn:telelogic::1-52394082008461e6-O-7711-00059142","BSW_SWS_AR4_0_R2_DIODriver-7711")</f>
        <v>BSW_SWS_AR4_0_R2_DIODriver-7711</v>
      </c>
    </row>
    <row r="448" spans="1:20" x14ac:dyDescent="0.2">
      <c r="A448" t="s">
        <v>1274</v>
      </c>
      <c r="B448" t="s">
        <v>21</v>
      </c>
      <c r="C448" t="s">
        <v>1275</v>
      </c>
      <c r="D448" t="s">
        <v>1276</v>
      </c>
      <c r="T448" s="3" t="str">
        <f>HYPERLINK("doors://fe-dorapcm3.de.bosch.com:36679/?version=2&amp;prodID=0&amp;view=00000015&amp;urn=urn:telelogic::1-52394082008461e6-O-7713-00059142","BSW_SWS_AR4_0_R2_DIODriver-7713")</f>
        <v>BSW_SWS_AR4_0_R2_DIODriver-7713</v>
      </c>
    </row>
    <row r="449" spans="1:20" x14ac:dyDescent="0.2">
      <c r="A449" t="s">
        <v>1277</v>
      </c>
      <c r="B449" t="s">
        <v>21</v>
      </c>
      <c r="C449" t="s">
        <v>1278</v>
      </c>
      <c r="D449" t="s">
        <v>1027</v>
      </c>
      <c r="T449" s="3" t="str">
        <f>HYPERLINK("doors://fe-dorapcm3.de.bosch.com:36679/?version=2&amp;prodID=0&amp;view=00000015&amp;urn=urn:telelogic::1-52394082008461e6-O-7714-00059142","BSW_SWS_AR4_0_R2_DIODriver-7714")</f>
        <v>BSW_SWS_AR4_0_R2_DIODriver-7714</v>
      </c>
    </row>
    <row r="450" spans="1:20" x14ac:dyDescent="0.2">
      <c r="A450" t="s">
        <v>1279</v>
      </c>
      <c r="B450" t="s">
        <v>21</v>
      </c>
      <c r="C450" t="s">
        <v>1280</v>
      </c>
      <c r="D450" t="s">
        <v>1281</v>
      </c>
      <c r="T450" s="3" t="str">
        <f>HYPERLINK("doors://fe-dorapcm3.de.bosch.com:36679/?version=2&amp;prodID=0&amp;view=00000015&amp;urn=urn:telelogic::1-52394082008461e6-O-7716-00059142","BSW_SWS_AR4_0_R2_DIODriver-7716")</f>
        <v>BSW_SWS_AR4_0_R2_DIODriver-7716</v>
      </c>
    </row>
    <row r="451" spans="1:20" x14ac:dyDescent="0.2">
      <c r="A451" t="s">
        <v>1282</v>
      </c>
      <c r="B451" t="s">
        <v>21</v>
      </c>
      <c r="C451" t="s">
        <v>1283</v>
      </c>
      <c r="D451" t="s">
        <v>1284</v>
      </c>
      <c r="T451" s="3" t="str">
        <f>HYPERLINK("doors://fe-dorapcm3.de.bosch.com:36679/?version=2&amp;prodID=0&amp;view=00000015&amp;urn=urn:telelogic::1-52394082008461e6-O-7717-00059142","BSW_SWS_AR4_0_R2_DIODriver-7717")</f>
        <v>BSW_SWS_AR4_0_R2_DIODriver-7717</v>
      </c>
    </row>
    <row r="452" spans="1:20" x14ac:dyDescent="0.2">
      <c r="A452" t="s">
        <v>1285</v>
      </c>
      <c r="B452" t="s">
        <v>21</v>
      </c>
      <c r="C452" t="s">
        <v>1286</v>
      </c>
      <c r="D452" t="s">
        <v>1287</v>
      </c>
      <c r="T452" s="3" t="str">
        <f>HYPERLINK("doors://fe-dorapcm3.de.bosch.com:36679/?version=2&amp;prodID=0&amp;view=00000015&amp;urn=urn:telelogic::1-52394082008461e6-O-7719-00059142","BSW_SWS_AR4_0_R2_DIODriver-7719")</f>
        <v>BSW_SWS_AR4_0_R2_DIODriver-7719</v>
      </c>
    </row>
    <row r="453" spans="1:20" ht="25.5" x14ac:dyDescent="0.2">
      <c r="A453" t="s">
        <v>1288</v>
      </c>
      <c r="B453" t="s">
        <v>21</v>
      </c>
      <c r="C453" t="s">
        <v>1289</v>
      </c>
      <c r="D453" s="4" t="s">
        <v>1290</v>
      </c>
      <c r="T453" s="3" t="str">
        <f>HYPERLINK("doors://fe-dorapcm3.de.bosch.com:36679/?version=2&amp;prodID=0&amp;view=00000015&amp;urn=urn:telelogic::1-52394082008461e6-O-7720-00059142","BSW_SWS_AR4_0_R2_DIODriver-7720")</f>
        <v>BSW_SWS_AR4_0_R2_DIODriver-7720</v>
      </c>
    </row>
    <row r="454" spans="1:20" x14ac:dyDescent="0.2">
      <c r="A454" t="s">
        <v>1291</v>
      </c>
      <c r="B454" t="s">
        <v>21</v>
      </c>
      <c r="C454" t="s">
        <v>1292</v>
      </c>
      <c r="D454" t="s">
        <v>1293</v>
      </c>
      <c r="T454" s="3" t="str">
        <f>HYPERLINK("doors://fe-dorapcm3.de.bosch.com:36679/?version=2&amp;prodID=0&amp;view=00000015&amp;urn=urn:telelogic::1-52394082008461e6-O-7722-00059142","BSW_SWS_AR4_0_R2_DIODriver-7722")</f>
        <v>BSW_SWS_AR4_0_R2_DIODriver-7722</v>
      </c>
    </row>
    <row r="455" spans="1:20" ht="25.5" x14ac:dyDescent="0.2">
      <c r="A455" t="s">
        <v>1294</v>
      </c>
      <c r="B455" t="s">
        <v>21</v>
      </c>
      <c r="C455" t="s">
        <v>1295</v>
      </c>
      <c r="D455" s="4" t="s">
        <v>1296</v>
      </c>
      <c r="T455" s="3" t="str">
        <f>HYPERLINK("doors://fe-dorapcm3.de.bosch.com:36679/?version=2&amp;prodID=0&amp;view=00000015&amp;urn=urn:telelogic::1-52394082008461e6-O-7723-00059142","BSW_SWS_AR4_0_R2_DIODriver-7723")</f>
        <v>BSW_SWS_AR4_0_R2_DIODriver-7723</v>
      </c>
    </row>
    <row r="456" spans="1:20" x14ac:dyDescent="0.2">
      <c r="A456" t="s">
        <v>1297</v>
      </c>
      <c r="B456" t="s">
        <v>21</v>
      </c>
      <c r="C456" t="s">
        <v>1298</v>
      </c>
      <c r="D456" t="s">
        <v>1299</v>
      </c>
      <c r="T456" s="3" t="str">
        <f>HYPERLINK("doors://fe-dorapcm3.de.bosch.com:36679/?version=2&amp;prodID=0&amp;view=00000015&amp;urn=urn:telelogic::1-52394082008461e6-O-7725-00059142","BSW_SWS_AR4_0_R2_DIODriver-7725")</f>
        <v>BSW_SWS_AR4_0_R2_DIODriver-7725</v>
      </c>
    </row>
    <row r="457" spans="1:20" x14ac:dyDescent="0.2">
      <c r="A457" t="s">
        <v>1300</v>
      </c>
      <c r="B457" t="s">
        <v>21</v>
      </c>
      <c r="C457" t="s">
        <v>1301</v>
      </c>
      <c r="D457" t="s">
        <v>1302</v>
      </c>
      <c r="T457" s="3" t="str">
        <f>HYPERLINK("doors://fe-dorapcm3.de.bosch.com:36679/?version=2&amp;prodID=0&amp;view=00000015&amp;urn=urn:telelogic::1-52394082008461e6-O-7726-00059142","BSW_SWS_AR4_0_R2_DIODriver-7726")</f>
        <v>BSW_SWS_AR4_0_R2_DIODriver-7726</v>
      </c>
    </row>
    <row r="458" spans="1:20" x14ac:dyDescent="0.2">
      <c r="A458" t="s">
        <v>1303</v>
      </c>
      <c r="B458" t="s">
        <v>21</v>
      </c>
      <c r="C458" t="s">
        <v>1304</v>
      </c>
      <c r="D458" t="s">
        <v>1305</v>
      </c>
      <c r="T458" s="3" t="str">
        <f>HYPERLINK("doors://fe-dorapcm3.de.bosch.com:36679/?version=2&amp;prodID=0&amp;view=00000015&amp;urn=urn:telelogic::1-52394082008461e6-O-7728-00059142","BSW_SWS_AR4_0_R2_DIODriver-7728")</f>
        <v>BSW_SWS_AR4_0_R2_DIODriver-7728</v>
      </c>
    </row>
    <row r="459" spans="1:20" ht="25.5" x14ac:dyDescent="0.2">
      <c r="A459" t="s">
        <v>1306</v>
      </c>
      <c r="B459" t="s">
        <v>21</v>
      </c>
      <c r="C459" t="s">
        <v>1307</v>
      </c>
      <c r="D459" s="4" t="s">
        <v>1308</v>
      </c>
      <c r="T459" s="3" t="str">
        <f>HYPERLINK("doors://fe-dorapcm3.de.bosch.com:36679/?version=2&amp;prodID=0&amp;view=00000015&amp;urn=urn:telelogic::1-52394082008461e6-O-7729-00059142","BSW_SWS_AR4_0_R2_DIODriver-7729")</f>
        <v>BSW_SWS_AR4_0_R2_DIODriver-7729</v>
      </c>
    </row>
    <row r="460" spans="1:20" x14ac:dyDescent="0.2">
      <c r="A460" t="s">
        <v>1309</v>
      </c>
      <c r="B460" t="s">
        <v>21</v>
      </c>
      <c r="C460" t="s">
        <v>1310</v>
      </c>
      <c r="D460" t="s">
        <v>1311</v>
      </c>
      <c r="T460" s="3" t="str">
        <f>HYPERLINK("doors://fe-dorapcm3.de.bosch.com:36679/?version=2&amp;prodID=0&amp;view=00000015&amp;urn=urn:telelogic::1-52394082008461e6-O-7731-00059142","BSW_SWS_AR4_0_R2_DIODriver-7731")</f>
        <v>BSW_SWS_AR4_0_R2_DIODriver-7731</v>
      </c>
    </row>
    <row r="461" spans="1:20" x14ac:dyDescent="0.2">
      <c r="A461" t="s">
        <v>1312</v>
      </c>
      <c r="B461" t="s">
        <v>21</v>
      </c>
      <c r="C461" t="s">
        <v>1313</v>
      </c>
      <c r="D461" t="s">
        <v>1005</v>
      </c>
      <c r="T461" s="3" t="str">
        <f>HYPERLINK("doors://fe-dorapcm3.de.bosch.com:36679/?version=2&amp;prodID=0&amp;view=00000015&amp;urn=urn:telelogic::1-52394082008461e6-O-7732-00059142","BSW_SWS_AR4_0_R2_DIODriver-7732")</f>
        <v>BSW_SWS_AR4_0_R2_DIODriver-7732</v>
      </c>
    </row>
    <row r="462" spans="1:20" x14ac:dyDescent="0.2">
      <c r="A462" t="s">
        <v>1314</v>
      </c>
      <c r="B462" t="s">
        <v>21</v>
      </c>
      <c r="C462" t="s">
        <v>1315</v>
      </c>
      <c r="D462" t="s">
        <v>1316</v>
      </c>
      <c r="T462" s="3" t="str">
        <f>HYPERLINK("doors://fe-dorapcm3.de.bosch.com:36679/?version=2&amp;prodID=0&amp;view=00000015&amp;urn=urn:telelogic::1-52394082008461e6-O-7734-00059142","BSW_SWS_AR4_0_R2_DIODriver-7734")</f>
        <v>BSW_SWS_AR4_0_R2_DIODriver-7734</v>
      </c>
    </row>
    <row r="463" spans="1:20" ht="25.5" x14ac:dyDescent="0.2">
      <c r="A463" t="s">
        <v>1317</v>
      </c>
      <c r="B463" t="s">
        <v>21</v>
      </c>
      <c r="C463" t="s">
        <v>1318</v>
      </c>
      <c r="D463" s="4" t="s">
        <v>1308</v>
      </c>
      <c r="T463" s="3" t="str">
        <f>HYPERLINK("doors://fe-dorapcm3.de.bosch.com:36679/?version=2&amp;prodID=0&amp;view=00000015&amp;urn=urn:telelogic::1-52394082008461e6-O-7735-00059142","BSW_SWS_AR4_0_R2_DIODriver-7735")</f>
        <v>BSW_SWS_AR4_0_R2_DIODriver-7735</v>
      </c>
    </row>
    <row r="464" spans="1:20" x14ac:dyDescent="0.2">
      <c r="A464" t="s">
        <v>1319</v>
      </c>
      <c r="B464" t="s">
        <v>21</v>
      </c>
      <c r="C464" t="s">
        <v>1320</v>
      </c>
      <c r="D464" t="s">
        <v>1321</v>
      </c>
      <c r="T464" s="3" t="str">
        <f>HYPERLINK("doors://fe-dorapcm3.de.bosch.com:36679/?version=2&amp;prodID=0&amp;view=00000015&amp;urn=urn:telelogic::1-52394082008461e6-O-7737-00059142","BSW_SWS_AR4_0_R2_DIODriver-7737")</f>
        <v>BSW_SWS_AR4_0_R2_DIODriver-7737</v>
      </c>
    </row>
    <row r="465" spans="1:20" ht="25.5" x14ac:dyDescent="0.2">
      <c r="A465" t="s">
        <v>1322</v>
      </c>
      <c r="B465" t="s">
        <v>21</v>
      </c>
      <c r="C465" t="s">
        <v>1323</v>
      </c>
      <c r="D465" s="4" t="s">
        <v>1324</v>
      </c>
      <c r="T465" s="3" t="str">
        <f>HYPERLINK("doors://fe-dorapcm3.de.bosch.com:36679/?version=2&amp;prodID=0&amp;view=00000015&amp;urn=urn:telelogic::1-52394082008461e6-O-7738-00059142","BSW_SWS_AR4_0_R2_DIODriver-7738")</f>
        <v>BSW_SWS_AR4_0_R2_DIODriver-7738</v>
      </c>
    </row>
    <row r="466" spans="1:20" x14ac:dyDescent="0.2">
      <c r="A466" t="s">
        <v>1325</v>
      </c>
      <c r="B466" t="s">
        <v>21</v>
      </c>
      <c r="C466" t="s">
        <v>1326</v>
      </c>
      <c r="D466" t="s">
        <v>1327</v>
      </c>
      <c r="T466" s="3" t="str">
        <f>HYPERLINK("doors://fe-dorapcm3.de.bosch.com:36679/?version=2&amp;prodID=0&amp;view=00000015&amp;urn=urn:telelogic::1-52394082008461e6-O-7740-00059142","BSW_SWS_AR4_0_R2_DIODriver-7740")</f>
        <v>BSW_SWS_AR4_0_R2_DIODriver-7740</v>
      </c>
    </row>
    <row r="467" spans="1:20" ht="25.5" x14ac:dyDescent="0.2">
      <c r="A467" t="s">
        <v>1328</v>
      </c>
      <c r="B467" t="s">
        <v>21</v>
      </c>
      <c r="C467" t="s">
        <v>1329</v>
      </c>
      <c r="D467" s="4" t="s">
        <v>1065</v>
      </c>
      <c r="T467" s="3" t="str">
        <f>HYPERLINK("doors://fe-dorapcm3.de.bosch.com:36679/?version=2&amp;prodID=0&amp;view=00000015&amp;urn=urn:telelogic::1-52394082008461e6-O-7741-00059142","BSW_SWS_AR4_0_R2_DIODriver-7741")</f>
        <v>BSW_SWS_AR4_0_R2_DIODriver-7741</v>
      </c>
    </row>
    <row r="468" spans="1:20" x14ac:dyDescent="0.2">
      <c r="A468" t="s">
        <v>1330</v>
      </c>
      <c r="B468" t="s">
        <v>21</v>
      </c>
      <c r="C468" t="s">
        <v>1331</v>
      </c>
      <c r="D468" t="s">
        <v>1332</v>
      </c>
      <c r="T468" s="3" t="str">
        <f>HYPERLINK("doors://fe-dorapcm3.de.bosch.com:36679/?version=2&amp;prodID=0&amp;view=00000015&amp;urn=urn:telelogic::1-52394082008461e6-O-7743-00059142","BSW_SWS_AR4_0_R2_DIODriver-7743")</f>
        <v>BSW_SWS_AR4_0_R2_DIODriver-7743</v>
      </c>
    </row>
    <row r="469" spans="1:20" ht="25.5" x14ac:dyDescent="0.2">
      <c r="A469" t="s">
        <v>1333</v>
      </c>
      <c r="B469" t="s">
        <v>21</v>
      </c>
      <c r="C469" t="s">
        <v>1334</v>
      </c>
      <c r="D469" s="4" t="s">
        <v>1335</v>
      </c>
      <c r="T469" s="3" t="str">
        <f>HYPERLINK("doors://fe-dorapcm3.de.bosch.com:36679/?version=2&amp;prodID=0&amp;view=00000015&amp;urn=urn:telelogic::1-52394082008461e6-O-7744-00059142","BSW_SWS_AR4_0_R2_DIODriver-7744")</f>
        <v>BSW_SWS_AR4_0_R2_DIODriver-7744</v>
      </c>
    </row>
    <row r="470" spans="1:20" x14ac:dyDescent="0.2">
      <c r="A470" t="s">
        <v>1336</v>
      </c>
      <c r="B470" t="s">
        <v>21</v>
      </c>
      <c r="C470" t="s">
        <v>1337</v>
      </c>
      <c r="D470" t="s">
        <v>1338</v>
      </c>
      <c r="T470" s="3" t="str">
        <f>HYPERLINK("doors://fe-dorapcm3.de.bosch.com:36679/?version=2&amp;prodID=0&amp;view=00000015&amp;urn=urn:telelogic::1-52394082008461e6-O-7746-00059142","BSW_SWS_AR4_0_R2_DIODriver-7746")</f>
        <v>BSW_SWS_AR4_0_R2_DIODriver-7746</v>
      </c>
    </row>
    <row r="471" spans="1:20" ht="25.5" x14ac:dyDescent="0.2">
      <c r="A471" t="s">
        <v>1339</v>
      </c>
      <c r="B471" t="s">
        <v>21</v>
      </c>
      <c r="C471" t="s">
        <v>1340</v>
      </c>
      <c r="D471" s="4" t="s">
        <v>1341</v>
      </c>
      <c r="T471" s="3" t="str">
        <f>HYPERLINK("doors://fe-dorapcm3.de.bosch.com:36679/?version=2&amp;prodID=0&amp;view=00000015&amp;urn=urn:telelogic::1-52394082008461e6-O-7747-00059142","BSW_SWS_AR4_0_R2_DIODriver-7747")</f>
        <v>BSW_SWS_AR4_0_R2_DIODriver-7747</v>
      </c>
    </row>
    <row r="472" spans="1:20" x14ac:dyDescent="0.2">
      <c r="A472" t="s">
        <v>1342</v>
      </c>
      <c r="B472" t="s">
        <v>21</v>
      </c>
      <c r="C472" t="s">
        <v>1343</v>
      </c>
      <c r="D472" t="s">
        <v>1344</v>
      </c>
      <c r="T472" s="3" t="str">
        <f>HYPERLINK("doors://fe-dorapcm3.de.bosch.com:36679/?version=2&amp;prodID=0&amp;view=00000015&amp;urn=urn:telelogic::1-52394082008461e6-O-7749-00059142","BSW_SWS_AR4_0_R2_DIODriver-7749")</f>
        <v>BSW_SWS_AR4_0_R2_DIODriver-7749</v>
      </c>
    </row>
    <row r="473" spans="1:20" ht="25.5" x14ac:dyDescent="0.2">
      <c r="A473" t="s">
        <v>1345</v>
      </c>
      <c r="B473" t="s">
        <v>21</v>
      </c>
      <c r="C473" t="s">
        <v>1346</v>
      </c>
      <c r="D473" s="4" t="s">
        <v>1341</v>
      </c>
      <c r="T473" s="3" t="str">
        <f>HYPERLINK("doors://fe-dorapcm3.de.bosch.com:36679/?version=2&amp;prodID=0&amp;view=00000015&amp;urn=urn:telelogic::1-52394082008461e6-O-7750-00059142","BSW_SWS_AR4_0_R2_DIODriver-7750")</f>
        <v>BSW_SWS_AR4_0_R2_DIODriver-7750</v>
      </c>
    </row>
    <row r="474" spans="1:20" x14ac:dyDescent="0.2">
      <c r="A474" t="s">
        <v>1347</v>
      </c>
      <c r="B474" t="s">
        <v>21</v>
      </c>
      <c r="C474" t="s">
        <v>1348</v>
      </c>
      <c r="D474" t="s">
        <v>1349</v>
      </c>
      <c r="T474" s="3" t="str">
        <f>HYPERLINK("doors://fe-dorapcm3.de.bosch.com:36679/?version=2&amp;prodID=0&amp;view=00000015&amp;urn=urn:telelogic::1-52394082008461e6-O-7752-00059142","BSW_SWS_AR4_0_R2_DIODriver-7752")</f>
        <v>BSW_SWS_AR4_0_R2_DIODriver-7752</v>
      </c>
    </row>
    <row r="475" spans="1:20" ht="25.5" x14ac:dyDescent="0.2">
      <c r="A475" t="s">
        <v>1350</v>
      </c>
      <c r="B475" t="s">
        <v>21</v>
      </c>
      <c r="C475" t="s">
        <v>1351</v>
      </c>
      <c r="D475" s="4" t="s">
        <v>1065</v>
      </c>
      <c r="T475" s="3" t="str">
        <f>HYPERLINK("doors://fe-dorapcm3.de.bosch.com:36679/?version=2&amp;prodID=0&amp;view=00000015&amp;urn=urn:telelogic::1-52394082008461e6-O-7753-00059142","BSW_SWS_AR4_0_R2_DIODriver-7753")</f>
        <v>BSW_SWS_AR4_0_R2_DIODriver-7753</v>
      </c>
    </row>
    <row r="476" spans="1:20" x14ac:dyDescent="0.2">
      <c r="A476" t="s">
        <v>1352</v>
      </c>
      <c r="B476" t="s">
        <v>21</v>
      </c>
      <c r="C476" t="s">
        <v>1353</v>
      </c>
      <c r="D476" t="s">
        <v>1354</v>
      </c>
      <c r="T476" s="3" t="str">
        <f>HYPERLINK("doors://fe-dorapcm3.de.bosch.com:36679/?version=2&amp;prodID=0&amp;view=00000015&amp;urn=urn:telelogic::1-52394082008461e6-O-7755-00059142","BSW_SWS_AR4_0_R2_DIODriver-7755")</f>
        <v>BSW_SWS_AR4_0_R2_DIODriver-7755</v>
      </c>
    </row>
    <row r="477" spans="1:20" ht="25.5" x14ac:dyDescent="0.2">
      <c r="A477" t="s">
        <v>1355</v>
      </c>
      <c r="B477" t="s">
        <v>21</v>
      </c>
      <c r="C477" t="s">
        <v>1356</v>
      </c>
      <c r="D477" s="4" t="s">
        <v>1335</v>
      </c>
      <c r="T477" s="3" t="str">
        <f>HYPERLINK("doors://fe-dorapcm3.de.bosch.com:36679/?version=2&amp;prodID=0&amp;view=00000015&amp;urn=urn:telelogic::1-52394082008461e6-O-7756-00059142","BSW_SWS_AR4_0_R2_DIODriver-7756")</f>
        <v>BSW_SWS_AR4_0_R2_DIODriver-7756</v>
      </c>
    </row>
    <row r="478" spans="1:20" x14ac:dyDescent="0.2">
      <c r="A478" t="s">
        <v>1357</v>
      </c>
      <c r="B478" t="s">
        <v>21</v>
      </c>
      <c r="C478" t="s">
        <v>1358</v>
      </c>
      <c r="D478" t="s">
        <v>1359</v>
      </c>
      <c r="T478" s="3" t="str">
        <f>HYPERLINK("doors://fe-dorapcm3.de.bosch.com:36679/?version=2&amp;prodID=0&amp;view=00000015&amp;urn=urn:telelogic::1-52394082008461e6-O-7758-00059142","BSW_SWS_AR4_0_R2_DIODriver-7758")</f>
        <v>BSW_SWS_AR4_0_R2_DIODriver-7758</v>
      </c>
    </row>
    <row r="479" spans="1:20" ht="25.5" x14ac:dyDescent="0.2">
      <c r="A479" t="s">
        <v>1360</v>
      </c>
      <c r="B479" t="s">
        <v>21</v>
      </c>
      <c r="C479" t="s">
        <v>1361</v>
      </c>
      <c r="D479" s="4" t="s">
        <v>1362</v>
      </c>
      <c r="T479" s="3" t="str">
        <f>HYPERLINK("doors://fe-dorapcm3.de.bosch.com:36679/?version=2&amp;prodID=0&amp;view=00000015&amp;urn=urn:telelogic::1-52394082008461e6-O-7759-00059142","BSW_SWS_AR4_0_R2_DIODriver-7759")</f>
        <v>BSW_SWS_AR4_0_R2_DIODriver-7759</v>
      </c>
    </row>
    <row r="480" spans="1:20" x14ac:dyDescent="0.2">
      <c r="A480" t="s">
        <v>1363</v>
      </c>
      <c r="B480" t="s">
        <v>21</v>
      </c>
      <c r="C480" t="s">
        <v>1364</v>
      </c>
      <c r="D480" t="s">
        <v>1365</v>
      </c>
      <c r="T480" s="3" t="str">
        <f>HYPERLINK("doors://fe-dorapcm3.de.bosch.com:36679/?version=2&amp;prodID=0&amp;view=00000015&amp;urn=urn:telelogic::1-52394082008461e6-O-7761-00059142","BSW_SWS_AR4_0_R2_DIODriver-7761")</f>
        <v>BSW_SWS_AR4_0_R2_DIODriver-7761</v>
      </c>
    </row>
    <row r="481" spans="1:20" ht="25.5" x14ac:dyDescent="0.2">
      <c r="A481" t="s">
        <v>1366</v>
      </c>
      <c r="B481" t="s">
        <v>21</v>
      </c>
      <c r="C481" t="s">
        <v>1367</v>
      </c>
      <c r="D481" s="4" t="s">
        <v>1065</v>
      </c>
      <c r="T481" s="3" t="str">
        <f>HYPERLINK("doors://fe-dorapcm3.de.bosch.com:36679/?version=2&amp;prodID=0&amp;view=00000015&amp;urn=urn:telelogic::1-52394082008461e6-O-7762-00059142","BSW_SWS_AR4_0_R2_DIODriver-7762")</f>
        <v>BSW_SWS_AR4_0_R2_DIODriver-7762</v>
      </c>
    </row>
    <row r="482" spans="1:20" x14ac:dyDescent="0.2">
      <c r="A482" t="s">
        <v>1368</v>
      </c>
      <c r="B482" t="s">
        <v>21</v>
      </c>
      <c r="C482" t="s">
        <v>1369</v>
      </c>
      <c r="D482" t="s">
        <v>1370</v>
      </c>
      <c r="T482" s="3" t="str">
        <f>HYPERLINK("doors://fe-dorapcm3.de.bosch.com:36679/?version=2&amp;prodID=0&amp;view=00000015&amp;urn=urn:telelogic::1-52394082008461e6-O-7764-00059142","BSW_SWS_AR4_0_R2_DIODriver-7764")</f>
        <v>BSW_SWS_AR4_0_R2_DIODriver-7764</v>
      </c>
    </row>
    <row r="483" spans="1:20" ht="25.5" x14ac:dyDescent="0.2">
      <c r="A483" t="s">
        <v>1371</v>
      </c>
      <c r="B483" t="s">
        <v>21</v>
      </c>
      <c r="C483" t="s">
        <v>1372</v>
      </c>
      <c r="D483" s="4" t="s">
        <v>1065</v>
      </c>
      <c r="T483" s="3" t="str">
        <f>HYPERLINK("doors://fe-dorapcm3.de.bosch.com:36679/?version=2&amp;prodID=0&amp;view=00000015&amp;urn=urn:telelogic::1-52394082008461e6-O-7765-00059142","BSW_SWS_AR4_0_R2_DIODriver-7765")</f>
        <v>BSW_SWS_AR4_0_R2_DIODriver-7765</v>
      </c>
    </row>
    <row r="484" spans="1:20" x14ac:dyDescent="0.2">
      <c r="A484" t="s">
        <v>1373</v>
      </c>
      <c r="B484" t="s">
        <v>21</v>
      </c>
      <c r="C484" t="s">
        <v>1374</v>
      </c>
      <c r="D484" t="s">
        <v>1375</v>
      </c>
      <c r="T484" s="3" t="str">
        <f>HYPERLINK("doors://fe-dorapcm3.de.bosch.com:36679/?version=2&amp;prodID=0&amp;view=00000015&amp;urn=urn:telelogic::1-52394082008461e6-O-7767-00059142","BSW_SWS_AR4_0_R2_DIODriver-7767")</f>
        <v>BSW_SWS_AR4_0_R2_DIODriver-7767</v>
      </c>
    </row>
    <row r="485" spans="1:20" ht="25.5" x14ac:dyDescent="0.2">
      <c r="A485" t="s">
        <v>1376</v>
      </c>
      <c r="B485" t="s">
        <v>21</v>
      </c>
      <c r="C485" t="s">
        <v>1377</v>
      </c>
      <c r="D485" s="4" t="s">
        <v>1065</v>
      </c>
      <c r="T485" s="3" t="str">
        <f>HYPERLINK("doors://fe-dorapcm3.de.bosch.com:36679/?version=2&amp;prodID=0&amp;view=00000015&amp;urn=urn:telelogic::1-52394082008461e6-O-7768-00059142","BSW_SWS_AR4_0_R2_DIODriver-7768")</f>
        <v>BSW_SWS_AR4_0_R2_DIODriver-7768</v>
      </c>
    </row>
    <row r="486" spans="1:20" x14ac:dyDescent="0.2">
      <c r="A486" t="s">
        <v>1378</v>
      </c>
      <c r="B486" t="s">
        <v>21</v>
      </c>
      <c r="C486" t="s">
        <v>1379</v>
      </c>
      <c r="D486" t="s">
        <v>1380</v>
      </c>
      <c r="T486" s="3" t="str">
        <f>HYPERLINK("doors://fe-dorapcm3.de.bosch.com:36679/?version=2&amp;prodID=0&amp;view=00000015&amp;urn=urn:telelogic::1-52394082008461e6-O-7770-00059142","BSW_SWS_AR4_0_R2_DIODriver-7770")</f>
        <v>BSW_SWS_AR4_0_R2_DIODriver-7770</v>
      </c>
    </row>
    <row r="487" spans="1:20" x14ac:dyDescent="0.2">
      <c r="A487" t="s">
        <v>1381</v>
      </c>
      <c r="B487" t="s">
        <v>21</v>
      </c>
      <c r="C487" t="s">
        <v>1382</v>
      </c>
      <c r="D487" t="s">
        <v>1102</v>
      </c>
      <c r="T487" s="3" t="str">
        <f>HYPERLINK("doors://fe-dorapcm3.de.bosch.com:36679/?version=2&amp;prodID=0&amp;view=00000015&amp;urn=urn:telelogic::1-52394082008461e6-O-7771-00059142","BSW_SWS_AR4_0_R2_DIODriver-7771")</f>
        <v>BSW_SWS_AR4_0_R2_DIODriver-7771</v>
      </c>
    </row>
    <row r="488" spans="1:20" x14ac:dyDescent="0.2">
      <c r="A488" t="s">
        <v>1383</v>
      </c>
      <c r="B488" t="s">
        <v>21</v>
      </c>
      <c r="C488" t="s">
        <v>1384</v>
      </c>
      <c r="D488" t="s">
        <v>1385</v>
      </c>
      <c r="T488" s="3" t="str">
        <f>HYPERLINK("doors://fe-dorapcm3.de.bosch.com:36679/?version=2&amp;prodID=0&amp;view=00000015&amp;urn=urn:telelogic::1-52394082008461e6-O-7773-00059142","BSW_SWS_AR4_0_R2_DIODriver-7773")</f>
        <v>BSW_SWS_AR4_0_R2_DIODriver-7773</v>
      </c>
    </row>
    <row r="489" spans="1:20" x14ac:dyDescent="0.2">
      <c r="A489" t="s">
        <v>1386</v>
      </c>
      <c r="B489" t="s">
        <v>21</v>
      </c>
      <c r="C489" t="s">
        <v>1387</v>
      </c>
      <c r="D489" t="s">
        <v>1102</v>
      </c>
      <c r="T489" s="3" t="str">
        <f>HYPERLINK("doors://fe-dorapcm3.de.bosch.com:36679/?version=2&amp;prodID=0&amp;view=00000015&amp;urn=urn:telelogic::1-52394082008461e6-O-7774-00059142","BSW_SWS_AR4_0_R2_DIODriver-7774")</f>
        <v>BSW_SWS_AR4_0_R2_DIODriver-7774</v>
      </c>
    </row>
    <row r="490" spans="1:20" x14ac:dyDescent="0.2">
      <c r="A490" t="s">
        <v>1388</v>
      </c>
      <c r="B490" t="s">
        <v>76</v>
      </c>
      <c r="C490" t="s">
        <v>1389</v>
      </c>
      <c r="D490" t="s">
        <v>1390</v>
      </c>
      <c r="T490" s="3" t="str">
        <f>HYPERLINK("doors://fe-dorapcm3.de.bosch.com:36679/?version=2&amp;prodID=0&amp;view=00000015&amp;urn=urn:telelogic::1-52394082008461e6-O-7775-00059142","BSW_SWS_AR4_0_R2_DIODriver-7775")</f>
        <v>BSW_SWS_AR4_0_R2_DIODriver-7775</v>
      </c>
    </row>
    <row r="491" spans="1:20" x14ac:dyDescent="0.2">
      <c r="A491" t="s">
        <v>1391</v>
      </c>
      <c r="B491" t="s">
        <v>21</v>
      </c>
      <c r="C491" t="s">
        <v>1392</v>
      </c>
      <c r="D491" s="5" t="s">
        <v>680</v>
      </c>
      <c r="T491" s="3" t="str">
        <f>HYPERLINK("doors://fe-dorapcm3.de.bosch.com:36679/?version=2&amp;prodID=0&amp;view=00000015&amp;urn=urn:telelogic::1-52394082008461e6-O-7778-00059142","BSW_SWS_AR4_0_R2_DIODriver-7778")</f>
        <v>BSW_SWS_AR4_0_R2_DIODriver-7778</v>
      </c>
    </row>
    <row r="492" spans="1:20" x14ac:dyDescent="0.2">
      <c r="A492" t="s">
        <v>1393</v>
      </c>
      <c r="B492" t="s">
        <v>21</v>
      </c>
      <c r="C492" t="s">
        <v>1394</v>
      </c>
      <c r="D492" s="5" t="s">
        <v>683</v>
      </c>
      <c r="T492" s="3" t="str">
        <f>HYPERLINK("doors://fe-dorapcm3.de.bosch.com:36679/?version=2&amp;prodID=0&amp;view=00000015&amp;urn=urn:telelogic::1-52394082008461e6-O-7779-00059142","BSW_SWS_AR4_0_R2_DIODriver-7779")</f>
        <v>BSW_SWS_AR4_0_R2_DIODriver-7779</v>
      </c>
    </row>
    <row r="493" spans="1:20" x14ac:dyDescent="0.2">
      <c r="A493" t="s">
        <v>1395</v>
      </c>
      <c r="B493" t="s">
        <v>21</v>
      </c>
      <c r="C493" t="s">
        <v>1396</v>
      </c>
      <c r="D493" t="s">
        <v>1397</v>
      </c>
      <c r="T493" s="3" t="str">
        <f>HYPERLINK("doors://fe-dorapcm3.de.bosch.com:36679/?version=2&amp;prodID=0&amp;view=00000015&amp;urn=urn:telelogic::1-52394082008461e6-O-7781-00059142","BSW_SWS_AR4_0_R2_DIODriver-7781")</f>
        <v>BSW_SWS_AR4_0_R2_DIODriver-7781</v>
      </c>
    </row>
    <row r="494" spans="1:20" ht="25.5" x14ac:dyDescent="0.2">
      <c r="A494" t="s">
        <v>1398</v>
      </c>
      <c r="B494" t="s">
        <v>21</v>
      </c>
      <c r="C494" t="s">
        <v>1399</v>
      </c>
      <c r="D494" s="4" t="s">
        <v>1400</v>
      </c>
      <c r="T494" s="3" t="str">
        <f>HYPERLINK("doors://fe-dorapcm3.de.bosch.com:36679/?version=2&amp;prodID=0&amp;view=00000015&amp;urn=urn:telelogic::1-52394082008461e6-O-7782-00059142","BSW_SWS_AR4_0_R2_DIODriver-7782")</f>
        <v>BSW_SWS_AR4_0_R2_DIODriver-7782</v>
      </c>
    </row>
    <row r="495" spans="1:20" x14ac:dyDescent="0.2">
      <c r="A495" t="s">
        <v>1401</v>
      </c>
      <c r="B495" t="s">
        <v>21</v>
      </c>
      <c r="C495" t="s">
        <v>1402</v>
      </c>
      <c r="D495" t="s">
        <v>1403</v>
      </c>
      <c r="T495" s="3" t="str">
        <f>HYPERLINK("doors://fe-dorapcm3.de.bosch.com:36679/?version=2&amp;prodID=0&amp;view=00000015&amp;urn=urn:telelogic::1-52394082008461e6-O-7784-00059142","BSW_SWS_AR4_0_R2_DIODriver-7784")</f>
        <v>BSW_SWS_AR4_0_R2_DIODriver-7784</v>
      </c>
    </row>
    <row r="496" spans="1:20" x14ac:dyDescent="0.2">
      <c r="A496" t="s">
        <v>1404</v>
      </c>
      <c r="B496" t="s">
        <v>21</v>
      </c>
      <c r="C496" t="s">
        <v>1405</v>
      </c>
      <c r="D496" t="s">
        <v>1406</v>
      </c>
      <c r="T496" s="3" t="str">
        <f>HYPERLINK("doors://fe-dorapcm3.de.bosch.com:36679/?version=2&amp;prodID=0&amp;view=00000015&amp;urn=urn:telelogic::1-52394082008461e6-O-7785-00059142","BSW_SWS_AR4_0_R2_DIODriver-7785")</f>
        <v>BSW_SWS_AR4_0_R2_DIODriver-7785</v>
      </c>
    </row>
    <row r="497" spans="1:20" x14ac:dyDescent="0.2">
      <c r="A497" t="s">
        <v>1407</v>
      </c>
      <c r="B497" t="s">
        <v>21</v>
      </c>
      <c r="C497" t="s">
        <v>1408</v>
      </c>
      <c r="D497" t="s">
        <v>1409</v>
      </c>
      <c r="T497" s="3" t="str">
        <f>HYPERLINK("doors://fe-dorapcm3.de.bosch.com:36679/?version=2&amp;prodID=0&amp;view=00000015&amp;urn=urn:telelogic::1-52394082008461e6-O-7787-00059142","BSW_SWS_AR4_0_R2_DIODriver-7787")</f>
        <v>BSW_SWS_AR4_0_R2_DIODriver-7787</v>
      </c>
    </row>
    <row r="498" spans="1:20" x14ac:dyDescent="0.2">
      <c r="A498" t="s">
        <v>1410</v>
      </c>
      <c r="B498" t="s">
        <v>21</v>
      </c>
      <c r="C498" t="s">
        <v>1411</v>
      </c>
      <c r="D498" t="s">
        <v>1412</v>
      </c>
      <c r="T498" s="3" t="str">
        <f>HYPERLINK("doors://fe-dorapcm3.de.bosch.com:36679/?version=2&amp;prodID=0&amp;view=00000015&amp;urn=urn:telelogic::1-52394082008461e6-O-7788-00059142","BSW_SWS_AR4_0_R2_DIODriver-7788")</f>
        <v>BSW_SWS_AR4_0_R2_DIODriver-7788</v>
      </c>
    </row>
    <row r="499" spans="1:20" x14ac:dyDescent="0.2">
      <c r="A499" t="s">
        <v>1413</v>
      </c>
      <c r="B499" t="s">
        <v>21</v>
      </c>
      <c r="C499" t="s">
        <v>1414</v>
      </c>
      <c r="D499" t="s">
        <v>1415</v>
      </c>
      <c r="T499" s="3" t="str">
        <f>HYPERLINK("doors://fe-dorapcm3.de.bosch.com:36679/?version=2&amp;prodID=0&amp;view=00000015&amp;urn=urn:telelogic::1-52394082008461e6-O-7790-00059142","BSW_SWS_AR4_0_R2_DIODriver-7790")</f>
        <v>BSW_SWS_AR4_0_R2_DIODriver-7790</v>
      </c>
    </row>
    <row r="500" spans="1:20" ht="25.5" x14ac:dyDescent="0.2">
      <c r="A500" t="s">
        <v>1416</v>
      </c>
      <c r="B500" t="s">
        <v>21</v>
      </c>
      <c r="C500" t="s">
        <v>1417</v>
      </c>
      <c r="D500" s="4" t="s">
        <v>1418</v>
      </c>
      <c r="T500" s="3" t="str">
        <f>HYPERLINK("doors://fe-dorapcm3.de.bosch.com:36679/?version=2&amp;prodID=0&amp;view=00000015&amp;urn=urn:telelogic::1-52394082008461e6-O-7791-00059142","BSW_SWS_AR4_0_R2_DIODriver-7791")</f>
        <v>BSW_SWS_AR4_0_R2_DIODriver-7791</v>
      </c>
    </row>
    <row r="501" spans="1:20" x14ac:dyDescent="0.2">
      <c r="A501" t="s">
        <v>1419</v>
      </c>
      <c r="B501" t="s">
        <v>21</v>
      </c>
      <c r="C501" t="s">
        <v>1420</v>
      </c>
      <c r="D501" t="s">
        <v>1421</v>
      </c>
      <c r="T501" s="3" t="str">
        <f>HYPERLINK("doors://fe-dorapcm3.de.bosch.com:36679/?version=2&amp;prodID=0&amp;view=00000015&amp;urn=urn:telelogic::1-52394082008461e6-O-7793-00059142","BSW_SWS_AR4_0_R2_DIODriver-7793")</f>
        <v>BSW_SWS_AR4_0_R2_DIODriver-7793</v>
      </c>
    </row>
    <row r="502" spans="1:20" x14ac:dyDescent="0.2">
      <c r="A502" t="s">
        <v>1422</v>
      </c>
      <c r="B502" t="s">
        <v>21</v>
      </c>
      <c r="C502" t="s">
        <v>1423</v>
      </c>
      <c r="D502" t="s">
        <v>978</v>
      </c>
      <c r="T502" s="3" t="str">
        <f>HYPERLINK("doors://fe-dorapcm3.de.bosch.com:36679/?version=2&amp;prodID=0&amp;view=00000015&amp;urn=urn:telelogic::1-52394082008461e6-O-7794-00059142","BSW_SWS_AR4_0_R2_DIODriver-7794")</f>
        <v>BSW_SWS_AR4_0_R2_DIODriver-7794</v>
      </c>
    </row>
    <row r="503" spans="1:20" x14ac:dyDescent="0.2">
      <c r="A503" t="s">
        <v>1424</v>
      </c>
      <c r="B503" t="s">
        <v>21</v>
      </c>
      <c r="C503" t="s">
        <v>1425</v>
      </c>
      <c r="D503" t="s">
        <v>1426</v>
      </c>
      <c r="T503" s="3" t="str">
        <f>HYPERLINK("doors://fe-dorapcm3.de.bosch.com:36679/?version=2&amp;prodID=0&amp;view=00000015&amp;urn=urn:telelogic::1-52394082008461e6-O-7796-00059142","BSW_SWS_AR4_0_R2_DIODriver-7796")</f>
        <v>BSW_SWS_AR4_0_R2_DIODriver-7796</v>
      </c>
    </row>
    <row r="504" spans="1:20" ht="25.5" x14ac:dyDescent="0.2">
      <c r="A504" t="s">
        <v>1427</v>
      </c>
      <c r="B504" t="s">
        <v>21</v>
      </c>
      <c r="C504" t="s">
        <v>1428</v>
      </c>
      <c r="D504" s="4" t="s">
        <v>1429</v>
      </c>
      <c r="T504" s="3" t="str">
        <f>HYPERLINK("doors://fe-dorapcm3.de.bosch.com:36679/?version=2&amp;prodID=0&amp;view=00000015&amp;urn=urn:telelogic::1-52394082008461e6-O-7797-00059142","BSW_SWS_AR4_0_R2_DIODriver-7797")</f>
        <v>BSW_SWS_AR4_0_R2_DIODriver-7797</v>
      </c>
    </row>
    <row r="505" spans="1:20" x14ac:dyDescent="0.2">
      <c r="A505" t="s">
        <v>1430</v>
      </c>
      <c r="B505" t="s">
        <v>21</v>
      </c>
      <c r="C505" t="s">
        <v>1431</v>
      </c>
      <c r="D505" t="s">
        <v>1432</v>
      </c>
      <c r="T505" s="3" t="str">
        <f>HYPERLINK("doors://fe-dorapcm3.de.bosch.com:36679/?version=2&amp;prodID=0&amp;view=00000015&amp;urn=urn:telelogic::1-52394082008461e6-O-7799-00059142","BSW_SWS_AR4_0_R2_DIODriver-7799")</f>
        <v>BSW_SWS_AR4_0_R2_DIODriver-7799</v>
      </c>
    </row>
    <row r="506" spans="1:20" ht="25.5" x14ac:dyDescent="0.2">
      <c r="A506" t="s">
        <v>1433</v>
      </c>
      <c r="B506" t="s">
        <v>21</v>
      </c>
      <c r="C506" t="s">
        <v>1434</v>
      </c>
      <c r="D506" s="4" t="s">
        <v>1435</v>
      </c>
      <c r="T506" s="3" t="str">
        <f>HYPERLINK("doors://fe-dorapcm3.de.bosch.com:36679/?version=2&amp;prodID=0&amp;view=00000015&amp;urn=urn:telelogic::1-52394082008461e6-O-7800-00059142","BSW_SWS_AR4_0_R2_DIODriver-7800")</f>
        <v>BSW_SWS_AR4_0_R2_DIODriver-7800</v>
      </c>
    </row>
    <row r="507" spans="1:20" x14ac:dyDescent="0.2">
      <c r="A507" t="s">
        <v>1436</v>
      </c>
      <c r="B507" t="s">
        <v>21</v>
      </c>
      <c r="C507" t="s">
        <v>1437</v>
      </c>
      <c r="D507" t="s">
        <v>1438</v>
      </c>
      <c r="T507" s="3" t="str">
        <f>HYPERLINK("doors://fe-dorapcm3.de.bosch.com:36679/?version=2&amp;prodID=0&amp;view=00000015&amp;urn=urn:telelogic::1-52394082008461e6-O-7802-00059142","BSW_SWS_AR4_0_R2_DIODriver-7802")</f>
        <v>BSW_SWS_AR4_0_R2_DIODriver-7802</v>
      </c>
    </row>
    <row r="508" spans="1:20" ht="25.5" x14ac:dyDescent="0.2">
      <c r="A508" t="s">
        <v>1439</v>
      </c>
      <c r="B508" t="s">
        <v>21</v>
      </c>
      <c r="C508" t="s">
        <v>1440</v>
      </c>
      <c r="D508" s="4" t="s">
        <v>1429</v>
      </c>
      <c r="T508" s="3" t="str">
        <f>HYPERLINK("doors://fe-dorapcm3.de.bosch.com:36679/?version=2&amp;prodID=0&amp;view=00000015&amp;urn=urn:telelogic::1-52394082008461e6-O-7803-00059142","BSW_SWS_AR4_0_R2_DIODriver-7803")</f>
        <v>BSW_SWS_AR4_0_R2_DIODriver-7803</v>
      </c>
    </row>
    <row r="509" spans="1:20" x14ac:dyDescent="0.2">
      <c r="A509" t="s">
        <v>1441</v>
      </c>
      <c r="B509" t="s">
        <v>21</v>
      </c>
      <c r="C509" t="s">
        <v>1442</v>
      </c>
      <c r="D509" t="s">
        <v>1443</v>
      </c>
      <c r="T509" s="3" t="str">
        <f>HYPERLINK("doors://fe-dorapcm3.de.bosch.com:36679/?version=2&amp;prodID=0&amp;view=00000015&amp;urn=urn:telelogic::1-52394082008461e6-O-7805-00059142","BSW_SWS_AR4_0_R2_DIODriver-7805")</f>
        <v>BSW_SWS_AR4_0_R2_DIODriver-7805</v>
      </c>
    </row>
    <row r="510" spans="1:20" ht="25.5" x14ac:dyDescent="0.2">
      <c r="A510" t="s">
        <v>1444</v>
      </c>
      <c r="B510" t="s">
        <v>21</v>
      </c>
      <c r="C510" t="s">
        <v>1445</v>
      </c>
      <c r="D510" s="4" t="s">
        <v>1446</v>
      </c>
      <c r="T510" s="3" t="str">
        <f>HYPERLINK("doors://fe-dorapcm3.de.bosch.com:36679/?version=2&amp;prodID=0&amp;view=00000015&amp;urn=urn:telelogic::1-52394082008461e6-O-7806-00059142","BSW_SWS_AR4_0_R2_DIODriver-7806")</f>
        <v>BSW_SWS_AR4_0_R2_DIODriver-7806</v>
      </c>
    </row>
    <row r="511" spans="1:20" x14ac:dyDescent="0.2">
      <c r="A511" t="s">
        <v>1447</v>
      </c>
      <c r="B511" t="s">
        <v>21</v>
      </c>
      <c r="C511" t="s">
        <v>1448</v>
      </c>
      <c r="D511" t="s">
        <v>1449</v>
      </c>
      <c r="T511" s="3" t="str">
        <f>HYPERLINK("doors://fe-dorapcm3.de.bosch.com:36679/?version=2&amp;prodID=0&amp;view=00000015&amp;urn=urn:telelogic::1-52394082008461e6-O-7808-00059142","BSW_SWS_AR4_0_R2_DIODriver-7808")</f>
        <v>BSW_SWS_AR4_0_R2_DIODriver-7808</v>
      </c>
    </row>
    <row r="512" spans="1:20" ht="25.5" x14ac:dyDescent="0.2">
      <c r="A512" t="s">
        <v>1450</v>
      </c>
      <c r="B512" t="s">
        <v>21</v>
      </c>
      <c r="C512" t="s">
        <v>1451</v>
      </c>
      <c r="D512" s="4" t="s">
        <v>707</v>
      </c>
      <c r="T512" s="3" t="str">
        <f>HYPERLINK("doors://fe-dorapcm3.de.bosch.com:36679/?version=2&amp;prodID=0&amp;view=00000015&amp;urn=urn:telelogic::1-52394082008461e6-O-7809-00059142","BSW_SWS_AR4_0_R2_DIODriver-7809")</f>
        <v>BSW_SWS_AR4_0_R2_DIODriver-7809</v>
      </c>
    </row>
    <row r="513" spans="1:20" x14ac:dyDescent="0.2">
      <c r="A513" t="s">
        <v>1452</v>
      </c>
      <c r="B513" t="s">
        <v>21</v>
      </c>
      <c r="C513" t="s">
        <v>1453</v>
      </c>
      <c r="D513" t="s">
        <v>1454</v>
      </c>
      <c r="T513" s="3" t="str">
        <f>HYPERLINK("doors://fe-dorapcm3.de.bosch.com:36679/?version=2&amp;prodID=0&amp;view=00000015&amp;urn=urn:telelogic::1-52394082008461e6-O-7811-00059142","BSW_SWS_AR4_0_R2_DIODriver-7811")</f>
        <v>BSW_SWS_AR4_0_R2_DIODriver-7811</v>
      </c>
    </row>
    <row r="514" spans="1:20" ht="25.5" x14ac:dyDescent="0.2">
      <c r="A514" t="s">
        <v>1455</v>
      </c>
      <c r="B514" t="s">
        <v>21</v>
      </c>
      <c r="C514" t="s">
        <v>1456</v>
      </c>
      <c r="D514" s="4" t="s">
        <v>707</v>
      </c>
      <c r="T514" s="3" t="str">
        <f>HYPERLINK("doors://fe-dorapcm3.de.bosch.com:36679/?version=2&amp;prodID=0&amp;view=00000015&amp;urn=urn:telelogic::1-52394082008461e6-O-7812-00059142","BSW_SWS_AR4_0_R2_DIODriver-7812")</f>
        <v>BSW_SWS_AR4_0_R2_DIODriver-7812</v>
      </c>
    </row>
    <row r="515" spans="1:20" x14ac:dyDescent="0.2">
      <c r="A515" t="s">
        <v>1457</v>
      </c>
      <c r="B515" t="s">
        <v>21</v>
      </c>
      <c r="C515" t="s">
        <v>1458</v>
      </c>
      <c r="D515" t="s">
        <v>1459</v>
      </c>
      <c r="T515" s="3" t="str">
        <f>HYPERLINK("doors://fe-dorapcm3.de.bosch.com:36679/?version=2&amp;prodID=0&amp;view=00000015&amp;urn=urn:telelogic::1-52394082008461e6-O-7814-00059142","BSW_SWS_AR4_0_R2_DIODriver-7814")</f>
        <v>BSW_SWS_AR4_0_R2_DIODriver-7814</v>
      </c>
    </row>
    <row r="516" spans="1:20" ht="25.5" x14ac:dyDescent="0.2">
      <c r="A516" t="s">
        <v>1460</v>
      </c>
      <c r="B516" t="s">
        <v>21</v>
      </c>
      <c r="C516" t="s">
        <v>1461</v>
      </c>
      <c r="D516" s="4" t="s">
        <v>707</v>
      </c>
      <c r="T516" s="3" t="str">
        <f>HYPERLINK("doors://fe-dorapcm3.de.bosch.com:36679/?version=2&amp;prodID=0&amp;view=00000015&amp;urn=urn:telelogic::1-52394082008461e6-O-7815-00059142","BSW_SWS_AR4_0_R2_DIODriver-7815")</f>
        <v>BSW_SWS_AR4_0_R2_DIODriver-7815</v>
      </c>
    </row>
    <row r="517" spans="1:20" x14ac:dyDescent="0.2">
      <c r="A517" t="s">
        <v>1462</v>
      </c>
      <c r="B517" t="s">
        <v>21</v>
      </c>
      <c r="C517" t="s">
        <v>1463</v>
      </c>
      <c r="D517" t="s">
        <v>1464</v>
      </c>
      <c r="T517" s="3" t="str">
        <f>HYPERLINK("doors://fe-dorapcm3.de.bosch.com:36679/?version=2&amp;prodID=0&amp;view=00000015&amp;urn=urn:telelogic::1-52394082008461e6-O-7817-00059142","BSW_SWS_AR4_0_R2_DIODriver-7817")</f>
        <v>BSW_SWS_AR4_0_R2_DIODriver-7817</v>
      </c>
    </row>
    <row r="518" spans="1:20" x14ac:dyDescent="0.2">
      <c r="A518" t="s">
        <v>1465</v>
      </c>
      <c r="B518" t="s">
        <v>21</v>
      </c>
      <c r="C518" t="s">
        <v>1466</v>
      </c>
      <c r="D518" t="s">
        <v>978</v>
      </c>
      <c r="T518" s="3" t="str">
        <f>HYPERLINK("doors://fe-dorapcm3.de.bosch.com:36679/?version=2&amp;prodID=0&amp;view=00000015&amp;urn=urn:telelogic::1-52394082008461e6-O-7818-00059142","BSW_SWS_AR4_0_R2_DIODriver-7818")</f>
        <v>BSW_SWS_AR4_0_R2_DIODriver-7818</v>
      </c>
    </row>
    <row r="519" spans="1:20" x14ac:dyDescent="0.2">
      <c r="A519" t="s">
        <v>1467</v>
      </c>
      <c r="B519" t="s">
        <v>21</v>
      </c>
      <c r="C519" t="s">
        <v>1468</v>
      </c>
      <c r="D519" t="s">
        <v>1469</v>
      </c>
      <c r="T519" s="3" t="str">
        <f>HYPERLINK("doors://fe-dorapcm3.de.bosch.com:36679/?version=2&amp;prodID=0&amp;view=00000015&amp;urn=urn:telelogic::1-52394082008461e6-O-7820-00059142","BSW_SWS_AR4_0_R2_DIODriver-7820")</f>
        <v>BSW_SWS_AR4_0_R2_DIODriver-7820</v>
      </c>
    </row>
    <row r="520" spans="1:20" ht="25.5" x14ac:dyDescent="0.2">
      <c r="A520" t="s">
        <v>1470</v>
      </c>
      <c r="B520" t="s">
        <v>21</v>
      </c>
      <c r="C520" t="s">
        <v>1471</v>
      </c>
      <c r="D520" s="4" t="s">
        <v>1472</v>
      </c>
      <c r="T520" s="3" t="str">
        <f>HYPERLINK("doors://fe-dorapcm3.de.bosch.com:36679/?version=2&amp;prodID=0&amp;view=00000015&amp;urn=urn:telelogic::1-52394082008461e6-O-7821-00059142","BSW_SWS_AR4_0_R2_DIODriver-7821")</f>
        <v>BSW_SWS_AR4_0_R2_DIODriver-7821</v>
      </c>
    </row>
    <row r="521" spans="1:20" x14ac:dyDescent="0.2">
      <c r="A521" t="s">
        <v>1473</v>
      </c>
      <c r="B521" t="s">
        <v>21</v>
      </c>
      <c r="C521" t="s">
        <v>1474</v>
      </c>
      <c r="D521" t="s">
        <v>1475</v>
      </c>
      <c r="T521" s="3" t="str">
        <f>HYPERLINK("doors://fe-dorapcm3.de.bosch.com:36679/?version=2&amp;prodID=0&amp;view=00000015&amp;urn=urn:telelogic::1-52394082008461e6-O-7823-00059142","BSW_SWS_AR4_0_R2_DIODriver-7823")</f>
        <v>BSW_SWS_AR4_0_R2_DIODriver-7823</v>
      </c>
    </row>
    <row r="522" spans="1:20" x14ac:dyDescent="0.2">
      <c r="A522" t="s">
        <v>1476</v>
      </c>
      <c r="B522" t="s">
        <v>21</v>
      </c>
      <c r="C522" t="s">
        <v>1477</v>
      </c>
      <c r="D522" t="s">
        <v>978</v>
      </c>
      <c r="T522" s="3" t="str">
        <f>HYPERLINK("doors://fe-dorapcm3.de.bosch.com:36679/?version=2&amp;prodID=0&amp;view=00000015&amp;urn=urn:telelogic::1-52394082008461e6-O-7824-00059142","BSW_SWS_AR4_0_R2_DIODriver-7824")</f>
        <v>BSW_SWS_AR4_0_R2_DIODriver-7824</v>
      </c>
    </row>
    <row r="523" spans="1:20" x14ac:dyDescent="0.2">
      <c r="A523" t="s">
        <v>1478</v>
      </c>
      <c r="B523" t="s">
        <v>21</v>
      </c>
      <c r="C523" t="s">
        <v>1479</v>
      </c>
      <c r="D523" t="s">
        <v>1480</v>
      </c>
      <c r="T523" s="3" t="str">
        <f>HYPERLINK("doors://fe-dorapcm3.de.bosch.com:36679/?version=2&amp;prodID=0&amp;view=00000015&amp;urn=urn:telelogic::1-52394082008461e6-O-7826-00059142","BSW_SWS_AR4_0_R2_DIODriver-7826")</f>
        <v>BSW_SWS_AR4_0_R2_DIODriver-7826</v>
      </c>
    </row>
    <row r="524" spans="1:20" ht="25.5" x14ac:dyDescent="0.2">
      <c r="A524" t="s">
        <v>1481</v>
      </c>
      <c r="B524" t="s">
        <v>21</v>
      </c>
      <c r="C524" t="s">
        <v>1482</v>
      </c>
      <c r="D524" s="4" t="s">
        <v>1483</v>
      </c>
      <c r="T524" s="3" t="str">
        <f>HYPERLINK("doors://fe-dorapcm3.de.bosch.com:36679/?version=2&amp;prodID=0&amp;view=00000015&amp;urn=urn:telelogic::1-52394082008461e6-O-7827-00059142","BSW_SWS_AR4_0_R2_DIODriver-7827")</f>
        <v>BSW_SWS_AR4_0_R2_DIODriver-7827</v>
      </c>
    </row>
    <row r="525" spans="1:20" x14ac:dyDescent="0.2">
      <c r="A525" t="s">
        <v>1484</v>
      </c>
      <c r="B525" t="s">
        <v>21</v>
      </c>
      <c r="C525" t="s">
        <v>1485</v>
      </c>
      <c r="D525" t="s">
        <v>1486</v>
      </c>
      <c r="T525" s="3" t="str">
        <f>HYPERLINK("doors://fe-dorapcm3.de.bosch.com:36679/?version=2&amp;prodID=0&amp;view=00000015&amp;urn=urn:telelogic::1-52394082008461e6-O-7829-00059142","BSW_SWS_AR4_0_R2_DIODriver-7829")</f>
        <v>BSW_SWS_AR4_0_R2_DIODriver-7829</v>
      </c>
    </row>
    <row r="526" spans="1:20" x14ac:dyDescent="0.2">
      <c r="A526" t="s">
        <v>1487</v>
      </c>
      <c r="B526" t="s">
        <v>21</v>
      </c>
      <c r="C526" t="s">
        <v>1488</v>
      </c>
      <c r="D526" t="s">
        <v>1489</v>
      </c>
      <c r="T526" s="3" t="str">
        <f>HYPERLINK("doors://fe-dorapcm3.de.bosch.com:36679/?version=2&amp;prodID=0&amp;view=00000015&amp;urn=urn:telelogic::1-52394082008461e6-O-7830-00059142","BSW_SWS_AR4_0_R2_DIODriver-7830")</f>
        <v>BSW_SWS_AR4_0_R2_DIODriver-7830</v>
      </c>
    </row>
    <row r="527" spans="1:20" x14ac:dyDescent="0.2">
      <c r="A527" t="s">
        <v>1490</v>
      </c>
      <c r="B527" t="s">
        <v>21</v>
      </c>
      <c r="C527" t="s">
        <v>1491</v>
      </c>
      <c r="D527" t="s">
        <v>1492</v>
      </c>
      <c r="T527" s="3" t="str">
        <f>HYPERLINK("doors://fe-dorapcm3.de.bosch.com:36679/?version=2&amp;prodID=0&amp;view=00000015&amp;urn=urn:telelogic::1-52394082008461e6-O-7832-00059142","BSW_SWS_AR4_0_R2_DIODriver-7832")</f>
        <v>BSW_SWS_AR4_0_R2_DIODriver-7832</v>
      </c>
    </row>
    <row r="528" spans="1:20" ht="25.5" x14ac:dyDescent="0.2">
      <c r="A528" t="s">
        <v>1493</v>
      </c>
      <c r="B528" t="s">
        <v>21</v>
      </c>
      <c r="C528" t="s">
        <v>1494</v>
      </c>
      <c r="D528" s="4" t="s">
        <v>707</v>
      </c>
      <c r="T528" s="3" t="str">
        <f>HYPERLINK("doors://fe-dorapcm3.de.bosch.com:36679/?version=2&amp;prodID=0&amp;view=00000015&amp;urn=urn:telelogic::1-52394082008461e6-O-7833-00059142","BSW_SWS_AR4_0_R2_DIODriver-7833")</f>
        <v>BSW_SWS_AR4_0_R2_DIODriver-7833</v>
      </c>
    </row>
    <row r="529" spans="1:20" x14ac:dyDescent="0.2">
      <c r="A529" t="s">
        <v>1495</v>
      </c>
      <c r="B529" t="s">
        <v>21</v>
      </c>
      <c r="C529" t="s">
        <v>1496</v>
      </c>
      <c r="D529" t="s">
        <v>1497</v>
      </c>
      <c r="T529" s="3" t="str">
        <f>HYPERLINK("doors://fe-dorapcm3.de.bosch.com:36679/?version=2&amp;prodID=0&amp;view=00000015&amp;urn=urn:telelogic::1-52394082008461e6-O-7835-00059142","BSW_SWS_AR4_0_R2_DIODriver-7835")</f>
        <v>BSW_SWS_AR4_0_R2_DIODriver-7835</v>
      </c>
    </row>
    <row r="530" spans="1:20" ht="25.5" x14ac:dyDescent="0.2">
      <c r="A530" t="s">
        <v>1498</v>
      </c>
      <c r="B530" t="s">
        <v>21</v>
      </c>
      <c r="C530" t="s">
        <v>1499</v>
      </c>
      <c r="D530" s="4" t="s">
        <v>707</v>
      </c>
      <c r="T530" s="3" t="str">
        <f>HYPERLINK("doors://fe-dorapcm3.de.bosch.com:36679/?version=2&amp;prodID=0&amp;view=00000015&amp;urn=urn:telelogic::1-52394082008461e6-O-7836-00059142","BSW_SWS_AR4_0_R2_DIODriver-7836")</f>
        <v>BSW_SWS_AR4_0_R2_DIODriver-7836</v>
      </c>
    </row>
    <row r="531" spans="1:20" x14ac:dyDescent="0.2">
      <c r="A531" t="s">
        <v>1500</v>
      </c>
      <c r="B531" t="s">
        <v>21</v>
      </c>
      <c r="C531" t="s">
        <v>1501</v>
      </c>
      <c r="D531" t="s">
        <v>1502</v>
      </c>
      <c r="T531" s="3" t="str">
        <f>HYPERLINK("doors://fe-dorapcm3.de.bosch.com:36679/?version=2&amp;prodID=0&amp;view=00000015&amp;urn=urn:telelogic::1-52394082008461e6-O-7838-00059142","BSW_SWS_AR4_0_R2_DIODriver-7838")</f>
        <v>BSW_SWS_AR4_0_R2_DIODriver-7838</v>
      </c>
    </row>
    <row r="532" spans="1:20" ht="25.5" x14ac:dyDescent="0.2">
      <c r="A532" t="s">
        <v>1503</v>
      </c>
      <c r="B532" t="s">
        <v>21</v>
      </c>
      <c r="C532" t="s">
        <v>1504</v>
      </c>
      <c r="D532" s="4" t="s">
        <v>1429</v>
      </c>
      <c r="T532" s="3" t="str">
        <f>HYPERLINK("doors://fe-dorapcm3.de.bosch.com:36679/?version=2&amp;prodID=0&amp;view=00000015&amp;urn=urn:telelogic::1-52394082008461e6-O-7839-00059142","BSW_SWS_AR4_0_R2_DIODriver-7839")</f>
        <v>BSW_SWS_AR4_0_R2_DIODriver-7839</v>
      </c>
    </row>
    <row r="533" spans="1:20" x14ac:dyDescent="0.2">
      <c r="A533" t="s">
        <v>1505</v>
      </c>
      <c r="B533" t="s">
        <v>21</v>
      </c>
      <c r="C533" t="s">
        <v>1506</v>
      </c>
      <c r="D533" t="s">
        <v>1507</v>
      </c>
      <c r="T533" s="3" t="str">
        <f>HYPERLINK("doors://fe-dorapcm3.de.bosch.com:36679/?version=2&amp;prodID=0&amp;view=00000015&amp;urn=urn:telelogic::1-52394082008461e6-O-7841-00059142","BSW_SWS_AR4_0_R2_DIODriver-7841")</f>
        <v>BSW_SWS_AR4_0_R2_DIODriver-7841</v>
      </c>
    </row>
    <row r="534" spans="1:20" x14ac:dyDescent="0.2">
      <c r="A534" t="s">
        <v>1508</v>
      </c>
      <c r="B534" t="s">
        <v>21</v>
      </c>
      <c r="C534" t="s">
        <v>1509</v>
      </c>
      <c r="D534" t="s">
        <v>1510</v>
      </c>
      <c r="T534" s="3" t="str">
        <f>HYPERLINK("doors://fe-dorapcm3.de.bosch.com:36679/?version=2&amp;prodID=0&amp;view=00000015&amp;urn=urn:telelogic::1-52394082008461e6-O-7842-00059142","BSW_SWS_AR4_0_R2_DIODriver-7842")</f>
        <v>BSW_SWS_AR4_0_R2_DIODriver-7842</v>
      </c>
    </row>
    <row r="535" spans="1:20" x14ac:dyDescent="0.2">
      <c r="A535" t="s">
        <v>1511</v>
      </c>
      <c r="B535" t="s">
        <v>21</v>
      </c>
      <c r="C535" t="s">
        <v>1512</v>
      </c>
      <c r="D535" t="s">
        <v>1513</v>
      </c>
      <c r="T535" s="3" t="str">
        <f>HYPERLINK("doors://fe-dorapcm3.de.bosch.com:36679/?version=2&amp;prodID=0&amp;view=00000015&amp;urn=urn:telelogic::1-52394082008461e6-O-7844-00059142","BSW_SWS_AR4_0_R2_DIODriver-7844")</f>
        <v>BSW_SWS_AR4_0_R2_DIODriver-7844</v>
      </c>
    </row>
    <row r="536" spans="1:20" x14ac:dyDescent="0.2">
      <c r="A536" t="s">
        <v>1514</v>
      </c>
      <c r="B536" t="s">
        <v>21</v>
      </c>
      <c r="C536" t="s">
        <v>1515</v>
      </c>
      <c r="D536" t="s">
        <v>978</v>
      </c>
      <c r="T536" s="3" t="str">
        <f>HYPERLINK("doors://fe-dorapcm3.de.bosch.com:36679/?version=2&amp;prodID=0&amp;view=00000015&amp;urn=urn:telelogic::1-52394082008461e6-O-7845-00059142","BSW_SWS_AR4_0_R2_DIODriver-7845")</f>
        <v>BSW_SWS_AR4_0_R2_DIODriver-7845</v>
      </c>
    </row>
    <row r="537" spans="1:20" x14ac:dyDescent="0.2">
      <c r="A537" t="s">
        <v>1516</v>
      </c>
      <c r="B537" t="s">
        <v>21</v>
      </c>
      <c r="C537" t="s">
        <v>1517</v>
      </c>
      <c r="D537" t="s">
        <v>1518</v>
      </c>
      <c r="T537" s="3" t="str">
        <f>HYPERLINK("doors://fe-dorapcm3.de.bosch.com:36679/?version=2&amp;prodID=0&amp;view=00000015&amp;urn=urn:telelogic::1-52394082008461e6-O-7847-00059142","BSW_SWS_AR4_0_R2_DIODriver-7847")</f>
        <v>BSW_SWS_AR4_0_R2_DIODriver-7847</v>
      </c>
    </row>
    <row r="538" spans="1:20" x14ac:dyDescent="0.2">
      <c r="A538" t="s">
        <v>1519</v>
      </c>
      <c r="B538" t="s">
        <v>21</v>
      </c>
      <c r="C538" t="s">
        <v>1520</v>
      </c>
      <c r="D538" t="s">
        <v>978</v>
      </c>
      <c r="T538" s="3" t="str">
        <f>HYPERLINK("doors://fe-dorapcm3.de.bosch.com:36679/?version=2&amp;prodID=0&amp;view=00000015&amp;urn=urn:telelogic::1-52394082008461e6-O-7848-00059142","BSW_SWS_AR4_0_R2_DIODriver-7848")</f>
        <v>BSW_SWS_AR4_0_R2_DIODriver-7848</v>
      </c>
    </row>
    <row r="539" spans="1:20" x14ac:dyDescent="0.2">
      <c r="A539" t="s">
        <v>1521</v>
      </c>
      <c r="B539" t="s">
        <v>21</v>
      </c>
      <c r="C539" t="s">
        <v>1522</v>
      </c>
      <c r="D539" t="s">
        <v>1523</v>
      </c>
      <c r="T539" s="3" t="str">
        <f>HYPERLINK("doors://fe-dorapcm3.de.bosch.com:36679/?version=2&amp;prodID=0&amp;view=00000015&amp;urn=urn:telelogic::1-52394082008461e6-O-7850-00059142","BSW_SWS_AR4_0_R2_DIODriver-7850")</f>
        <v>BSW_SWS_AR4_0_R2_DIODriver-7850</v>
      </c>
    </row>
    <row r="540" spans="1:20" x14ac:dyDescent="0.2">
      <c r="A540" t="s">
        <v>1524</v>
      </c>
      <c r="B540" t="s">
        <v>21</v>
      </c>
      <c r="C540" t="s">
        <v>1525</v>
      </c>
      <c r="D540" t="s">
        <v>978</v>
      </c>
      <c r="T540" s="3" t="str">
        <f>HYPERLINK("doors://fe-dorapcm3.de.bosch.com:36679/?version=2&amp;prodID=0&amp;view=00000015&amp;urn=urn:telelogic::1-52394082008461e6-O-7851-00059142","BSW_SWS_AR4_0_R2_DIODriver-7851")</f>
        <v>BSW_SWS_AR4_0_R2_DIODriver-7851</v>
      </c>
    </row>
    <row r="541" spans="1:20" x14ac:dyDescent="0.2">
      <c r="A541" t="s">
        <v>1526</v>
      </c>
      <c r="B541" t="s">
        <v>76</v>
      </c>
      <c r="C541" t="s">
        <v>1527</v>
      </c>
      <c r="D541" t="s">
        <v>1528</v>
      </c>
      <c r="T541" s="3" t="str">
        <f>HYPERLINK("doors://fe-dorapcm3.de.bosch.com:36679/?version=2&amp;prodID=0&amp;view=00000015&amp;urn=urn:telelogic::1-52394082008461e6-O-7852-00059142","BSW_SWS_AR4_0_R2_DIODriver-7852")</f>
        <v>BSW_SWS_AR4_0_R2_DIODriver-7852</v>
      </c>
    </row>
    <row r="542" spans="1:20" x14ac:dyDescent="0.2">
      <c r="A542" t="s">
        <v>1529</v>
      </c>
      <c r="B542" t="s">
        <v>21</v>
      </c>
      <c r="C542" t="s">
        <v>1530</v>
      </c>
      <c r="D542" s="5" t="s">
        <v>680</v>
      </c>
      <c r="T542" s="3" t="str">
        <f>HYPERLINK("doors://fe-dorapcm3.de.bosch.com:36679/?version=2&amp;prodID=0&amp;view=00000015&amp;urn=urn:telelogic::1-52394082008461e6-O-7855-00059142","BSW_SWS_AR4_0_R2_DIODriver-7855")</f>
        <v>BSW_SWS_AR4_0_R2_DIODriver-7855</v>
      </c>
    </row>
    <row r="543" spans="1:20" x14ac:dyDescent="0.2">
      <c r="A543" t="s">
        <v>1531</v>
      </c>
      <c r="B543" t="s">
        <v>21</v>
      </c>
      <c r="C543" t="s">
        <v>1532</v>
      </c>
      <c r="D543" s="5" t="s">
        <v>683</v>
      </c>
      <c r="T543" s="3" t="str">
        <f>HYPERLINK("doors://fe-dorapcm3.de.bosch.com:36679/?version=2&amp;prodID=0&amp;view=00000015&amp;urn=urn:telelogic::1-52394082008461e6-O-7856-00059142","BSW_SWS_AR4_0_R2_DIODriver-7856")</f>
        <v>BSW_SWS_AR4_0_R2_DIODriver-7856</v>
      </c>
    </row>
    <row r="544" spans="1:20" x14ac:dyDescent="0.2">
      <c r="A544" t="s">
        <v>1533</v>
      </c>
      <c r="B544" t="s">
        <v>21</v>
      </c>
      <c r="C544" t="s">
        <v>1534</v>
      </c>
      <c r="D544" t="s">
        <v>1535</v>
      </c>
      <c r="T544" s="3" t="str">
        <f>HYPERLINK("doors://fe-dorapcm3.de.bosch.com:36679/?version=2&amp;prodID=0&amp;view=00000015&amp;urn=urn:telelogic::1-52394082008461e6-O-7858-00059142","BSW_SWS_AR4_0_R2_DIODriver-7858")</f>
        <v>BSW_SWS_AR4_0_R2_DIODriver-7858</v>
      </c>
    </row>
    <row r="545" spans="1:20" x14ac:dyDescent="0.2">
      <c r="A545" t="s">
        <v>1536</v>
      </c>
      <c r="B545" t="s">
        <v>21</v>
      </c>
      <c r="C545" t="s">
        <v>1537</v>
      </c>
      <c r="D545" t="s">
        <v>1538</v>
      </c>
      <c r="T545" s="3" t="str">
        <f>HYPERLINK("doors://fe-dorapcm3.de.bosch.com:36679/?version=2&amp;prodID=0&amp;view=00000015&amp;urn=urn:telelogic::1-52394082008461e6-O-7859-00059142","BSW_SWS_AR4_0_R2_DIODriver-7859")</f>
        <v>BSW_SWS_AR4_0_R2_DIODriver-7859</v>
      </c>
    </row>
    <row r="546" spans="1:20" x14ac:dyDescent="0.2">
      <c r="A546" t="s">
        <v>1539</v>
      </c>
      <c r="B546" t="s">
        <v>21</v>
      </c>
      <c r="C546" t="s">
        <v>1540</v>
      </c>
      <c r="D546" t="s">
        <v>1541</v>
      </c>
      <c r="T546" s="3" t="str">
        <f>HYPERLINK("doors://fe-dorapcm3.de.bosch.com:36679/?version=2&amp;prodID=0&amp;view=00000015&amp;urn=urn:telelogic::1-52394082008461e6-O-7861-00059142","BSW_SWS_AR4_0_R2_DIODriver-7861")</f>
        <v>BSW_SWS_AR4_0_R2_DIODriver-7861</v>
      </c>
    </row>
    <row r="547" spans="1:20" x14ac:dyDescent="0.2">
      <c r="A547" t="s">
        <v>1542</v>
      </c>
      <c r="B547" t="s">
        <v>21</v>
      </c>
      <c r="C547" t="s">
        <v>1543</v>
      </c>
      <c r="D547" t="s">
        <v>1544</v>
      </c>
      <c r="T547" s="3" t="str">
        <f>HYPERLINK("doors://fe-dorapcm3.de.bosch.com:36679/?version=2&amp;prodID=0&amp;view=00000015&amp;urn=urn:telelogic::1-52394082008461e6-O-7862-00059142","BSW_SWS_AR4_0_R2_DIODriver-7862")</f>
        <v>BSW_SWS_AR4_0_R2_DIODriver-7862</v>
      </c>
    </row>
    <row r="548" spans="1:20" x14ac:dyDescent="0.2">
      <c r="A548" t="s">
        <v>1545</v>
      </c>
      <c r="B548" t="s">
        <v>21</v>
      </c>
      <c r="C548" t="s">
        <v>1546</v>
      </c>
      <c r="D548" t="s">
        <v>1547</v>
      </c>
      <c r="T548" s="3" t="str">
        <f>HYPERLINK("doors://fe-dorapcm3.de.bosch.com:36679/?version=2&amp;prodID=0&amp;view=00000015&amp;urn=urn:telelogic::1-52394082008461e6-O-7864-00059142","BSW_SWS_AR4_0_R2_DIODriver-7864")</f>
        <v>BSW_SWS_AR4_0_R2_DIODriver-7864</v>
      </c>
    </row>
    <row r="549" spans="1:20" x14ac:dyDescent="0.2">
      <c r="A549" t="s">
        <v>1548</v>
      </c>
      <c r="B549" t="s">
        <v>21</v>
      </c>
      <c r="C549" t="s">
        <v>1549</v>
      </c>
      <c r="D549" t="s">
        <v>1550</v>
      </c>
      <c r="T549" s="3" t="str">
        <f>HYPERLINK("doors://fe-dorapcm3.de.bosch.com:36679/?version=2&amp;prodID=0&amp;view=00000015&amp;urn=urn:telelogic::1-52394082008461e6-O-7865-00059142","BSW_SWS_AR4_0_R2_DIODriver-7865")</f>
        <v>BSW_SWS_AR4_0_R2_DIODriver-7865</v>
      </c>
    </row>
    <row r="550" spans="1:20" x14ac:dyDescent="0.2">
      <c r="A550" t="s">
        <v>1551</v>
      </c>
      <c r="B550" t="s">
        <v>21</v>
      </c>
      <c r="C550" t="s">
        <v>1552</v>
      </c>
      <c r="D550" t="s">
        <v>1553</v>
      </c>
      <c r="T550" s="3" t="str">
        <f>HYPERLINK("doors://fe-dorapcm3.de.bosch.com:36679/?version=2&amp;prodID=0&amp;view=00000015&amp;urn=urn:telelogic::1-52394082008461e6-O-7867-00059142","BSW_SWS_AR4_0_R2_DIODriver-7867")</f>
        <v>BSW_SWS_AR4_0_R2_DIODriver-7867</v>
      </c>
    </row>
    <row r="551" spans="1:20" x14ac:dyDescent="0.2">
      <c r="A551" t="s">
        <v>1554</v>
      </c>
      <c r="B551" t="s">
        <v>21</v>
      </c>
      <c r="C551" t="s">
        <v>1555</v>
      </c>
      <c r="D551" t="s">
        <v>1556</v>
      </c>
      <c r="T551" s="3" t="str">
        <f>HYPERLINK("doors://fe-dorapcm3.de.bosch.com:36679/?version=2&amp;prodID=0&amp;view=00000015&amp;urn=urn:telelogic::1-52394082008461e6-O-7868-00059142","BSW_SWS_AR4_0_R2_DIODriver-7868")</f>
        <v>BSW_SWS_AR4_0_R2_DIODriver-7868</v>
      </c>
    </row>
    <row r="552" spans="1:20" x14ac:dyDescent="0.2">
      <c r="A552" t="s">
        <v>1557</v>
      </c>
      <c r="B552" t="s">
        <v>21</v>
      </c>
      <c r="C552" t="s">
        <v>1558</v>
      </c>
      <c r="D552" t="s">
        <v>1559</v>
      </c>
      <c r="T552" s="3" t="str">
        <f>HYPERLINK("doors://fe-dorapcm3.de.bosch.com:36679/?version=2&amp;prodID=0&amp;view=00000015&amp;urn=urn:telelogic::1-52394082008461e6-O-7870-00059142","BSW_SWS_AR4_0_R2_DIODriver-7870")</f>
        <v>BSW_SWS_AR4_0_R2_DIODriver-7870</v>
      </c>
    </row>
    <row r="553" spans="1:20" x14ac:dyDescent="0.2">
      <c r="A553" t="s">
        <v>1560</v>
      </c>
      <c r="B553" t="s">
        <v>21</v>
      </c>
      <c r="C553" t="s">
        <v>1561</v>
      </c>
      <c r="D553" t="s">
        <v>1562</v>
      </c>
      <c r="T553" s="3" t="str">
        <f>HYPERLINK("doors://fe-dorapcm3.de.bosch.com:36679/?version=2&amp;prodID=0&amp;view=00000015&amp;urn=urn:telelogic::1-52394082008461e6-O-7871-00059142","BSW_SWS_AR4_0_R2_DIODriver-7871")</f>
        <v>BSW_SWS_AR4_0_R2_DIODriver-7871</v>
      </c>
    </row>
    <row r="554" spans="1:20" x14ac:dyDescent="0.2">
      <c r="A554" t="s">
        <v>1563</v>
      </c>
      <c r="B554" t="s">
        <v>21</v>
      </c>
      <c r="C554" t="s">
        <v>1564</v>
      </c>
      <c r="D554" t="s">
        <v>1565</v>
      </c>
      <c r="T554" s="3" t="str">
        <f>HYPERLINK("doors://fe-dorapcm3.de.bosch.com:36679/?version=2&amp;prodID=0&amp;view=00000015&amp;urn=urn:telelogic::1-52394082008461e6-O-7873-00059142","BSW_SWS_AR4_0_R2_DIODriver-7873")</f>
        <v>BSW_SWS_AR4_0_R2_DIODriver-7873</v>
      </c>
    </row>
    <row r="555" spans="1:20" x14ac:dyDescent="0.2">
      <c r="A555" t="s">
        <v>1566</v>
      </c>
      <c r="B555" t="s">
        <v>21</v>
      </c>
      <c r="C555" t="s">
        <v>1567</v>
      </c>
      <c r="D555" t="s">
        <v>1568</v>
      </c>
      <c r="T555" s="3" t="str">
        <f>HYPERLINK("doors://fe-dorapcm3.de.bosch.com:36679/?version=2&amp;prodID=0&amp;view=00000015&amp;urn=urn:telelogic::1-52394082008461e6-O-7874-00059142","BSW_SWS_AR4_0_R2_DIODriver-7874")</f>
        <v>BSW_SWS_AR4_0_R2_DIODriver-7874</v>
      </c>
    </row>
    <row r="556" spans="1:20" x14ac:dyDescent="0.2">
      <c r="A556" t="s">
        <v>1569</v>
      </c>
      <c r="B556" t="s">
        <v>21</v>
      </c>
      <c r="C556" t="s">
        <v>1570</v>
      </c>
      <c r="D556" t="s">
        <v>1571</v>
      </c>
      <c r="T556" s="3" t="str">
        <f>HYPERLINK("doors://fe-dorapcm3.de.bosch.com:36679/?version=2&amp;prodID=0&amp;view=00000015&amp;urn=urn:telelogic::1-52394082008461e6-O-7876-00059142","BSW_SWS_AR4_0_R2_DIODriver-7876")</f>
        <v>BSW_SWS_AR4_0_R2_DIODriver-7876</v>
      </c>
    </row>
    <row r="557" spans="1:20" x14ac:dyDescent="0.2">
      <c r="A557" t="s">
        <v>1572</v>
      </c>
      <c r="B557" t="s">
        <v>21</v>
      </c>
      <c r="C557" t="s">
        <v>1573</v>
      </c>
      <c r="D557" t="s">
        <v>1574</v>
      </c>
      <c r="T557" s="3" t="str">
        <f>HYPERLINK("doors://fe-dorapcm3.de.bosch.com:36679/?version=2&amp;prodID=0&amp;view=00000015&amp;urn=urn:telelogic::1-52394082008461e6-O-7877-00059142","BSW_SWS_AR4_0_R2_DIODriver-7877")</f>
        <v>BSW_SWS_AR4_0_R2_DIODriver-7877</v>
      </c>
    </row>
    <row r="558" spans="1:20" x14ac:dyDescent="0.2">
      <c r="A558" t="s">
        <v>1575</v>
      </c>
      <c r="B558" t="s">
        <v>21</v>
      </c>
      <c r="C558" t="s">
        <v>1576</v>
      </c>
      <c r="D558" t="s">
        <v>1577</v>
      </c>
      <c r="T558" s="3" t="str">
        <f>HYPERLINK("doors://fe-dorapcm3.de.bosch.com:36679/?version=2&amp;prodID=0&amp;view=00000015&amp;urn=urn:telelogic::1-52394082008461e6-O-7879-00059142","BSW_SWS_AR4_0_R2_DIODriver-7879")</f>
        <v>BSW_SWS_AR4_0_R2_DIODriver-7879</v>
      </c>
    </row>
    <row r="559" spans="1:20" ht="25.5" x14ac:dyDescent="0.2">
      <c r="A559" t="s">
        <v>1578</v>
      </c>
      <c r="B559" t="s">
        <v>21</v>
      </c>
      <c r="C559" t="s">
        <v>1579</v>
      </c>
      <c r="D559" s="4" t="s">
        <v>1580</v>
      </c>
      <c r="T559" s="3" t="str">
        <f>HYPERLINK("doors://fe-dorapcm3.de.bosch.com:36679/?version=2&amp;prodID=0&amp;view=00000015&amp;urn=urn:telelogic::1-52394082008461e6-O-7880-00059142","BSW_SWS_AR4_0_R2_DIODriver-7880")</f>
        <v>BSW_SWS_AR4_0_R2_DIODriver-7880</v>
      </c>
    </row>
    <row r="560" spans="1:20" x14ac:dyDescent="0.2">
      <c r="A560" t="s">
        <v>1581</v>
      </c>
      <c r="B560" t="s">
        <v>21</v>
      </c>
      <c r="C560" t="s">
        <v>1582</v>
      </c>
      <c r="D560" t="s">
        <v>1583</v>
      </c>
      <c r="T560" s="3" t="str">
        <f>HYPERLINK("doors://fe-dorapcm3.de.bosch.com:36679/?version=2&amp;prodID=0&amp;view=00000015&amp;urn=urn:telelogic::1-52394082008461e6-O-7882-00059142","BSW_SWS_AR4_0_R2_DIODriver-7882")</f>
        <v>BSW_SWS_AR4_0_R2_DIODriver-7882</v>
      </c>
    </row>
    <row r="561" spans="1:20" x14ac:dyDescent="0.2">
      <c r="A561" t="s">
        <v>1584</v>
      </c>
      <c r="B561" t="s">
        <v>21</v>
      </c>
      <c r="C561" t="s">
        <v>1585</v>
      </c>
      <c r="D561" t="s">
        <v>1586</v>
      </c>
      <c r="T561" s="3" t="str">
        <f>HYPERLINK("doors://fe-dorapcm3.de.bosch.com:36679/?version=2&amp;prodID=0&amp;view=00000015&amp;urn=urn:telelogic::1-52394082008461e6-O-7883-00059142","BSW_SWS_AR4_0_R2_DIODriver-7883")</f>
        <v>BSW_SWS_AR4_0_R2_DIODriver-7883</v>
      </c>
    </row>
    <row r="562" spans="1:20" x14ac:dyDescent="0.2">
      <c r="A562" t="s">
        <v>1587</v>
      </c>
      <c r="B562" t="s">
        <v>21</v>
      </c>
      <c r="C562">
        <v>7</v>
      </c>
      <c r="D562" s="2" t="s">
        <v>1588</v>
      </c>
      <c r="T562" s="3" t="str">
        <f>HYPERLINK("doors://fe-dorapcm3.de.bosch.com:36679/?version=2&amp;prodID=0&amp;view=00000015&amp;urn=urn:telelogic::1-52394082008461e6-O-7884-00059142","BSW_SWS_AR4_0_R2_DIODriver-7884")</f>
        <v>BSW_SWS_AR4_0_R2_DIODriver-7884</v>
      </c>
    </row>
    <row r="563" spans="1:20" x14ac:dyDescent="0.2">
      <c r="A563" t="s">
        <v>1589</v>
      </c>
      <c r="B563" t="s">
        <v>21</v>
      </c>
      <c r="C563">
        <v>7.1</v>
      </c>
      <c r="D563" s="2" t="s">
        <v>1590</v>
      </c>
      <c r="T563" s="3" t="str">
        <f>HYPERLINK("doors://fe-dorapcm3.de.bosch.com:36679/?version=2&amp;prodID=0&amp;view=00000015&amp;urn=urn:telelogic::1-52394082008461e6-O-7885-00059142","BSW_SWS_AR4_0_R2_DIODriver-7885")</f>
        <v>BSW_SWS_AR4_0_R2_DIODriver-7885</v>
      </c>
    </row>
    <row r="564" spans="1:20" x14ac:dyDescent="0.2">
      <c r="A564" t="s">
        <v>1591</v>
      </c>
      <c r="B564" t="s">
        <v>21</v>
      </c>
      <c r="C564" t="s">
        <v>1592</v>
      </c>
      <c r="D564" s="2" t="s">
        <v>1593</v>
      </c>
      <c r="T564" s="3" t="str">
        <f>HYPERLINK("doors://fe-dorapcm3.de.bosch.com:36679/?version=2&amp;prodID=0&amp;view=00000015&amp;urn=urn:telelogic::1-52394082008461e6-O-7886-00059142","BSW_SWS_AR4_0_R2_DIODriver-7886")</f>
        <v>BSW_SWS_AR4_0_R2_DIODriver-7886</v>
      </c>
    </row>
    <row r="565" spans="1:20" x14ac:dyDescent="0.2">
      <c r="A565" t="s">
        <v>1594</v>
      </c>
      <c r="B565" t="s">
        <v>76</v>
      </c>
      <c r="C565" t="s">
        <v>1595</v>
      </c>
      <c r="D565" t="s">
        <v>1596</v>
      </c>
      <c r="T565" s="3" t="str">
        <f>HYPERLINK("doors://fe-dorapcm3.de.bosch.com:36679/?version=2&amp;prodID=0&amp;view=00000015&amp;urn=urn:telelogic::1-52394082008461e6-O-7887-00059142","BSW_SWS_AR4_0_R2_DIODriver-7887")</f>
        <v>BSW_SWS_AR4_0_R2_DIODriver-7887</v>
      </c>
    </row>
    <row r="566" spans="1:20" x14ac:dyDescent="0.2">
      <c r="A566" t="s">
        <v>1597</v>
      </c>
      <c r="B566" t="s">
        <v>21</v>
      </c>
      <c r="C566" t="s">
        <v>1598</v>
      </c>
      <c r="D566" s="2" t="s">
        <v>1599</v>
      </c>
      <c r="T566" s="3" t="str">
        <f>HYPERLINK("doors://fe-dorapcm3.de.bosch.com:36679/?version=2&amp;prodID=0&amp;view=00000015&amp;urn=urn:telelogic::1-52394082008461e6-O-7888-00059142","BSW_SWS_AR4_0_R2_DIODriver-7888")</f>
        <v>BSW_SWS_AR4_0_R2_DIODriver-7888</v>
      </c>
    </row>
    <row r="567" spans="1:20" x14ac:dyDescent="0.2">
      <c r="A567" t="s">
        <v>1600</v>
      </c>
      <c r="B567" t="s">
        <v>76</v>
      </c>
      <c r="C567" t="s">
        <v>1601</v>
      </c>
      <c r="D567" t="s">
        <v>1602</v>
      </c>
      <c r="T567" s="3" t="str">
        <f>HYPERLINK("doors://fe-dorapcm3.de.bosch.com:36679/?version=2&amp;prodID=0&amp;view=00000015&amp;urn=urn:telelogic::1-52394082008461e6-O-7889-00059142","BSW_SWS_AR4_0_R2_DIODriver-7889")</f>
        <v>BSW_SWS_AR4_0_R2_DIODriver-7889</v>
      </c>
    </row>
    <row r="568" spans="1:20" x14ac:dyDescent="0.2">
      <c r="A568" t="s">
        <v>1603</v>
      </c>
      <c r="B568" t="s">
        <v>614</v>
      </c>
      <c r="C568" t="s">
        <v>1604</v>
      </c>
      <c r="D568" t="s">
        <v>1605</v>
      </c>
      <c r="K568" t="s">
        <v>618</v>
      </c>
      <c r="P568" t="s">
        <v>619</v>
      </c>
      <c r="Q568" t="s">
        <v>1606</v>
      </c>
      <c r="R568" t="s">
        <v>621</v>
      </c>
      <c r="S568" t="s">
        <v>622</v>
      </c>
      <c r="T568" s="3" t="str">
        <f>HYPERLINK("doors://fe-dorapcm3.de.bosch.com:36679/?version=2&amp;prodID=0&amp;view=00000015&amp;urn=urn:telelogic::1-52394082008461e6-O-7890-00059142","BSW_SWS_AR4_0_R2_DIODriver-7890")</f>
        <v>BSW_SWS_AR4_0_R2_DIODriver-7890</v>
      </c>
    </row>
    <row r="569" spans="1:20" x14ac:dyDescent="0.2">
      <c r="A569" t="s">
        <v>1607</v>
      </c>
      <c r="B569" t="s">
        <v>614</v>
      </c>
      <c r="C569" t="s">
        <v>1608</v>
      </c>
      <c r="D569" t="s">
        <v>1609</v>
      </c>
      <c r="K569" t="s">
        <v>618</v>
      </c>
      <c r="P569" t="s">
        <v>619</v>
      </c>
      <c r="Q569" t="s">
        <v>620</v>
      </c>
      <c r="R569" t="s">
        <v>621</v>
      </c>
      <c r="S569" t="s">
        <v>622</v>
      </c>
      <c r="T569" s="3" t="str">
        <f>HYPERLINK("doors://fe-dorapcm3.de.bosch.com:36679/?version=2&amp;prodID=0&amp;view=00000015&amp;urn=urn:telelogic::1-52394082008461e6-O-7891-00059142","BSW_SWS_AR4_0_R2_DIODriver-7891")</f>
        <v>BSW_SWS_AR4_0_R2_DIODriver-7891</v>
      </c>
    </row>
    <row r="570" spans="1:20" x14ac:dyDescent="0.2">
      <c r="A570" t="s">
        <v>1610</v>
      </c>
      <c r="B570" t="s">
        <v>614</v>
      </c>
      <c r="C570" t="s">
        <v>1611</v>
      </c>
      <c r="D570" t="s">
        <v>1612</v>
      </c>
      <c r="K570" t="s">
        <v>618</v>
      </c>
      <c r="P570" t="s">
        <v>619</v>
      </c>
      <c r="Q570" t="s">
        <v>651</v>
      </c>
      <c r="R570" t="s">
        <v>621</v>
      </c>
      <c r="S570" t="s">
        <v>622</v>
      </c>
      <c r="T570" s="3" t="str">
        <f>HYPERLINK("doors://fe-dorapcm3.de.bosch.com:36679/?version=2&amp;prodID=0&amp;view=00000015&amp;urn=urn:telelogic::1-52394082008461e6-O-7892-00059142","BSW_SWS_AR4_0_R2_DIODriver-7892")</f>
        <v>BSW_SWS_AR4_0_R2_DIODriver-7892</v>
      </c>
    </row>
    <row r="571" spans="1:20" x14ac:dyDescent="0.2">
      <c r="A571" t="s">
        <v>1613</v>
      </c>
      <c r="B571" t="s">
        <v>76</v>
      </c>
      <c r="C571" t="s">
        <v>1614</v>
      </c>
      <c r="D571" t="s">
        <v>1615</v>
      </c>
      <c r="T571" s="3" t="str">
        <f>HYPERLINK("doors://fe-dorapcm3.de.bosch.com:36679/?version=2&amp;prodID=0&amp;view=00000015&amp;urn=urn:telelogic::1-52394082008461e6-O-7893-00059142","BSW_SWS_AR4_0_R2_DIODriver-7893")</f>
        <v>BSW_SWS_AR4_0_R2_DIODriver-7893</v>
      </c>
    </row>
    <row r="572" spans="1:20" ht="76.5" x14ac:dyDescent="0.2">
      <c r="A572" t="s">
        <v>1616</v>
      </c>
      <c r="B572" t="s">
        <v>1617</v>
      </c>
      <c r="C572" t="s">
        <v>1618</v>
      </c>
      <c r="D572" t="s">
        <v>1619</v>
      </c>
      <c r="E572" s="4" t="s">
        <v>1620</v>
      </c>
      <c r="F572" t="s">
        <v>1621</v>
      </c>
      <c r="G572" s="4" t="s">
        <v>1622</v>
      </c>
      <c r="J572" t="s">
        <v>617</v>
      </c>
      <c r="K572" t="s">
        <v>618</v>
      </c>
      <c r="P572" t="s">
        <v>619</v>
      </c>
      <c r="Q572" t="s">
        <v>620</v>
      </c>
      <c r="R572" t="s">
        <v>621</v>
      </c>
      <c r="S572" t="s">
        <v>622</v>
      </c>
      <c r="T572" s="3" t="str">
        <f>HYPERLINK("doors://fe-dorapcm3.de.bosch.com:36679/?version=2&amp;prodID=0&amp;view=00000015&amp;urn=urn:telelogic::1-52394082008461e6-O-7894-00059142","BSW_SWS_AR4_0_R2_DIODriver-7894")</f>
        <v>BSW_SWS_AR4_0_R2_DIODriver-7894</v>
      </c>
    </row>
    <row r="573" spans="1:20" ht="76.5" x14ac:dyDescent="0.2">
      <c r="A573" t="s">
        <v>1623</v>
      </c>
      <c r="B573" t="s">
        <v>1617</v>
      </c>
      <c r="C573" t="s">
        <v>1624</v>
      </c>
      <c r="D573" t="s">
        <v>1625</v>
      </c>
      <c r="E573" s="4" t="s">
        <v>1626</v>
      </c>
      <c r="F573" t="s">
        <v>1621</v>
      </c>
      <c r="G573" s="4" t="s">
        <v>1627</v>
      </c>
      <c r="J573" t="s">
        <v>617</v>
      </c>
      <c r="K573" t="s">
        <v>618</v>
      </c>
      <c r="P573" t="s">
        <v>619</v>
      </c>
      <c r="Q573" t="s">
        <v>620</v>
      </c>
      <c r="R573" t="s">
        <v>621</v>
      </c>
      <c r="S573" t="s">
        <v>622</v>
      </c>
      <c r="T573" s="3" t="str">
        <f>HYPERLINK("doors://fe-dorapcm3.de.bosch.com:36679/?version=2&amp;prodID=0&amp;view=00000015&amp;urn=urn:telelogic::1-52394082008461e6-O-7895-00059142","BSW_SWS_AR4_0_R2_DIODriver-7895")</f>
        <v>BSW_SWS_AR4_0_R2_DIODriver-7895</v>
      </c>
    </row>
    <row r="574" spans="1:20" x14ac:dyDescent="0.2">
      <c r="A574" t="s">
        <v>1628</v>
      </c>
      <c r="B574" t="s">
        <v>614</v>
      </c>
      <c r="C574" t="s">
        <v>1629</v>
      </c>
      <c r="D574" t="s">
        <v>1630</v>
      </c>
      <c r="K574" t="s">
        <v>618</v>
      </c>
      <c r="P574" t="s">
        <v>619</v>
      </c>
      <c r="Q574" t="s">
        <v>620</v>
      </c>
      <c r="R574" t="s">
        <v>621</v>
      </c>
      <c r="S574" t="s">
        <v>622</v>
      </c>
      <c r="T574" s="3" t="str">
        <f>HYPERLINK("doors://fe-dorapcm3.de.bosch.com:36679/?version=2&amp;prodID=0&amp;view=00000015&amp;urn=urn:telelogic::1-52394082008461e6-O-7896-00059142","BSW_SWS_AR4_0_R2_DIODriver-7896")</f>
        <v>BSW_SWS_AR4_0_R2_DIODriver-7896</v>
      </c>
    </row>
    <row r="575" spans="1:20" ht="102" x14ac:dyDescent="0.2">
      <c r="A575" t="s">
        <v>1631</v>
      </c>
      <c r="B575" t="s">
        <v>1617</v>
      </c>
      <c r="C575" t="s">
        <v>1632</v>
      </c>
      <c r="D575" t="s">
        <v>1633</v>
      </c>
      <c r="E575" s="4" t="s">
        <v>1634</v>
      </c>
      <c r="F575" t="s">
        <v>1621</v>
      </c>
      <c r="G575" s="4" t="s">
        <v>1635</v>
      </c>
      <c r="J575" t="s">
        <v>617</v>
      </c>
      <c r="K575" t="s">
        <v>618</v>
      </c>
      <c r="P575" t="s">
        <v>619</v>
      </c>
      <c r="Q575" t="s">
        <v>620</v>
      </c>
      <c r="R575" t="s">
        <v>621</v>
      </c>
      <c r="S575" t="s">
        <v>622</v>
      </c>
      <c r="T575" s="3" t="str">
        <f>HYPERLINK("doors://fe-dorapcm3.de.bosch.com:36679/?version=2&amp;prodID=0&amp;view=00000015&amp;urn=urn:telelogic::1-52394082008461e6-O-7897-00059142","BSW_SWS_AR4_0_R2_DIODriver-7897")</f>
        <v>BSW_SWS_AR4_0_R2_DIODriver-7897</v>
      </c>
    </row>
    <row r="576" spans="1:20" x14ac:dyDescent="0.2">
      <c r="A576" t="s">
        <v>1636</v>
      </c>
      <c r="B576" t="s">
        <v>614</v>
      </c>
      <c r="C576" t="s">
        <v>1637</v>
      </c>
      <c r="D576" t="s">
        <v>1638</v>
      </c>
      <c r="J576" t="s">
        <v>617</v>
      </c>
      <c r="K576" t="s">
        <v>618</v>
      </c>
      <c r="P576" t="s">
        <v>619</v>
      </c>
      <c r="Q576" t="s">
        <v>620</v>
      </c>
      <c r="R576" t="s">
        <v>621</v>
      </c>
      <c r="S576" t="s">
        <v>622</v>
      </c>
      <c r="T576" s="3" t="str">
        <f>HYPERLINK("doors://fe-dorapcm3.de.bosch.com:36679/?version=2&amp;prodID=0&amp;view=00000015&amp;urn=urn:telelogic::1-52394082008461e6-O-7898-00059142","BSW_SWS_AR4_0_R2_DIODriver-7898")</f>
        <v>BSW_SWS_AR4_0_R2_DIODriver-7898</v>
      </c>
    </row>
    <row r="577" spans="1:20" ht="165.75" x14ac:dyDescent="0.2">
      <c r="A577" t="s">
        <v>1639</v>
      </c>
      <c r="B577" t="s">
        <v>1617</v>
      </c>
      <c r="C577" t="s">
        <v>1640</v>
      </c>
      <c r="D577" t="s">
        <v>1641</v>
      </c>
      <c r="E577" s="4" t="s">
        <v>1642</v>
      </c>
      <c r="F577" t="s">
        <v>1621</v>
      </c>
      <c r="G577" s="4" t="s">
        <v>1643</v>
      </c>
      <c r="J577" t="s">
        <v>617</v>
      </c>
      <c r="K577" t="s">
        <v>618</v>
      </c>
      <c r="P577" t="s">
        <v>619</v>
      </c>
      <c r="Q577" t="s">
        <v>620</v>
      </c>
      <c r="R577" t="s">
        <v>621</v>
      </c>
      <c r="S577" t="s">
        <v>622</v>
      </c>
      <c r="T577" s="3" t="str">
        <f>HYPERLINK("doors://fe-dorapcm3.de.bosch.com:36679/?version=2&amp;prodID=0&amp;view=00000015&amp;urn=urn:telelogic::1-52394082008461e6-O-7899-00059142","BSW_SWS_AR4_0_R2_DIODriver-7899")</f>
        <v>BSW_SWS_AR4_0_R2_DIODriver-7899</v>
      </c>
    </row>
    <row r="578" spans="1:20" x14ac:dyDescent="0.2">
      <c r="A578" t="s">
        <v>1644</v>
      </c>
      <c r="B578" t="s">
        <v>614</v>
      </c>
      <c r="C578" t="s">
        <v>1645</v>
      </c>
      <c r="D578" t="s">
        <v>1646</v>
      </c>
      <c r="J578" t="s">
        <v>617</v>
      </c>
      <c r="K578" t="s">
        <v>618</v>
      </c>
      <c r="P578" t="s">
        <v>619</v>
      </c>
      <c r="Q578" t="s">
        <v>620</v>
      </c>
      <c r="R578" t="s">
        <v>621</v>
      </c>
      <c r="S578" t="s">
        <v>622</v>
      </c>
      <c r="T578" s="3" t="str">
        <f>HYPERLINK("doors://fe-dorapcm3.de.bosch.com:36679/?version=2&amp;prodID=0&amp;view=00000015&amp;urn=urn:telelogic::1-52394082008461e6-O-7900-00059142","BSW_SWS_AR4_0_R2_DIODriver-7900")</f>
        <v>BSW_SWS_AR4_0_R2_DIODriver-7900</v>
      </c>
    </row>
    <row r="579" spans="1:20" x14ac:dyDescent="0.2">
      <c r="A579" t="s">
        <v>1647</v>
      </c>
      <c r="B579" t="s">
        <v>76</v>
      </c>
      <c r="C579" t="s">
        <v>1648</v>
      </c>
      <c r="D579" s="2" t="s">
        <v>1649</v>
      </c>
      <c r="T579" s="3" t="str">
        <f>HYPERLINK("doors://fe-dorapcm3.de.bosch.com:36679/?version=2&amp;prodID=0&amp;view=00000015&amp;urn=urn:telelogic::1-52394082008461e6-O-7901-00059142","BSW_SWS_AR4_0_R2_DIODriver-7901")</f>
        <v>BSW_SWS_AR4_0_R2_DIODriver-7901</v>
      </c>
    </row>
    <row r="580" spans="1:20" x14ac:dyDescent="0.2">
      <c r="A580" t="s">
        <v>1650</v>
      </c>
      <c r="B580" t="s">
        <v>614</v>
      </c>
      <c r="C580" t="s">
        <v>1651</v>
      </c>
      <c r="D580" t="s">
        <v>1652</v>
      </c>
      <c r="K580" t="s">
        <v>618</v>
      </c>
      <c r="P580" t="s">
        <v>619</v>
      </c>
      <c r="Q580" t="s">
        <v>651</v>
      </c>
      <c r="R580" t="s">
        <v>621</v>
      </c>
      <c r="S580" t="s">
        <v>622</v>
      </c>
      <c r="T580" s="3" t="str">
        <f>HYPERLINK("doors://fe-dorapcm3.de.bosch.com:36679/?version=2&amp;prodID=0&amp;view=00000015&amp;urn=urn:telelogic::1-52394082008461e6-O-7902-00059142","BSW_SWS_AR4_0_R2_DIODriver-7902")</f>
        <v>BSW_SWS_AR4_0_R2_DIODriver-7902</v>
      </c>
    </row>
    <row r="581" spans="1:20" x14ac:dyDescent="0.2">
      <c r="A581" t="s">
        <v>1653</v>
      </c>
      <c r="B581" t="s">
        <v>76</v>
      </c>
      <c r="C581" t="s">
        <v>1654</v>
      </c>
      <c r="T581" s="3" t="str">
        <f>HYPERLINK("doors://fe-dorapcm3.de.bosch.com:36679/?version=2&amp;prodID=0&amp;view=00000015&amp;urn=urn:telelogic::1-52394082008461e6-O-7903-00059142","BSW_SWS_AR4_0_R2_DIODriver-7903")</f>
        <v>BSW_SWS_AR4_0_R2_DIODriver-7903</v>
      </c>
    </row>
    <row r="582" spans="1:20" x14ac:dyDescent="0.2">
      <c r="A582" t="s">
        <v>1655</v>
      </c>
      <c r="B582" t="s">
        <v>76</v>
      </c>
      <c r="C582" t="s">
        <v>1656</v>
      </c>
      <c r="D582" s="2" t="s">
        <v>1657</v>
      </c>
      <c r="T582" s="3" t="str">
        <f>HYPERLINK("doors://fe-dorapcm3.de.bosch.com:36679/?version=2&amp;prodID=0&amp;view=00000015&amp;urn=urn:telelogic::1-52394082008461e6-O-7904-00059142","BSW_SWS_AR4_0_R2_DIODriver-7904")</f>
        <v>BSW_SWS_AR4_0_R2_DIODriver-7904</v>
      </c>
    </row>
    <row r="583" spans="1:20" x14ac:dyDescent="0.2">
      <c r="A583" t="s">
        <v>1658</v>
      </c>
      <c r="B583" t="s">
        <v>76</v>
      </c>
      <c r="C583" t="s">
        <v>1659</v>
      </c>
      <c r="D583" t="s">
        <v>1660</v>
      </c>
      <c r="T583" s="3" t="str">
        <f>HYPERLINK("doors://fe-dorapcm3.de.bosch.com:36679/?version=2&amp;prodID=0&amp;view=00000015&amp;urn=urn:telelogic::1-52394082008461e6-O-7905-00059142","BSW_SWS_AR4_0_R2_DIODriver-7905")</f>
        <v>BSW_SWS_AR4_0_R2_DIODriver-7905</v>
      </c>
    </row>
    <row r="584" spans="1:20" x14ac:dyDescent="0.2">
      <c r="A584" t="s">
        <v>1661</v>
      </c>
      <c r="B584" t="s">
        <v>76</v>
      </c>
      <c r="C584" t="s">
        <v>1662</v>
      </c>
      <c r="D584" t="s">
        <v>1663</v>
      </c>
      <c r="T584" s="3" t="str">
        <f>HYPERLINK("doors://fe-dorapcm3.de.bosch.com:36679/?version=2&amp;prodID=0&amp;view=00000015&amp;urn=urn:telelogic::1-52394082008461e6-O-7906-00059142","BSW_SWS_AR4_0_R2_DIODriver-7906")</f>
        <v>BSW_SWS_AR4_0_R2_DIODriver-7906</v>
      </c>
    </row>
    <row r="585" spans="1:20" x14ac:dyDescent="0.2">
      <c r="A585" t="s">
        <v>1664</v>
      </c>
      <c r="B585" t="s">
        <v>76</v>
      </c>
      <c r="C585" t="s">
        <v>1665</v>
      </c>
      <c r="D585" t="s">
        <v>1666</v>
      </c>
      <c r="T585" s="3" t="str">
        <f>HYPERLINK("doors://fe-dorapcm3.de.bosch.com:36679/?version=2&amp;prodID=0&amp;view=00000015&amp;urn=urn:telelogic::1-52394082008461e6-O-7907-00059142","BSW_SWS_AR4_0_R2_DIODriver-7907")</f>
        <v>BSW_SWS_AR4_0_R2_DIODriver-7907</v>
      </c>
    </row>
    <row r="586" spans="1:20" x14ac:dyDescent="0.2">
      <c r="A586" t="s">
        <v>1667</v>
      </c>
      <c r="B586" t="s">
        <v>76</v>
      </c>
      <c r="C586" t="s">
        <v>1668</v>
      </c>
      <c r="D586" s="2" t="s">
        <v>1669</v>
      </c>
      <c r="T586" s="3" t="str">
        <f>HYPERLINK("doors://fe-dorapcm3.de.bosch.com:36679/?version=2&amp;prodID=0&amp;view=00000015&amp;urn=urn:telelogic::1-52394082008461e6-O-7908-00059142","BSW_SWS_AR4_0_R2_DIODriver-7908")</f>
        <v>BSW_SWS_AR4_0_R2_DIODriver-7908</v>
      </c>
    </row>
    <row r="587" spans="1:20" x14ac:dyDescent="0.2">
      <c r="A587" t="s">
        <v>1670</v>
      </c>
      <c r="B587" t="s">
        <v>1617</v>
      </c>
      <c r="C587" t="s">
        <v>1671</v>
      </c>
      <c r="D587" t="s">
        <v>1672</v>
      </c>
      <c r="J587" t="s">
        <v>1673</v>
      </c>
      <c r="K587" t="s">
        <v>618</v>
      </c>
      <c r="P587" t="s">
        <v>619</v>
      </c>
      <c r="Q587" t="s">
        <v>620</v>
      </c>
      <c r="R587" t="s">
        <v>621</v>
      </c>
      <c r="S587" t="s">
        <v>622</v>
      </c>
      <c r="T587" s="3" t="str">
        <f>HYPERLINK("doors://fe-dorapcm3.de.bosch.com:36679/?version=2&amp;prodID=0&amp;view=00000015&amp;urn=urn:telelogic::1-52394082008461e6-O-7909-00059142","BSW_SWS_AR4_0_R2_DIODriver-7909")</f>
        <v>BSW_SWS_AR4_0_R2_DIODriver-7909</v>
      </c>
    </row>
    <row r="588" spans="1:20" x14ac:dyDescent="0.2">
      <c r="A588" t="s">
        <v>1674</v>
      </c>
      <c r="B588" t="s">
        <v>76</v>
      </c>
      <c r="C588" t="s">
        <v>1675</v>
      </c>
      <c r="D588" t="s">
        <v>1676</v>
      </c>
      <c r="T588" s="3" t="str">
        <f>HYPERLINK("doors://fe-dorapcm3.de.bosch.com:36679/?version=2&amp;prodID=0&amp;view=00000015&amp;urn=urn:telelogic::1-52394082008461e6-O-7910-00059142","BSW_SWS_AR4_0_R2_DIODriver-7910")</f>
        <v>BSW_SWS_AR4_0_R2_DIODriver-7910</v>
      </c>
    </row>
    <row r="589" spans="1:20" x14ac:dyDescent="0.2">
      <c r="A589" t="s">
        <v>1677</v>
      </c>
      <c r="B589" t="s">
        <v>614</v>
      </c>
      <c r="C589" t="s">
        <v>1678</v>
      </c>
      <c r="D589" t="s">
        <v>1679</v>
      </c>
      <c r="J589" t="s">
        <v>1673</v>
      </c>
      <c r="K589" t="s">
        <v>618</v>
      </c>
      <c r="P589" t="s">
        <v>619</v>
      </c>
      <c r="Q589" t="s">
        <v>620</v>
      </c>
      <c r="R589" t="s">
        <v>621</v>
      </c>
      <c r="S589" t="s">
        <v>622</v>
      </c>
      <c r="T589" s="3" t="str">
        <f>HYPERLINK("doors://fe-dorapcm3.de.bosch.com:36679/?version=2&amp;prodID=0&amp;view=00000015&amp;urn=urn:telelogic::1-52394082008461e6-O-7911-00059142","BSW_SWS_AR4_0_R2_DIODriver-7911")</f>
        <v>BSW_SWS_AR4_0_R2_DIODriver-7911</v>
      </c>
    </row>
    <row r="590" spans="1:20" x14ac:dyDescent="0.2">
      <c r="A590" t="s">
        <v>1680</v>
      </c>
      <c r="B590" t="s">
        <v>614</v>
      </c>
      <c r="C590" t="s">
        <v>1681</v>
      </c>
      <c r="D590" t="s">
        <v>1682</v>
      </c>
      <c r="J590" t="s">
        <v>1673</v>
      </c>
      <c r="K590" t="s">
        <v>618</v>
      </c>
      <c r="P590" t="s">
        <v>619</v>
      </c>
      <c r="Q590" t="s">
        <v>620</v>
      </c>
      <c r="R590" t="s">
        <v>621</v>
      </c>
      <c r="S590" t="s">
        <v>622</v>
      </c>
      <c r="T590" s="3" t="str">
        <f>HYPERLINK("doors://fe-dorapcm3.de.bosch.com:36679/?version=2&amp;prodID=0&amp;view=00000015&amp;urn=urn:telelogic::1-52394082008461e6-O-7912-00059142","BSW_SWS_AR4_0_R2_DIODriver-7912")</f>
        <v>BSW_SWS_AR4_0_R2_DIODriver-7912</v>
      </c>
    </row>
    <row r="591" spans="1:20" x14ac:dyDescent="0.2">
      <c r="A591" t="s">
        <v>1683</v>
      </c>
      <c r="B591" t="s">
        <v>21</v>
      </c>
      <c r="C591" t="s">
        <v>1684</v>
      </c>
      <c r="D591" s="2" t="s">
        <v>1685</v>
      </c>
      <c r="T591" s="3" t="str">
        <f>HYPERLINK("doors://fe-dorapcm3.de.bosch.com:36679/?version=2&amp;prodID=0&amp;view=00000015&amp;urn=urn:telelogic::1-52394082008461e6-O-7913-00059142","BSW_SWS_AR4_0_R2_DIODriver-7913")</f>
        <v>BSW_SWS_AR4_0_R2_DIODriver-7913</v>
      </c>
    </row>
    <row r="592" spans="1:20" x14ac:dyDescent="0.2">
      <c r="A592" t="s">
        <v>1686</v>
      </c>
      <c r="B592" t="s">
        <v>21</v>
      </c>
      <c r="C592" t="s">
        <v>1687</v>
      </c>
      <c r="D592" s="2" t="s">
        <v>1593</v>
      </c>
      <c r="T592" s="3" t="str">
        <f>HYPERLINK("doors://fe-dorapcm3.de.bosch.com:36679/?version=2&amp;prodID=0&amp;view=00000015&amp;urn=urn:telelogic::1-52394082008461e6-O-7914-00059142","BSW_SWS_AR4_0_R2_DIODriver-7914")</f>
        <v>BSW_SWS_AR4_0_R2_DIODriver-7914</v>
      </c>
    </row>
    <row r="593" spans="1:20" x14ac:dyDescent="0.2">
      <c r="A593" t="s">
        <v>1688</v>
      </c>
      <c r="B593" t="s">
        <v>76</v>
      </c>
      <c r="C593" t="s">
        <v>1689</v>
      </c>
      <c r="D593" t="s">
        <v>1690</v>
      </c>
      <c r="T593" s="3" t="str">
        <f>HYPERLINK("doors://fe-dorapcm3.de.bosch.com:36679/?version=2&amp;prodID=0&amp;view=00000015&amp;urn=urn:telelogic::1-52394082008461e6-O-7915-00059142","BSW_SWS_AR4_0_R2_DIODriver-7915")</f>
        <v>BSW_SWS_AR4_0_R2_DIODriver-7915</v>
      </c>
    </row>
    <row r="594" spans="1:20" x14ac:dyDescent="0.2">
      <c r="A594" t="s">
        <v>1691</v>
      </c>
      <c r="B594" t="s">
        <v>21</v>
      </c>
      <c r="C594" t="s">
        <v>1692</v>
      </c>
      <c r="D594" s="2" t="s">
        <v>1599</v>
      </c>
      <c r="T594" s="3" t="str">
        <f>HYPERLINK("doors://fe-dorapcm3.de.bosch.com:36679/?version=2&amp;prodID=0&amp;view=00000015&amp;urn=urn:telelogic::1-52394082008461e6-O-7916-00059142","BSW_SWS_AR4_0_R2_DIODriver-7916")</f>
        <v>BSW_SWS_AR4_0_R2_DIODriver-7916</v>
      </c>
    </row>
    <row r="595" spans="1:20" x14ac:dyDescent="0.2">
      <c r="A595" t="s">
        <v>1693</v>
      </c>
      <c r="B595" t="s">
        <v>614</v>
      </c>
      <c r="C595" t="s">
        <v>1694</v>
      </c>
      <c r="D595" t="s">
        <v>1695</v>
      </c>
      <c r="K595" t="s">
        <v>618</v>
      </c>
      <c r="P595" t="s">
        <v>619</v>
      </c>
      <c r="Q595" t="s">
        <v>620</v>
      </c>
      <c r="R595" t="s">
        <v>621</v>
      </c>
      <c r="S595" t="s">
        <v>622</v>
      </c>
      <c r="T595" s="3" t="str">
        <f>HYPERLINK("doors://fe-dorapcm3.de.bosch.com:36679/?version=2&amp;prodID=0&amp;view=00000015&amp;urn=urn:telelogic::1-52394082008461e6-O-7917-00059142","BSW_SWS_AR4_0_R2_DIODriver-7917")</f>
        <v>BSW_SWS_AR4_0_R2_DIODriver-7917</v>
      </c>
    </row>
    <row r="596" spans="1:20" x14ac:dyDescent="0.2">
      <c r="A596" t="s">
        <v>1696</v>
      </c>
      <c r="B596" t="s">
        <v>76</v>
      </c>
      <c r="C596" t="s">
        <v>1697</v>
      </c>
      <c r="D596" t="s">
        <v>1698</v>
      </c>
      <c r="T596" s="3" t="str">
        <f>HYPERLINK("doors://fe-dorapcm3.de.bosch.com:36679/?version=2&amp;prodID=0&amp;view=00000015&amp;urn=urn:telelogic::1-52394082008461e6-O-7918-00059142","BSW_SWS_AR4_0_R2_DIODriver-7918")</f>
        <v>BSW_SWS_AR4_0_R2_DIODriver-7918</v>
      </c>
    </row>
    <row r="597" spans="1:20" x14ac:dyDescent="0.2">
      <c r="A597" t="s">
        <v>1699</v>
      </c>
      <c r="B597" t="s">
        <v>76</v>
      </c>
      <c r="C597" t="s">
        <v>1700</v>
      </c>
      <c r="D597" t="s">
        <v>1701</v>
      </c>
      <c r="T597" s="3" t="str">
        <f>HYPERLINK("doors://fe-dorapcm3.de.bosch.com:36679/?version=2&amp;prodID=0&amp;view=00000015&amp;urn=urn:telelogic::1-52394082008461e6-O-7919-00059142","BSW_SWS_AR4_0_R2_DIODriver-7919")</f>
        <v>BSW_SWS_AR4_0_R2_DIODriver-7919</v>
      </c>
    </row>
    <row r="598" spans="1:20" x14ac:dyDescent="0.2">
      <c r="A598" t="s">
        <v>1702</v>
      </c>
      <c r="B598" t="s">
        <v>76</v>
      </c>
      <c r="C598" t="s">
        <v>1703</v>
      </c>
      <c r="D598" t="s">
        <v>1704</v>
      </c>
      <c r="T598" s="3" t="str">
        <f>HYPERLINK("doors://fe-dorapcm3.de.bosch.com:36679/?version=2&amp;prodID=0&amp;view=00000015&amp;urn=urn:telelogic::1-52394082008461e6-O-7920-00059142","BSW_SWS_AR4_0_R2_DIODriver-7920")</f>
        <v>BSW_SWS_AR4_0_R2_DIODriver-7920</v>
      </c>
    </row>
    <row r="599" spans="1:20" x14ac:dyDescent="0.2">
      <c r="A599" t="s">
        <v>1705</v>
      </c>
      <c r="B599" t="s">
        <v>76</v>
      </c>
      <c r="C599" t="s">
        <v>1706</v>
      </c>
      <c r="D599" t="s">
        <v>1707</v>
      </c>
      <c r="T599" s="3" t="str">
        <f>HYPERLINK("doors://fe-dorapcm3.de.bosch.com:36679/?version=2&amp;prodID=0&amp;view=00000015&amp;urn=urn:telelogic::1-52394082008461e6-O-7921-00059142","BSW_SWS_AR4_0_R2_DIODriver-7921")</f>
        <v>BSW_SWS_AR4_0_R2_DIODriver-7921</v>
      </c>
    </row>
    <row r="600" spans="1:20" x14ac:dyDescent="0.2">
      <c r="A600" t="s">
        <v>1708</v>
      </c>
      <c r="B600" t="s">
        <v>76</v>
      </c>
      <c r="C600" t="s">
        <v>1709</v>
      </c>
      <c r="D600" t="s">
        <v>1710</v>
      </c>
      <c r="T600" s="3" t="str">
        <f>HYPERLINK("doors://fe-dorapcm3.de.bosch.com:36679/?version=2&amp;prodID=0&amp;view=00000015&amp;urn=urn:telelogic::1-52394082008461e6-O-7922-00059142","BSW_SWS_AR4_0_R2_DIODriver-7922")</f>
        <v>BSW_SWS_AR4_0_R2_DIODriver-7922</v>
      </c>
    </row>
    <row r="601" spans="1:20" x14ac:dyDescent="0.2">
      <c r="A601" t="s">
        <v>1711</v>
      </c>
      <c r="B601" t="s">
        <v>76</v>
      </c>
      <c r="C601" t="s">
        <v>1712</v>
      </c>
      <c r="D601" t="s">
        <v>1713</v>
      </c>
      <c r="T601" s="3" t="str">
        <f>HYPERLINK("doors://fe-dorapcm3.de.bosch.com:36679/?version=2&amp;prodID=0&amp;view=00000015&amp;urn=urn:telelogic::1-52394082008461e6-O-7923-00059142","BSW_SWS_AR4_0_R2_DIODriver-7923")</f>
        <v>BSW_SWS_AR4_0_R2_DIODriver-7923</v>
      </c>
    </row>
    <row r="602" spans="1:20" x14ac:dyDescent="0.2">
      <c r="A602" t="s">
        <v>1714</v>
      </c>
      <c r="B602" t="s">
        <v>21</v>
      </c>
      <c r="C602">
        <v>7.2</v>
      </c>
      <c r="D602" s="2" t="s">
        <v>1715</v>
      </c>
      <c r="T602" s="3" t="str">
        <f>HYPERLINK("doors://fe-dorapcm3.de.bosch.com:36679/?version=2&amp;prodID=0&amp;view=00000015&amp;urn=urn:telelogic::1-52394082008461e6-O-7924-00059142","BSW_SWS_AR4_0_R2_DIODriver-7924")</f>
        <v>BSW_SWS_AR4_0_R2_DIODriver-7924</v>
      </c>
    </row>
    <row r="603" spans="1:20" x14ac:dyDescent="0.2">
      <c r="A603" t="s">
        <v>1716</v>
      </c>
      <c r="B603" t="s">
        <v>21</v>
      </c>
      <c r="C603" t="s">
        <v>1717</v>
      </c>
      <c r="D603" s="2" t="s">
        <v>1593</v>
      </c>
      <c r="T603" s="3" t="str">
        <f>HYPERLINK("doors://fe-dorapcm3.de.bosch.com:36679/?version=2&amp;prodID=0&amp;view=00000015&amp;urn=urn:telelogic::1-52394082008461e6-O-7925-00059142","BSW_SWS_AR4_0_R2_DIODriver-7925")</f>
        <v>BSW_SWS_AR4_0_R2_DIODriver-7925</v>
      </c>
    </row>
    <row r="604" spans="1:20" x14ac:dyDescent="0.2">
      <c r="A604" t="s">
        <v>1718</v>
      </c>
      <c r="B604" t="s">
        <v>76</v>
      </c>
      <c r="C604" t="s">
        <v>1719</v>
      </c>
      <c r="D604" t="s">
        <v>1720</v>
      </c>
      <c r="T604" s="3" t="str">
        <f>HYPERLINK("doors://fe-dorapcm3.de.bosch.com:36679/?version=2&amp;prodID=0&amp;view=00000015&amp;urn=urn:telelogic::1-52394082008461e6-O-7926-00059142","BSW_SWS_AR4_0_R2_DIODriver-7926")</f>
        <v>BSW_SWS_AR4_0_R2_DIODriver-7926</v>
      </c>
    </row>
    <row r="605" spans="1:20" x14ac:dyDescent="0.2">
      <c r="A605" t="s">
        <v>1721</v>
      </c>
      <c r="B605" t="s">
        <v>21</v>
      </c>
      <c r="C605" t="s">
        <v>1722</v>
      </c>
      <c r="D605" s="2" t="s">
        <v>1599</v>
      </c>
      <c r="T605" s="3" t="str">
        <f>HYPERLINK("doors://fe-dorapcm3.de.bosch.com:36679/?version=2&amp;prodID=0&amp;view=00000015&amp;urn=urn:telelogic::1-52394082008461e6-O-7927-00059142","BSW_SWS_AR4_0_R2_DIODriver-7927")</f>
        <v>BSW_SWS_AR4_0_R2_DIODriver-7927</v>
      </c>
    </row>
    <row r="606" spans="1:20" x14ac:dyDescent="0.2">
      <c r="A606" t="s">
        <v>1723</v>
      </c>
      <c r="B606" t="s">
        <v>614</v>
      </c>
      <c r="C606" t="s">
        <v>1724</v>
      </c>
      <c r="D606" t="s">
        <v>1725</v>
      </c>
      <c r="J606" t="s">
        <v>617</v>
      </c>
      <c r="K606" t="s">
        <v>618</v>
      </c>
      <c r="P606" t="s">
        <v>619</v>
      </c>
      <c r="Q606" t="s">
        <v>620</v>
      </c>
      <c r="R606" t="s">
        <v>621</v>
      </c>
      <c r="S606" t="s">
        <v>622</v>
      </c>
      <c r="T606" s="3" t="str">
        <f>HYPERLINK("doors://fe-dorapcm3.de.bosch.com:36679/?version=2&amp;prodID=0&amp;view=00000015&amp;urn=urn:telelogic::1-52394082008461e6-O-7928-00059142","BSW_SWS_AR4_0_R2_DIODriver-7928")</f>
        <v>BSW_SWS_AR4_0_R2_DIODriver-7928</v>
      </c>
    </row>
    <row r="607" spans="1:20" x14ac:dyDescent="0.2">
      <c r="A607" t="s">
        <v>1726</v>
      </c>
      <c r="B607" t="s">
        <v>21</v>
      </c>
      <c r="C607">
        <v>7.3</v>
      </c>
      <c r="D607" s="2" t="s">
        <v>1727</v>
      </c>
      <c r="T607" s="3" t="str">
        <f>HYPERLINK("doors://fe-dorapcm3.de.bosch.com:36679/?version=2&amp;prodID=0&amp;view=00000015&amp;urn=urn:telelogic::1-52394082008461e6-O-7929-00059142","BSW_SWS_AR4_0_R2_DIODriver-7929")</f>
        <v>BSW_SWS_AR4_0_R2_DIODriver-7929</v>
      </c>
    </row>
    <row r="608" spans="1:20" x14ac:dyDescent="0.2">
      <c r="A608" t="s">
        <v>1728</v>
      </c>
      <c r="B608" t="s">
        <v>21</v>
      </c>
      <c r="C608" t="s">
        <v>1729</v>
      </c>
      <c r="D608" s="2" t="s">
        <v>1593</v>
      </c>
      <c r="T608" s="3" t="str">
        <f>HYPERLINK("doors://fe-dorapcm3.de.bosch.com:36679/?version=2&amp;prodID=0&amp;view=00000015&amp;urn=urn:telelogic::1-52394082008461e6-O-7930-00059142","BSW_SWS_AR4_0_R2_DIODriver-7930")</f>
        <v>BSW_SWS_AR4_0_R2_DIODriver-7930</v>
      </c>
    </row>
    <row r="609" spans="1:20" x14ac:dyDescent="0.2">
      <c r="A609" t="s">
        <v>1730</v>
      </c>
      <c r="B609" t="s">
        <v>76</v>
      </c>
      <c r="C609" t="s">
        <v>1731</v>
      </c>
      <c r="D609" t="s">
        <v>1732</v>
      </c>
      <c r="T609" s="3" t="str">
        <f>HYPERLINK("doors://fe-dorapcm3.de.bosch.com:36679/?version=2&amp;prodID=0&amp;view=00000015&amp;urn=urn:telelogic::1-52394082008461e6-O-7931-00059142","BSW_SWS_AR4_0_R2_DIODriver-7931")</f>
        <v>BSW_SWS_AR4_0_R2_DIODriver-7931</v>
      </c>
    </row>
    <row r="610" spans="1:20" x14ac:dyDescent="0.2">
      <c r="A610" t="s">
        <v>1733</v>
      </c>
      <c r="B610" t="s">
        <v>21</v>
      </c>
      <c r="C610" t="s">
        <v>1734</v>
      </c>
      <c r="D610" s="2" t="s">
        <v>1599</v>
      </c>
      <c r="T610" s="3" t="str">
        <f>HYPERLINK("doors://fe-dorapcm3.de.bosch.com:36679/?version=2&amp;prodID=0&amp;view=00000015&amp;urn=urn:telelogic::1-52394082008461e6-O-7932-00059142","BSW_SWS_AR4_0_R2_DIODriver-7932")</f>
        <v>BSW_SWS_AR4_0_R2_DIODriver-7932</v>
      </c>
    </row>
    <row r="611" spans="1:20" x14ac:dyDescent="0.2">
      <c r="A611" t="s">
        <v>1735</v>
      </c>
      <c r="B611" t="s">
        <v>614</v>
      </c>
      <c r="C611" t="s">
        <v>1736</v>
      </c>
      <c r="D611" t="s">
        <v>1737</v>
      </c>
      <c r="K611" t="s">
        <v>618</v>
      </c>
      <c r="P611" t="s">
        <v>619</v>
      </c>
      <c r="Q611" t="s">
        <v>620</v>
      </c>
      <c r="R611" t="s">
        <v>621</v>
      </c>
      <c r="S611" t="s">
        <v>622</v>
      </c>
      <c r="T611" s="3" t="str">
        <f>HYPERLINK("doors://fe-dorapcm3.de.bosch.com:36679/?version=2&amp;prodID=0&amp;view=00000015&amp;urn=urn:telelogic::1-52394082008461e6-O-7933-00059142","BSW_SWS_AR4_0_R2_DIODriver-7933")</f>
        <v>BSW_SWS_AR4_0_R2_DIODriver-7933</v>
      </c>
    </row>
    <row r="612" spans="1:20" x14ac:dyDescent="0.2">
      <c r="A612" t="s">
        <v>1738</v>
      </c>
      <c r="B612" t="s">
        <v>21</v>
      </c>
      <c r="C612">
        <v>7.4</v>
      </c>
      <c r="D612" s="2" t="s">
        <v>1739</v>
      </c>
      <c r="T612" s="3" t="str">
        <f>HYPERLINK("doors://fe-dorapcm3.de.bosch.com:36679/?version=2&amp;prodID=0&amp;view=00000015&amp;urn=urn:telelogic::1-52394082008461e6-O-7934-00059142","BSW_SWS_AR4_0_R2_DIODriver-7934")</f>
        <v>BSW_SWS_AR4_0_R2_DIODriver-7934</v>
      </c>
    </row>
    <row r="613" spans="1:20" x14ac:dyDescent="0.2">
      <c r="A613" t="s">
        <v>1740</v>
      </c>
      <c r="B613" t="s">
        <v>21</v>
      </c>
      <c r="C613" t="s">
        <v>1741</v>
      </c>
      <c r="D613" s="2" t="s">
        <v>1593</v>
      </c>
      <c r="T613" s="3" t="str">
        <f>HYPERLINK("doors://fe-dorapcm3.de.bosch.com:36679/?version=2&amp;prodID=0&amp;view=00000015&amp;urn=urn:telelogic::1-52394082008461e6-O-7935-00059142","BSW_SWS_AR4_0_R2_DIODriver-7935")</f>
        <v>BSW_SWS_AR4_0_R2_DIODriver-7935</v>
      </c>
    </row>
    <row r="614" spans="1:20" x14ac:dyDescent="0.2">
      <c r="A614" t="s">
        <v>1742</v>
      </c>
      <c r="B614" t="s">
        <v>76</v>
      </c>
      <c r="C614" t="s">
        <v>1743</v>
      </c>
      <c r="D614" t="s">
        <v>1744</v>
      </c>
      <c r="T614" s="3" t="str">
        <f>HYPERLINK("doors://fe-dorapcm3.de.bosch.com:36679/?version=2&amp;prodID=0&amp;view=00000015&amp;urn=urn:telelogic::1-52394082008461e6-O-7936-00059142","BSW_SWS_AR4_0_R2_DIODriver-7936")</f>
        <v>BSW_SWS_AR4_0_R2_DIODriver-7936</v>
      </c>
    </row>
    <row r="615" spans="1:20" x14ac:dyDescent="0.2">
      <c r="A615" t="s">
        <v>1745</v>
      </c>
      <c r="B615" t="s">
        <v>21</v>
      </c>
      <c r="C615" t="s">
        <v>1746</v>
      </c>
      <c r="D615" s="2" t="s">
        <v>1599</v>
      </c>
      <c r="T615" s="3" t="str">
        <f>HYPERLINK("doors://fe-dorapcm3.de.bosch.com:36679/?version=2&amp;prodID=0&amp;view=00000015&amp;urn=urn:telelogic::1-52394082008461e6-O-7937-00059142","BSW_SWS_AR4_0_R2_DIODriver-7937")</f>
        <v>BSW_SWS_AR4_0_R2_DIODriver-7937</v>
      </c>
    </row>
    <row r="616" spans="1:20" ht="89.25" x14ac:dyDescent="0.2">
      <c r="A616" t="s">
        <v>1747</v>
      </c>
      <c r="B616" t="s">
        <v>1617</v>
      </c>
      <c r="C616" t="s">
        <v>1748</v>
      </c>
      <c r="D616" t="s">
        <v>1749</v>
      </c>
      <c r="E616" s="4" t="s">
        <v>1750</v>
      </c>
      <c r="F616" t="s">
        <v>1621</v>
      </c>
      <c r="G616" s="4" t="s">
        <v>1751</v>
      </c>
      <c r="J616" t="s">
        <v>1673</v>
      </c>
      <c r="K616" t="s">
        <v>618</v>
      </c>
      <c r="P616" t="s">
        <v>619</v>
      </c>
      <c r="Q616" t="s">
        <v>620</v>
      </c>
      <c r="R616" t="s">
        <v>621</v>
      </c>
      <c r="S616" t="s">
        <v>622</v>
      </c>
      <c r="T616" s="3" t="str">
        <f>HYPERLINK("doors://fe-dorapcm3.de.bosch.com:36679/?version=2&amp;prodID=0&amp;view=00000015&amp;urn=urn:telelogic::1-52394082008461e6-O-7938-00059142","BSW_SWS_AR4_0_R2_DIODriver-7938")</f>
        <v>BSW_SWS_AR4_0_R2_DIODriver-7938</v>
      </c>
    </row>
    <row r="617" spans="1:20" ht="114.75" x14ac:dyDescent="0.2">
      <c r="A617" t="s">
        <v>1752</v>
      </c>
      <c r="B617" t="s">
        <v>1617</v>
      </c>
      <c r="C617" t="s">
        <v>1753</v>
      </c>
      <c r="D617" t="s">
        <v>1754</v>
      </c>
      <c r="E617" s="4" t="s">
        <v>1755</v>
      </c>
      <c r="F617" t="s">
        <v>1621</v>
      </c>
      <c r="G617" s="4" t="s">
        <v>1756</v>
      </c>
      <c r="J617" t="s">
        <v>1673</v>
      </c>
      <c r="K617" t="s">
        <v>618</v>
      </c>
      <c r="P617" t="s">
        <v>619</v>
      </c>
      <c r="Q617" t="s">
        <v>620</v>
      </c>
      <c r="R617" t="s">
        <v>621</v>
      </c>
      <c r="S617" t="s">
        <v>622</v>
      </c>
      <c r="T617" s="3" t="str">
        <f>HYPERLINK("doors://fe-dorapcm3.de.bosch.com:36679/?version=2&amp;prodID=0&amp;view=00000015&amp;urn=urn:telelogic::1-52394082008461e6-O-7939-00059142","BSW_SWS_AR4_0_R2_DIODriver-7939")</f>
        <v>BSW_SWS_AR4_0_R2_DIODriver-7939</v>
      </c>
    </row>
    <row r="618" spans="1:20" ht="153" x14ac:dyDescent="0.2">
      <c r="A618" t="s">
        <v>1757</v>
      </c>
      <c r="B618" t="s">
        <v>1617</v>
      </c>
      <c r="C618" t="s">
        <v>1758</v>
      </c>
      <c r="D618" t="s">
        <v>1759</v>
      </c>
      <c r="E618" s="4" t="s">
        <v>1760</v>
      </c>
      <c r="F618" t="s">
        <v>1621</v>
      </c>
      <c r="G618" s="4" t="s">
        <v>1761</v>
      </c>
      <c r="J618" t="s">
        <v>1673</v>
      </c>
      <c r="K618" t="s">
        <v>618</v>
      </c>
      <c r="P618" t="s">
        <v>619</v>
      </c>
      <c r="Q618" t="s">
        <v>620</v>
      </c>
      <c r="R618" t="s">
        <v>621</v>
      </c>
      <c r="S618" t="s">
        <v>622</v>
      </c>
      <c r="T618" s="3" t="str">
        <f>HYPERLINK("doors://fe-dorapcm3.de.bosch.com:36679/?version=2&amp;prodID=0&amp;view=00000015&amp;urn=urn:telelogic::1-52394082008461e6-O-7940-00059142","BSW_SWS_AR4_0_R2_DIODriver-7940")</f>
        <v>BSW_SWS_AR4_0_R2_DIODriver-7940</v>
      </c>
    </row>
    <row r="619" spans="1:20" ht="140.25" x14ac:dyDescent="0.2">
      <c r="A619" t="s">
        <v>1762</v>
      </c>
      <c r="B619" t="s">
        <v>1617</v>
      </c>
      <c r="C619" t="s">
        <v>1763</v>
      </c>
      <c r="D619" t="s">
        <v>1764</v>
      </c>
      <c r="E619" s="4" t="s">
        <v>1765</v>
      </c>
      <c r="F619" t="s">
        <v>1621</v>
      </c>
      <c r="G619" s="4" t="s">
        <v>1766</v>
      </c>
      <c r="J619" t="s">
        <v>1673</v>
      </c>
      <c r="K619" t="s">
        <v>618</v>
      </c>
      <c r="P619" t="s">
        <v>619</v>
      </c>
      <c r="Q619" t="s">
        <v>620</v>
      </c>
      <c r="R619" t="s">
        <v>621</v>
      </c>
      <c r="S619" t="s">
        <v>622</v>
      </c>
      <c r="T619" s="3" t="str">
        <f>HYPERLINK("doors://fe-dorapcm3.de.bosch.com:36679/?version=2&amp;prodID=0&amp;view=00000015&amp;urn=urn:telelogic::1-52394082008461e6-O-7941-00059142","BSW_SWS_AR4_0_R2_DIODriver-7941")</f>
        <v>BSW_SWS_AR4_0_R2_DIODriver-7941</v>
      </c>
    </row>
    <row r="620" spans="1:20" x14ac:dyDescent="0.2">
      <c r="A620" t="s">
        <v>1767</v>
      </c>
      <c r="B620" t="s">
        <v>21</v>
      </c>
      <c r="C620" t="s">
        <v>1768</v>
      </c>
      <c r="D620" s="2" t="s">
        <v>1769</v>
      </c>
      <c r="T620" s="3" t="str">
        <f>HYPERLINK("doors://fe-dorapcm3.de.bosch.com:36679/?version=2&amp;prodID=0&amp;view=00000015&amp;urn=urn:telelogic::1-52394082008461e6-O-7942-00059142","BSW_SWS_AR4_0_R2_DIODriver-7942")</f>
        <v>BSW_SWS_AR4_0_R2_DIODriver-7942</v>
      </c>
    </row>
    <row r="621" spans="1:20" ht="89.25" x14ac:dyDescent="0.2">
      <c r="A621" t="s">
        <v>1770</v>
      </c>
      <c r="B621" t="s">
        <v>1771</v>
      </c>
      <c r="C621" t="s">
        <v>1772</v>
      </c>
      <c r="D621" s="2" t="s">
        <v>1773</v>
      </c>
      <c r="E621" s="4" t="s">
        <v>1774</v>
      </c>
      <c r="F621" t="s">
        <v>1621</v>
      </c>
      <c r="G621" t="s">
        <v>1775</v>
      </c>
      <c r="J621" t="s">
        <v>1673</v>
      </c>
      <c r="K621" t="s">
        <v>618</v>
      </c>
      <c r="P621" t="s">
        <v>619</v>
      </c>
      <c r="Q621" t="s">
        <v>620</v>
      </c>
      <c r="R621" t="s">
        <v>621</v>
      </c>
      <c r="S621" t="s">
        <v>622</v>
      </c>
      <c r="T621" s="3" t="str">
        <f>HYPERLINK("doors://fe-dorapcm3.de.bosch.com:36679/?version=2&amp;prodID=0&amp;view=00000015&amp;urn=urn:telelogic::1-52394082008461e6-O-7943-00059142","BSW_SWS_AR4_0_R2_DIODriver-7943")</f>
        <v>BSW_SWS_AR4_0_R2_DIODriver-7943</v>
      </c>
    </row>
    <row r="622" spans="1:20" x14ac:dyDescent="0.2">
      <c r="A622" t="s">
        <v>1776</v>
      </c>
      <c r="B622" t="s">
        <v>21</v>
      </c>
      <c r="C622" t="s">
        <v>1777</v>
      </c>
      <c r="D622" s="2" t="s">
        <v>1778</v>
      </c>
      <c r="T622" s="3" t="str">
        <f>HYPERLINK("doors://fe-dorapcm3.de.bosch.com:36679/?version=2&amp;prodID=0&amp;view=00000015&amp;urn=urn:telelogic::1-52394082008461e6-O-7944-00059142","BSW_SWS_AR4_0_R2_DIODriver-7944")</f>
        <v>BSW_SWS_AR4_0_R2_DIODriver-7944</v>
      </c>
    </row>
    <row r="623" spans="1:20" ht="204" x14ac:dyDescent="0.2">
      <c r="A623" t="s">
        <v>1779</v>
      </c>
      <c r="B623" t="s">
        <v>1771</v>
      </c>
      <c r="C623" t="s">
        <v>1780</v>
      </c>
      <c r="D623" s="2" t="s">
        <v>1781</v>
      </c>
      <c r="E623" s="4" t="s">
        <v>1782</v>
      </c>
      <c r="K623" t="s">
        <v>618</v>
      </c>
      <c r="P623" t="s">
        <v>619</v>
      </c>
      <c r="R623" t="s">
        <v>1783</v>
      </c>
      <c r="T623" s="3" t="str">
        <f>HYPERLINK("doors://fe-dorapcm3.de.bosch.com:36679/?version=2&amp;prodID=0&amp;view=00000015&amp;urn=urn:telelogic::1-52394082008461e6-O-7945-00059142","BSW_SWS_AR4_0_R2_DIODriver-7945")</f>
        <v>BSW_SWS_AR4_0_R2_DIODriver-7945</v>
      </c>
    </row>
    <row r="624" spans="1:20" x14ac:dyDescent="0.2">
      <c r="A624" t="s">
        <v>1784</v>
      </c>
      <c r="B624" t="s">
        <v>1617</v>
      </c>
      <c r="C624" t="s">
        <v>1785</v>
      </c>
      <c r="D624" t="s">
        <v>1786</v>
      </c>
      <c r="K624" t="s">
        <v>618</v>
      </c>
      <c r="P624" t="s">
        <v>619</v>
      </c>
      <c r="R624" t="s">
        <v>1783</v>
      </c>
      <c r="T624" s="3" t="str">
        <f>HYPERLINK("doors://fe-dorapcm3.de.bosch.com:36679/?version=2&amp;prodID=0&amp;view=00000015&amp;urn=urn:telelogic::1-52394082008461e6-O-7946-00059142","BSW_SWS_AR4_0_R2_DIODriver-7946")</f>
        <v>BSW_SWS_AR4_0_R2_DIODriver-7946</v>
      </c>
    </row>
    <row r="625" spans="1:20" x14ac:dyDescent="0.2">
      <c r="A625" t="s">
        <v>1787</v>
      </c>
      <c r="B625" t="s">
        <v>21</v>
      </c>
      <c r="C625" t="s">
        <v>1788</v>
      </c>
      <c r="D625" s="2" t="s">
        <v>1789</v>
      </c>
      <c r="T625" s="3" t="str">
        <f>HYPERLINK("doors://fe-dorapcm3.de.bosch.com:36679/?version=2&amp;prodID=0&amp;view=00000015&amp;urn=urn:telelogic::1-52394082008461e6-O-7947-00059142","BSW_SWS_AR4_0_R2_DIODriver-7947")</f>
        <v>BSW_SWS_AR4_0_R2_DIODriver-7947</v>
      </c>
    </row>
    <row r="626" spans="1:20" ht="216.75" x14ac:dyDescent="0.2">
      <c r="A626" t="s">
        <v>1790</v>
      </c>
      <c r="B626" t="s">
        <v>1771</v>
      </c>
      <c r="C626" t="s">
        <v>1791</v>
      </c>
      <c r="D626" s="2" t="s">
        <v>1792</v>
      </c>
      <c r="E626" s="4" t="s">
        <v>1793</v>
      </c>
      <c r="K626" t="s">
        <v>618</v>
      </c>
      <c r="P626" t="s">
        <v>619</v>
      </c>
      <c r="Q626" t="s">
        <v>651</v>
      </c>
      <c r="R626" t="s">
        <v>1783</v>
      </c>
      <c r="T626" s="3" t="str">
        <f>HYPERLINK("doors://fe-dorapcm3.de.bosch.com:36679/?version=2&amp;prodID=0&amp;view=00000015&amp;urn=urn:telelogic::1-52394082008461e6-O-7948-00059142","BSW_SWS_AR4_0_R2_DIODriver-7948")</f>
        <v>BSW_SWS_AR4_0_R2_DIODriver-7948</v>
      </c>
    </row>
    <row r="627" spans="1:20" x14ac:dyDescent="0.2">
      <c r="A627" t="s">
        <v>1794</v>
      </c>
      <c r="B627" t="s">
        <v>21</v>
      </c>
      <c r="C627">
        <v>7.5</v>
      </c>
      <c r="D627" s="2" t="s">
        <v>1795</v>
      </c>
      <c r="T627" s="3" t="str">
        <f>HYPERLINK("doors://fe-dorapcm3.de.bosch.com:36679/?version=2&amp;prodID=0&amp;view=00000015&amp;urn=urn:telelogic::1-52394082008461e6-O-7949-00059142","BSW_SWS_AR4_0_R2_DIODriver-7949")</f>
        <v>BSW_SWS_AR4_0_R2_DIODriver-7949</v>
      </c>
    </row>
    <row r="628" spans="1:20" x14ac:dyDescent="0.2">
      <c r="A628" t="s">
        <v>1796</v>
      </c>
      <c r="B628" t="s">
        <v>21</v>
      </c>
      <c r="C628" t="s">
        <v>1797</v>
      </c>
      <c r="D628" s="2" t="s">
        <v>1593</v>
      </c>
      <c r="T628" s="3" t="str">
        <f>HYPERLINK("doors://fe-dorapcm3.de.bosch.com:36679/?version=2&amp;prodID=0&amp;view=00000015&amp;urn=urn:telelogic::1-52394082008461e6-O-7950-00059142","BSW_SWS_AR4_0_R2_DIODriver-7950")</f>
        <v>BSW_SWS_AR4_0_R2_DIODriver-7950</v>
      </c>
    </row>
    <row r="629" spans="1:20" x14ac:dyDescent="0.2">
      <c r="A629" t="s">
        <v>1798</v>
      </c>
      <c r="B629" t="s">
        <v>76</v>
      </c>
      <c r="C629" t="s">
        <v>1799</v>
      </c>
      <c r="D629" t="s">
        <v>1800</v>
      </c>
      <c r="T629" s="3" t="str">
        <f>HYPERLINK("doors://fe-dorapcm3.de.bosch.com:36679/?version=2&amp;prodID=0&amp;view=00000015&amp;urn=urn:telelogic::1-52394082008461e6-O-7951-00059142","BSW_SWS_AR4_0_R2_DIODriver-7951")</f>
        <v>BSW_SWS_AR4_0_R2_DIODriver-7951</v>
      </c>
    </row>
    <row r="630" spans="1:20" x14ac:dyDescent="0.2">
      <c r="A630" t="s">
        <v>1801</v>
      </c>
      <c r="B630" t="s">
        <v>21</v>
      </c>
      <c r="C630" t="s">
        <v>1802</v>
      </c>
      <c r="D630" s="2" t="s">
        <v>1599</v>
      </c>
      <c r="T630" s="3" t="str">
        <f>HYPERLINK("doors://fe-dorapcm3.de.bosch.com:36679/?version=2&amp;prodID=0&amp;view=00000015&amp;urn=urn:telelogic::1-52394082008461e6-O-7952-00059142","BSW_SWS_AR4_0_R2_DIODriver-7952")</f>
        <v>BSW_SWS_AR4_0_R2_DIODriver-7952</v>
      </c>
    </row>
    <row r="631" spans="1:20" ht="76.5" x14ac:dyDescent="0.2">
      <c r="A631" t="s">
        <v>1803</v>
      </c>
      <c r="B631" t="s">
        <v>1617</v>
      </c>
      <c r="C631" t="s">
        <v>1804</v>
      </c>
      <c r="D631" t="s">
        <v>1805</v>
      </c>
      <c r="E631" s="4" t="s">
        <v>1806</v>
      </c>
      <c r="F631" t="s">
        <v>1621</v>
      </c>
      <c r="G631" s="4" t="s">
        <v>1807</v>
      </c>
      <c r="J631" t="s">
        <v>1673</v>
      </c>
      <c r="K631" t="s">
        <v>618</v>
      </c>
      <c r="P631" t="s">
        <v>619</v>
      </c>
      <c r="Q631" t="s">
        <v>620</v>
      </c>
      <c r="R631" t="s">
        <v>621</v>
      </c>
      <c r="S631" t="s">
        <v>622</v>
      </c>
      <c r="T631" s="3" t="str">
        <f>HYPERLINK("doors://fe-dorapcm3.de.bosch.com:36679/?version=2&amp;prodID=0&amp;view=00000015&amp;urn=urn:telelogic::1-52394082008461e6-O-7953-00059142","BSW_SWS_AR4_0_R2_DIODriver-7953")</f>
        <v>BSW_SWS_AR4_0_R2_DIODriver-7953</v>
      </c>
    </row>
    <row r="632" spans="1:20" ht="102" x14ac:dyDescent="0.2">
      <c r="A632" t="s">
        <v>1808</v>
      </c>
      <c r="B632" t="s">
        <v>1617</v>
      </c>
      <c r="C632" t="s">
        <v>1809</v>
      </c>
      <c r="D632" t="s">
        <v>1810</v>
      </c>
      <c r="E632" s="4" t="s">
        <v>1811</v>
      </c>
      <c r="F632" t="s">
        <v>1621</v>
      </c>
      <c r="G632" s="4" t="s">
        <v>1812</v>
      </c>
      <c r="J632" t="s">
        <v>1673</v>
      </c>
      <c r="K632" t="s">
        <v>618</v>
      </c>
      <c r="P632" t="s">
        <v>619</v>
      </c>
      <c r="Q632" t="s">
        <v>620</v>
      </c>
      <c r="R632" t="s">
        <v>621</v>
      </c>
      <c r="S632" t="s">
        <v>622</v>
      </c>
      <c r="T632" s="3" t="str">
        <f>HYPERLINK("doors://fe-dorapcm3.de.bosch.com:36679/?version=2&amp;prodID=0&amp;view=00000015&amp;urn=urn:telelogic::1-52394082008461e6-O-7954-00059142","BSW_SWS_AR4_0_R2_DIODriver-7954")</f>
        <v>BSW_SWS_AR4_0_R2_DIODriver-7954</v>
      </c>
    </row>
    <row r="633" spans="1:20" x14ac:dyDescent="0.2">
      <c r="A633" t="s">
        <v>1813</v>
      </c>
      <c r="B633" t="s">
        <v>21</v>
      </c>
      <c r="C633" t="s">
        <v>1814</v>
      </c>
      <c r="D633" s="2" t="s">
        <v>1815</v>
      </c>
      <c r="T633" s="3" t="str">
        <f>HYPERLINK("doors://fe-dorapcm3.de.bosch.com:36679/?version=2&amp;prodID=0&amp;view=00000015&amp;urn=urn:telelogic::1-52394082008461e6-O-7955-00059142","BSW_SWS_AR4_0_R2_DIODriver-7955")</f>
        <v>BSW_SWS_AR4_0_R2_DIODriver-7955</v>
      </c>
    </row>
    <row r="634" spans="1:20" ht="89.25" x14ac:dyDescent="0.2">
      <c r="A634" t="s">
        <v>1816</v>
      </c>
      <c r="B634" t="s">
        <v>1771</v>
      </c>
      <c r="C634" t="s">
        <v>1817</v>
      </c>
      <c r="D634" s="2" t="s">
        <v>1818</v>
      </c>
      <c r="E634" s="4" t="s">
        <v>1819</v>
      </c>
      <c r="F634" t="s">
        <v>1621</v>
      </c>
      <c r="G634" t="s">
        <v>1820</v>
      </c>
      <c r="J634" t="s">
        <v>1673</v>
      </c>
      <c r="K634" t="s">
        <v>618</v>
      </c>
      <c r="P634" t="s">
        <v>619</v>
      </c>
      <c r="Q634" t="s">
        <v>620</v>
      </c>
      <c r="R634" t="s">
        <v>621</v>
      </c>
      <c r="S634" t="s">
        <v>622</v>
      </c>
      <c r="T634" s="3" t="str">
        <f>HYPERLINK("doors://fe-dorapcm3.de.bosch.com:36679/?version=2&amp;prodID=0&amp;view=00000015&amp;urn=urn:telelogic::1-52394082008461e6-O-7956-00059142","BSW_SWS_AR4_0_R2_DIODriver-7956")</f>
        <v>BSW_SWS_AR4_0_R2_DIODriver-7956</v>
      </c>
    </row>
    <row r="635" spans="1:20" x14ac:dyDescent="0.2">
      <c r="A635" t="s">
        <v>1821</v>
      </c>
      <c r="B635" t="s">
        <v>21</v>
      </c>
      <c r="C635" t="s">
        <v>1822</v>
      </c>
      <c r="D635" s="2" t="s">
        <v>1823</v>
      </c>
      <c r="T635" s="3" t="str">
        <f>HYPERLINK("doors://fe-dorapcm3.de.bosch.com:36679/?version=2&amp;prodID=0&amp;view=00000015&amp;urn=urn:telelogic::1-52394082008461e6-O-7957-00059142","BSW_SWS_AR4_0_R2_DIODriver-7957")</f>
        <v>BSW_SWS_AR4_0_R2_DIODriver-7957</v>
      </c>
    </row>
    <row r="636" spans="1:20" ht="178.5" x14ac:dyDescent="0.2">
      <c r="A636" t="s">
        <v>1824</v>
      </c>
      <c r="B636" t="s">
        <v>1771</v>
      </c>
      <c r="C636" t="s">
        <v>1825</v>
      </c>
      <c r="D636" s="2" t="s">
        <v>1826</v>
      </c>
      <c r="E636" s="4" t="s">
        <v>1827</v>
      </c>
      <c r="F636" t="s">
        <v>1621</v>
      </c>
      <c r="G636" t="s">
        <v>1828</v>
      </c>
      <c r="J636" t="s">
        <v>617</v>
      </c>
      <c r="K636" t="s">
        <v>618</v>
      </c>
      <c r="P636" t="s">
        <v>619</v>
      </c>
      <c r="Q636" t="s">
        <v>1606</v>
      </c>
      <c r="R636" t="s">
        <v>621</v>
      </c>
      <c r="S636" t="s">
        <v>622</v>
      </c>
      <c r="T636" s="3" t="str">
        <f>HYPERLINK("doors://fe-dorapcm3.de.bosch.com:36679/?version=2&amp;prodID=0&amp;view=00000015&amp;urn=urn:telelogic::1-52394082008461e6-O-7958-00059142","BSW_SWS_AR4_0_R2_DIODriver-7958")</f>
        <v>BSW_SWS_AR4_0_R2_DIODriver-7958</v>
      </c>
    </row>
    <row r="637" spans="1:20" x14ac:dyDescent="0.2">
      <c r="A637" t="s">
        <v>1829</v>
      </c>
      <c r="B637" t="s">
        <v>21</v>
      </c>
      <c r="C637" t="s">
        <v>1830</v>
      </c>
      <c r="D637" s="2" t="s">
        <v>1831</v>
      </c>
      <c r="T637" s="3" t="str">
        <f>HYPERLINK("doors://fe-dorapcm3.de.bosch.com:36679/?version=2&amp;prodID=0&amp;view=00000015&amp;urn=urn:telelogic::1-52394082008461e6-O-7959-00059142","BSW_SWS_AR4_0_R2_DIODriver-7959")</f>
        <v>BSW_SWS_AR4_0_R2_DIODriver-7959</v>
      </c>
    </row>
    <row r="638" spans="1:20" x14ac:dyDescent="0.2">
      <c r="A638" t="s">
        <v>1832</v>
      </c>
      <c r="B638" t="s">
        <v>614</v>
      </c>
      <c r="C638" t="s">
        <v>1833</v>
      </c>
      <c r="D638" s="2" t="s">
        <v>1834</v>
      </c>
      <c r="K638" t="s">
        <v>618</v>
      </c>
      <c r="P638" t="s">
        <v>619</v>
      </c>
      <c r="Q638" t="s">
        <v>651</v>
      </c>
      <c r="R638" t="s">
        <v>621</v>
      </c>
      <c r="S638" t="s">
        <v>622</v>
      </c>
      <c r="T638" s="3" t="str">
        <f>HYPERLINK("doors://fe-dorapcm3.de.bosch.com:36679/?version=2&amp;prodID=0&amp;view=00000015&amp;urn=urn:telelogic::1-52394082008461e6-O-7960-00059142","BSW_SWS_AR4_0_R2_DIODriver-7960")</f>
        <v>BSW_SWS_AR4_0_R2_DIODriver-7960</v>
      </c>
    </row>
    <row r="639" spans="1:20" x14ac:dyDescent="0.2">
      <c r="A639" t="s">
        <v>1835</v>
      </c>
      <c r="B639" t="s">
        <v>21</v>
      </c>
      <c r="C639" t="s">
        <v>1836</v>
      </c>
      <c r="D639" s="2" t="s">
        <v>1837</v>
      </c>
      <c r="T639" s="3" t="str">
        <f>HYPERLINK("doors://fe-dorapcm3.de.bosch.com:36679/?version=2&amp;prodID=0&amp;view=00000015&amp;urn=urn:telelogic::1-52394082008461e6-O-7961-00059142","BSW_SWS_AR4_0_R2_DIODriver-7961")</f>
        <v>BSW_SWS_AR4_0_R2_DIODriver-7961</v>
      </c>
    </row>
    <row r="640" spans="1:20" ht="127.5" x14ac:dyDescent="0.2">
      <c r="A640" t="s">
        <v>1838</v>
      </c>
      <c r="B640" t="s">
        <v>1617</v>
      </c>
      <c r="C640" t="s">
        <v>1839</v>
      </c>
      <c r="D640" t="s">
        <v>1840</v>
      </c>
      <c r="E640" s="4" t="s">
        <v>1841</v>
      </c>
      <c r="F640" t="s">
        <v>1621</v>
      </c>
      <c r="G640" t="s">
        <v>1842</v>
      </c>
      <c r="J640" t="s">
        <v>1673</v>
      </c>
      <c r="K640" t="s">
        <v>618</v>
      </c>
      <c r="P640" t="s">
        <v>619</v>
      </c>
      <c r="Q640" t="s">
        <v>620</v>
      </c>
      <c r="R640" t="s">
        <v>621</v>
      </c>
      <c r="S640" t="s">
        <v>622</v>
      </c>
      <c r="T640" s="3" t="str">
        <f>HYPERLINK("doors://fe-dorapcm3.de.bosch.com:36679/?version=2&amp;prodID=0&amp;view=00000015&amp;urn=urn:telelogic::1-52394082008461e6-O-7962-00059142","BSW_SWS_AR4_0_R2_DIODriver-7962")</f>
        <v>BSW_SWS_AR4_0_R2_DIODriver-7962</v>
      </c>
    </row>
    <row r="641" spans="1:20" ht="140.25" x14ac:dyDescent="0.2">
      <c r="A641" t="s">
        <v>1843</v>
      </c>
      <c r="B641" t="s">
        <v>1617</v>
      </c>
      <c r="C641" t="s">
        <v>1844</v>
      </c>
      <c r="D641" t="s">
        <v>1845</v>
      </c>
      <c r="E641" s="4" t="s">
        <v>1846</v>
      </c>
      <c r="F641" t="s">
        <v>1621</v>
      </c>
      <c r="G641" t="s">
        <v>1847</v>
      </c>
      <c r="J641" t="s">
        <v>617</v>
      </c>
      <c r="K641" t="s">
        <v>618</v>
      </c>
      <c r="P641" t="s">
        <v>619</v>
      </c>
      <c r="Q641" t="s">
        <v>620</v>
      </c>
      <c r="R641" t="s">
        <v>621</v>
      </c>
      <c r="S641" t="s">
        <v>622</v>
      </c>
      <c r="T641" s="3" t="str">
        <f>HYPERLINK("doors://fe-dorapcm3.de.bosch.com:36679/?version=2&amp;prodID=0&amp;view=00000015&amp;urn=urn:telelogic::1-52394082008461e6-O-7963-00059142","BSW_SWS_AR4_0_R2_DIODriver-7963")</f>
        <v>BSW_SWS_AR4_0_R2_DIODriver-7963</v>
      </c>
    </row>
    <row r="642" spans="1:20" x14ac:dyDescent="0.2">
      <c r="A642" t="s">
        <v>1848</v>
      </c>
      <c r="B642" t="s">
        <v>21</v>
      </c>
      <c r="C642">
        <v>7.6</v>
      </c>
      <c r="D642" s="2" t="s">
        <v>1849</v>
      </c>
      <c r="T642" s="3" t="str">
        <f>HYPERLINK("doors://fe-dorapcm3.de.bosch.com:36679/?version=2&amp;prodID=0&amp;view=00000015&amp;urn=urn:telelogic::1-52394082008461e6-O-7964-00059142","BSW_SWS_AR4_0_R2_DIODriver-7964")</f>
        <v>BSW_SWS_AR4_0_R2_DIODriver-7964</v>
      </c>
    </row>
    <row r="643" spans="1:20" x14ac:dyDescent="0.2">
      <c r="A643" t="s">
        <v>1850</v>
      </c>
      <c r="B643" t="s">
        <v>614</v>
      </c>
      <c r="C643" t="s">
        <v>1851</v>
      </c>
      <c r="D643" t="s">
        <v>1852</v>
      </c>
      <c r="K643" t="s">
        <v>618</v>
      </c>
      <c r="P643" t="s">
        <v>619</v>
      </c>
      <c r="Q643" t="s">
        <v>651</v>
      </c>
      <c r="R643" t="s">
        <v>621</v>
      </c>
      <c r="S643" t="s">
        <v>622</v>
      </c>
      <c r="T643" s="3" t="str">
        <f>HYPERLINK("doors://fe-dorapcm3.de.bosch.com:36679/?version=2&amp;prodID=0&amp;view=00000015&amp;urn=urn:telelogic::1-52394082008461e6-O-7965-00059142","BSW_SWS_AR4_0_R2_DIODriver-7965")</f>
        <v>BSW_SWS_AR4_0_R2_DIODriver-7965</v>
      </c>
    </row>
    <row r="644" spans="1:20" x14ac:dyDescent="0.2">
      <c r="A644" t="s">
        <v>1853</v>
      </c>
      <c r="B644" t="s">
        <v>1617</v>
      </c>
      <c r="C644" t="s">
        <v>1854</v>
      </c>
      <c r="D644" t="s">
        <v>1855</v>
      </c>
      <c r="J644" t="s">
        <v>1856</v>
      </c>
      <c r="K644" t="s">
        <v>618</v>
      </c>
      <c r="P644" t="s">
        <v>619</v>
      </c>
      <c r="Q644" t="s">
        <v>620</v>
      </c>
      <c r="R644" t="s">
        <v>621</v>
      </c>
      <c r="S644" t="s">
        <v>622</v>
      </c>
      <c r="T644" s="3" t="str">
        <f>HYPERLINK("doors://fe-dorapcm3.de.bosch.com:36679/?version=2&amp;prodID=0&amp;view=00000015&amp;urn=urn:telelogic::1-52394082008461e6-O-7966-00059142","BSW_SWS_AR4_0_R2_DIODriver-7966")</f>
        <v>BSW_SWS_AR4_0_R2_DIODriver-7966</v>
      </c>
    </row>
    <row r="645" spans="1:20" x14ac:dyDescent="0.2">
      <c r="A645" t="s">
        <v>1857</v>
      </c>
      <c r="B645" t="s">
        <v>1617</v>
      </c>
      <c r="C645" t="s">
        <v>1858</v>
      </c>
      <c r="D645" s="5" t="s">
        <v>1859</v>
      </c>
      <c r="K645" t="s">
        <v>618</v>
      </c>
      <c r="P645" t="s">
        <v>619</v>
      </c>
      <c r="Q645" t="s">
        <v>620</v>
      </c>
      <c r="R645" t="s">
        <v>1860</v>
      </c>
      <c r="T645" s="3" t="str">
        <f>HYPERLINK("doors://fe-dorapcm3.de.bosch.com:36679/?version=2&amp;prodID=0&amp;view=00000015&amp;urn=urn:telelogic::1-52394082008461e6-O-7969-00059142","BSW_SWS_AR4_0_R2_DIODriver-7969")</f>
        <v>BSW_SWS_AR4_0_R2_DIODriver-7969</v>
      </c>
    </row>
    <row r="646" spans="1:20" x14ac:dyDescent="0.2">
      <c r="A646" t="s">
        <v>1861</v>
      </c>
      <c r="B646" t="s">
        <v>21</v>
      </c>
      <c r="C646" t="s">
        <v>1862</v>
      </c>
      <c r="D646" s="5" t="s">
        <v>1863</v>
      </c>
      <c r="T646" s="3" t="str">
        <f>HYPERLINK("doors://fe-dorapcm3.de.bosch.com:36679/?version=2&amp;prodID=0&amp;view=00000015&amp;urn=urn:telelogic::1-52394082008461e6-O-7970-00059142","BSW_SWS_AR4_0_R2_DIODriver-7970")</f>
        <v>BSW_SWS_AR4_0_R2_DIODriver-7970</v>
      </c>
    </row>
    <row r="647" spans="1:20" x14ac:dyDescent="0.2">
      <c r="A647" t="s">
        <v>1864</v>
      </c>
      <c r="B647" t="s">
        <v>21</v>
      </c>
      <c r="C647" t="s">
        <v>1865</v>
      </c>
      <c r="D647" s="5" t="s">
        <v>1866</v>
      </c>
      <c r="T647" s="3" t="str">
        <f>HYPERLINK("doors://fe-dorapcm3.de.bosch.com:36679/?version=2&amp;prodID=0&amp;view=00000015&amp;urn=urn:telelogic::1-52394082008461e6-O-7971-00059142","BSW_SWS_AR4_0_R2_DIODriver-7971")</f>
        <v>BSW_SWS_AR4_0_R2_DIODriver-7971</v>
      </c>
    </row>
    <row r="648" spans="1:20" ht="25.5" x14ac:dyDescent="0.2">
      <c r="A648" t="s">
        <v>1867</v>
      </c>
      <c r="B648" t="s">
        <v>21</v>
      </c>
      <c r="C648" t="s">
        <v>1868</v>
      </c>
      <c r="D648" s="6" t="s">
        <v>1869</v>
      </c>
      <c r="T648" s="3" t="str">
        <f>HYPERLINK("doors://fe-dorapcm3.de.bosch.com:36679/?version=2&amp;prodID=0&amp;view=00000015&amp;urn=urn:telelogic::1-52394082008461e6-O-7972-00059142","BSW_SWS_AR4_0_R2_DIODriver-7972")</f>
        <v>BSW_SWS_AR4_0_R2_DIODriver-7972</v>
      </c>
    </row>
    <row r="649" spans="1:20" x14ac:dyDescent="0.2">
      <c r="A649" t="s">
        <v>1870</v>
      </c>
      <c r="B649" t="s">
        <v>21</v>
      </c>
      <c r="C649" t="s">
        <v>1871</v>
      </c>
      <c r="D649" s="2" t="s">
        <v>1872</v>
      </c>
      <c r="T649" s="3" t="str">
        <f>HYPERLINK("doors://fe-dorapcm3.de.bosch.com:36679/?version=2&amp;prodID=0&amp;view=00000015&amp;urn=urn:telelogic::1-52394082008461e6-O-7974-00059142","BSW_SWS_AR4_0_R2_DIODriver-7974")</f>
        <v>BSW_SWS_AR4_0_R2_DIODriver-7974</v>
      </c>
    </row>
    <row r="650" spans="1:20" x14ac:dyDescent="0.2">
      <c r="A650" t="s">
        <v>1873</v>
      </c>
      <c r="B650" t="s">
        <v>21</v>
      </c>
      <c r="C650" t="s">
        <v>1874</v>
      </c>
      <c r="D650" t="s">
        <v>1875</v>
      </c>
      <c r="T650" s="3" t="str">
        <f>HYPERLINK("doors://fe-dorapcm3.de.bosch.com:36679/?version=2&amp;prodID=0&amp;view=00000015&amp;urn=urn:telelogic::1-52394082008461e6-O-7975-00059142","BSW_SWS_AR4_0_R2_DIODriver-7975")</f>
        <v>BSW_SWS_AR4_0_R2_DIODriver-7975</v>
      </c>
    </row>
    <row r="651" spans="1:20" x14ac:dyDescent="0.2">
      <c r="A651" t="s">
        <v>1876</v>
      </c>
      <c r="B651" t="s">
        <v>21</v>
      </c>
      <c r="C651" t="s">
        <v>1877</v>
      </c>
      <c r="D651" t="s">
        <v>1878</v>
      </c>
      <c r="T651" s="3" t="str">
        <f>HYPERLINK("doors://fe-dorapcm3.de.bosch.com:36679/?version=2&amp;prodID=0&amp;view=00000015&amp;urn=urn:telelogic::1-52394082008461e6-O-7976-00059142","BSW_SWS_AR4_0_R2_DIODriver-7976")</f>
        <v>BSW_SWS_AR4_0_R2_DIODriver-7976</v>
      </c>
    </row>
    <row r="652" spans="1:20" x14ac:dyDescent="0.2">
      <c r="A652" t="s">
        <v>1879</v>
      </c>
      <c r="B652" t="s">
        <v>21</v>
      </c>
      <c r="C652" t="s">
        <v>1880</v>
      </c>
      <c r="D652" t="s">
        <v>1881</v>
      </c>
      <c r="T652" s="3" t="str">
        <f>HYPERLINK("doors://fe-dorapcm3.de.bosch.com:36679/?version=2&amp;prodID=0&amp;view=00000015&amp;urn=urn:telelogic::1-52394082008461e6-O-7977-00059142","BSW_SWS_AR4_0_R2_DIODriver-7977")</f>
        <v>BSW_SWS_AR4_0_R2_DIODriver-7977</v>
      </c>
    </row>
    <row r="653" spans="1:20" x14ac:dyDescent="0.2">
      <c r="A653" t="s">
        <v>1882</v>
      </c>
      <c r="B653" t="s">
        <v>21</v>
      </c>
      <c r="C653" t="s">
        <v>1883</v>
      </c>
      <c r="D653" s="2" t="s">
        <v>1884</v>
      </c>
      <c r="T653" s="3" t="str">
        <f>HYPERLINK("doors://fe-dorapcm3.de.bosch.com:36679/?version=2&amp;prodID=0&amp;view=00000015&amp;urn=urn:telelogic::1-52394082008461e6-O-7979-00059142","BSW_SWS_AR4_0_R2_DIODriver-7979")</f>
        <v>BSW_SWS_AR4_0_R2_DIODriver-7979</v>
      </c>
    </row>
    <row r="654" spans="1:20" x14ac:dyDescent="0.2">
      <c r="A654" t="s">
        <v>1885</v>
      </c>
      <c r="B654" t="s">
        <v>21</v>
      </c>
      <c r="C654" t="s">
        <v>1886</v>
      </c>
      <c r="D654" t="s">
        <v>1875</v>
      </c>
      <c r="T654" s="3" t="str">
        <f>HYPERLINK("doors://fe-dorapcm3.de.bosch.com:36679/?version=2&amp;prodID=0&amp;view=00000015&amp;urn=urn:telelogic::1-52394082008461e6-O-7980-00059142","BSW_SWS_AR4_0_R2_DIODriver-7980")</f>
        <v>BSW_SWS_AR4_0_R2_DIODriver-7980</v>
      </c>
    </row>
    <row r="655" spans="1:20" x14ac:dyDescent="0.2">
      <c r="A655" t="s">
        <v>1887</v>
      </c>
      <c r="B655" t="s">
        <v>21</v>
      </c>
      <c r="C655" t="s">
        <v>1888</v>
      </c>
      <c r="D655" t="s">
        <v>1889</v>
      </c>
      <c r="T655" s="3" t="str">
        <f>HYPERLINK("doors://fe-dorapcm3.de.bosch.com:36679/?version=2&amp;prodID=0&amp;view=00000015&amp;urn=urn:telelogic::1-52394082008461e6-O-7981-00059142","BSW_SWS_AR4_0_R2_DIODriver-7981")</f>
        <v>BSW_SWS_AR4_0_R2_DIODriver-7981</v>
      </c>
    </row>
    <row r="656" spans="1:20" x14ac:dyDescent="0.2">
      <c r="A656" t="s">
        <v>1890</v>
      </c>
      <c r="B656" t="s">
        <v>21</v>
      </c>
      <c r="C656" t="s">
        <v>1891</v>
      </c>
      <c r="D656" t="s">
        <v>1892</v>
      </c>
      <c r="T656" s="3" t="str">
        <f>HYPERLINK("doors://fe-dorapcm3.de.bosch.com:36679/?version=2&amp;prodID=0&amp;view=00000015&amp;urn=urn:telelogic::1-52394082008461e6-O-7982-00059142","BSW_SWS_AR4_0_R2_DIODriver-7982")</f>
        <v>BSW_SWS_AR4_0_R2_DIODriver-7982</v>
      </c>
    </row>
    <row r="657" spans="1:20" x14ac:dyDescent="0.2">
      <c r="A657" t="s">
        <v>1893</v>
      </c>
      <c r="B657" t="s">
        <v>21</v>
      </c>
      <c r="C657" t="s">
        <v>1894</v>
      </c>
      <c r="D657" s="2" t="s">
        <v>1895</v>
      </c>
      <c r="T657" s="3" t="str">
        <f>HYPERLINK("doors://fe-dorapcm3.de.bosch.com:36679/?version=2&amp;prodID=0&amp;view=00000015&amp;urn=urn:telelogic::1-52394082008461e6-O-7984-00059142","BSW_SWS_AR4_0_R2_DIODriver-7984")</f>
        <v>BSW_SWS_AR4_0_R2_DIODriver-7984</v>
      </c>
    </row>
    <row r="658" spans="1:20" x14ac:dyDescent="0.2">
      <c r="A658" t="s">
        <v>1896</v>
      </c>
      <c r="B658" t="s">
        <v>21</v>
      </c>
      <c r="C658" t="s">
        <v>1897</v>
      </c>
      <c r="D658" t="s">
        <v>1875</v>
      </c>
      <c r="T658" s="3" t="str">
        <f>HYPERLINK("doors://fe-dorapcm3.de.bosch.com:36679/?version=2&amp;prodID=0&amp;view=00000015&amp;urn=urn:telelogic::1-52394082008461e6-O-7985-00059142","BSW_SWS_AR4_0_R2_DIODriver-7985")</f>
        <v>BSW_SWS_AR4_0_R2_DIODriver-7985</v>
      </c>
    </row>
    <row r="659" spans="1:20" x14ac:dyDescent="0.2">
      <c r="A659" t="s">
        <v>1898</v>
      </c>
      <c r="B659" t="s">
        <v>21</v>
      </c>
      <c r="C659" t="s">
        <v>1899</v>
      </c>
      <c r="D659" t="s">
        <v>1900</v>
      </c>
      <c r="T659" s="3" t="str">
        <f>HYPERLINK("doors://fe-dorapcm3.de.bosch.com:36679/?version=2&amp;prodID=0&amp;view=00000015&amp;urn=urn:telelogic::1-52394082008461e6-O-7986-00059142","BSW_SWS_AR4_0_R2_DIODriver-7986")</f>
        <v>BSW_SWS_AR4_0_R2_DIODriver-7986</v>
      </c>
    </row>
    <row r="660" spans="1:20" x14ac:dyDescent="0.2">
      <c r="A660" t="s">
        <v>1901</v>
      </c>
      <c r="B660" t="s">
        <v>21</v>
      </c>
      <c r="C660" t="s">
        <v>1902</v>
      </c>
      <c r="D660" t="s">
        <v>1903</v>
      </c>
      <c r="T660" s="3" t="str">
        <f>HYPERLINK("doors://fe-dorapcm3.de.bosch.com:36679/?version=2&amp;prodID=0&amp;view=00000015&amp;urn=urn:telelogic::1-52394082008461e6-O-7987-00059142","BSW_SWS_AR4_0_R2_DIODriver-7987")</f>
        <v>BSW_SWS_AR4_0_R2_DIODriver-7987</v>
      </c>
    </row>
    <row r="661" spans="1:20" x14ac:dyDescent="0.2">
      <c r="A661" t="s">
        <v>1904</v>
      </c>
      <c r="B661" t="s">
        <v>21</v>
      </c>
      <c r="C661" t="s">
        <v>1905</v>
      </c>
      <c r="D661" s="2" t="s">
        <v>1906</v>
      </c>
      <c r="T661" s="3" t="str">
        <f>HYPERLINK("doors://fe-dorapcm3.de.bosch.com:36679/?version=2&amp;prodID=0&amp;view=00000015&amp;urn=urn:telelogic::1-52394082008461e6-O-7989-00059142","BSW_SWS_AR4_0_R2_DIODriver-7989")</f>
        <v>BSW_SWS_AR4_0_R2_DIODriver-7989</v>
      </c>
    </row>
    <row r="662" spans="1:20" x14ac:dyDescent="0.2">
      <c r="A662" t="s">
        <v>1907</v>
      </c>
      <c r="B662" t="s">
        <v>21</v>
      </c>
      <c r="C662" t="s">
        <v>1908</v>
      </c>
      <c r="D662" t="s">
        <v>1875</v>
      </c>
      <c r="T662" s="3" t="str">
        <f>HYPERLINK("doors://fe-dorapcm3.de.bosch.com:36679/?version=2&amp;prodID=0&amp;view=00000015&amp;urn=urn:telelogic::1-52394082008461e6-O-7990-00059142","BSW_SWS_AR4_0_R2_DIODriver-7990")</f>
        <v>BSW_SWS_AR4_0_R2_DIODriver-7990</v>
      </c>
    </row>
    <row r="663" spans="1:20" x14ac:dyDescent="0.2">
      <c r="A663" t="s">
        <v>1909</v>
      </c>
      <c r="B663" t="s">
        <v>21</v>
      </c>
      <c r="C663" t="s">
        <v>1910</v>
      </c>
      <c r="D663" t="s">
        <v>1911</v>
      </c>
      <c r="T663" s="3" t="str">
        <f>HYPERLINK("doors://fe-dorapcm3.de.bosch.com:36679/?version=2&amp;prodID=0&amp;view=00000015&amp;urn=urn:telelogic::1-52394082008461e6-O-7991-00059142","BSW_SWS_AR4_0_R2_DIODriver-7991")</f>
        <v>BSW_SWS_AR4_0_R2_DIODriver-7991</v>
      </c>
    </row>
    <row r="664" spans="1:20" x14ac:dyDescent="0.2">
      <c r="A664" t="s">
        <v>1912</v>
      </c>
      <c r="B664" t="s">
        <v>21</v>
      </c>
      <c r="C664" t="s">
        <v>1913</v>
      </c>
      <c r="D664" t="s">
        <v>1914</v>
      </c>
      <c r="T664" s="3" t="str">
        <f>HYPERLINK("doors://fe-dorapcm3.de.bosch.com:36679/?version=2&amp;prodID=0&amp;view=00000015&amp;urn=urn:telelogic::1-52394082008461e6-O-7992-00059142","BSW_SWS_AR4_0_R2_DIODriver-7992")</f>
        <v>BSW_SWS_AR4_0_R2_DIODriver-7992</v>
      </c>
    </row>
    <row r="665" spans="1:20" x14ac:dyDescent="0.2">
      <c r="A665" t="s">
        <v>1915</v>
      </c>
      <c r="B665" t="s">
        <v>21</v>
      </c>
      <c r="C665" t="s">
        <v>1916</v>
      </c>
      <c r="D665" s="2" t="s">
        <v>1917</v>
      </c>
      <c r="T665" s="3" t="str">
        <f>HYPERLINK("doors://fe-dorapcm3.de.bosch.com:36679/?version=2&amp;prodID=0&amp;view=00000015&amp;urn=urn:telelogic::1-52394082008461e6-O-7994-00059142","BSW_SWS_AR4_0_R2_DIODriver-7994")</f>
        <v>BSW_SWS_AR4_0_R2_DIODriver-7994</v>
      </c>
    </row>
    <row r="666" spans="1:20" x14ac:dyDescent="0.2">
      <c r="A666" t="s">
        <v>1918</v>
      </c>
      <c r="B666" t="s">
        <v>21</v>
      </c>
      <c r="C666" t="s">
        <v>1919</v>
      </c>
      <c r="D666" t="s">
        <v>1875</v>
      </c>
      <c r="T666" s="3" t="str">
        <f>HYPERLINK("doors://fe-dorapcm3.de.bosch.com:36679/?version=2&amp;prodID=0&amp;view=00000015&amp;urn=urn:telelogic::1-52394082008461e6-O-7995-00059142","BSW_SWS_AR4_0_R2_DIODriver-7995")</f>
        <v>BSW_SWS_AR4_0_R2_DIODriver-7995</v>
      </c>
    </row>
    <row r="667" spans="1:20" x14ac:dyDescent="0.2">
      <c r="A667" t="s">
        <v>1920</v>
      </c>
      <c r="B667" t="s">
        <v>21</v>
      </c>
      <c r="C667" t="s">
        <v>1921</v>
      </c>
      <c r="D667" t="s">
        <v>1922</v>
      </c>
      <c r="T667" s="3" t="str">
        <f>HYPERLINK("doors://fe-dorapcm3.de.bosch.com:36679/?version=2&amp;prodID=0&amp;view=00000015&amp;urn=urn:telelogic::1-52394082008461e6-O-7996-00059142","BSW_SWS_AR4_0_R2_DIODriver-7996")</f>
        <v>BSW_SWS_AR4_0_R2_DIODriver-7996</v>
      </c>
    </row>
    <row r="668" spans="1:20" x14ac:dyDescent="0.2">
      <c r="A668" t="s">
        <v>1923</v>
      </c>
      <c r="B668" t="s">
        <v>21</v>
      </c>
      <c r="C668" t="s">
        <v>1924</v>
      </c>
      <c r="D668" t="s">
        <v>1925</v>
      </c>
      <c r="T668" s="3" t="str">
        <f>HYPERLINK("doors://fe-dorapcm3.de.bosch.com:36679/?version=2&amp;prodID=0&amp;view=00000015&amp;urn=urn:telelogic::1-52394082008461e6-O-7997-00059142","BSW_SWS_AR4_0_R2_DIODriver-7997")</f>
        <v>BSW_SWS_AR4_0_R2_DIODriver-7997</v>
      </c>
    </row>
    <row r="669" spans="1:20" x14ac:dyDescent="0.2">
      <c r="A669" t="s">
        <v>1926</v>
      </c>
      <c r="B669" t="s">
        <v>21</v>
      </c>
      <c r="C669" t="s">
        <v>1927</v>
      </c>
      <c r="D669" t="s">
        <v>1928</v>
      </c>
      <c r="T669" s="3" t="str">
        <f>HYPERLINK("doors://fe-dorapcm3.de.bosch.com:36679/?version=2&amp;prodID=0&amp;view=00000015&amp;urn=urn:telelogic::1-52394082008461e6-O-7999-00059142","BSW_SWS_AR4_0_R2_DIODriver-7999")</f>
        <v>BSW_SWS_AR4_0_R2_DIODriver-7999</v>
      </c>
    </row>
    <row r="670" spans="1:20" x14ac:dyDescent="0.2">
      <c r="A670" t="s">
        <v>1929</v>
      </c>
      <c r="B670" t="s">
        <v>21</v>
      </c>
      <c r="C670" t="s">
        <v>1930</v>
      </c>
      <c r="D670" t="s">
        <v>1931</v>
      </c>
      <c r="T670" s="3" t="str">
        <f>HYPERLINK("doors://fe-dorapcm3.de.bosch.com:36679/?version=2&amp;prodID=0&amp;view=00000015&amp;urn=urn:telelogic::1-52394082008461e6-O-8000-00059142","BSW_SWS_AR4_0_R2_DIODriver-8000")</f>
        <v>BSW_SWS_AR4_0_R2_DIODriver-8000</v>
      </c>
    </row>
    <row r="671" spans="1:20" x14ac:dyDescent="0.2">
      <c r="A671" t="s">
        <v>1932</v>
      </c>
      <c r="B671" t="s">
        <v>21</v>
      </c>
      <c r="C671" t="s">
        <v>1933</v>
      </c>
      <c r="D671" t="s">
        <v>1934</v>
      </c>
      <c r="T671" s="3" t="str">
        <f>HYPERLINK("doors://fe-dorapcm3.de.bosch.com:36679/?version=2&amp;prodID=0&amp;view=00000015&amp;urn=urn:telelogic::1-52394082008461e6-O-8001-00059142","BSW_SWS_AR4_0_R2_DIODriver-8001")</f>
        <v>BSW_SWS_AR4_0_R2_DIODriver-8001</v>
      </c>
    </row>
    <row r="672" spans="1:20" x14ac:dyDescent="0.2">
      <c r="A672" t="s">
        <v>1935</v>
      </c>
      <c r="B672" t="s">
        <v>21</v>
      </c>
      <c r="C672">
        <v>7.7</v>
      </c>
      <c r="D672" s="2" t="s">
        <v>1936</v>
      </c>
      <c r="T672" s="3" t="str">
        <f>HYPERLINK("doors://fe-dorapcm3.de.bosch.com:36679/?version=2&amp;prodID=0&amp;view=00000015&amp;urn=urn:telelogic::1-52394082008461e6-O-8002-00059142","BSW_SWS_AR4_0_R2_DIODriver-8002")</f>
        <v>BSW_SWS_AR4_0_R2_DIODriver-8002</v>
      </c>
    </row>
    <row r="673" spans="1:20" x14ac:dyDescent="0.2">
      <c r="A673" t="s">
        <v>1937</v>
      </c>
      <c r="B673" t="s">
        <v>21</v>
      </c>
      <c r="C673" t="s">
        <v>1938</v>
      </c>
      <c r="D673" s="2" t="s">
        <v>1939</v>
      </c>
      <c r="T673" s="3" t="str">
        <f>HYPERLINK("doors://fe-dorapcm3.de.bosch.com:36679/?version=2&amp;prodID=0&amp;view=00000015&amp;urn=urn:telelogic::1-52394082008461e6-O-8003-00059142","BSW_SWS_AR4_0_R2_DIODriver-8003")</f>
        <v>BSW_SWS_AR4_0_R2_DIODriver-8003</v>
      </c>
    </row>
    <row r="674" spans="1:20" ht="242.25" x14ac:dyDescent="0.2">
      <c r="A674" t="s">
        <v>1940</v>
      </c>
      <c r="B674" t="s">
        <v>1617</v>
      </c>
      <c r="C674" t="s">
        <v>1941</v>
      </c>
      <c r="D674" t="s">
        <v>1942</v>
      </c>
      <c r="E674" s="4" t="s">
        <v>1943</v>
      </c>
      <c r="F674" t="s">
        <v>1621</v>
      </c>
      <c r="G674" s="4" t="s">
        <v>1944</v>
      </c>
      <c r="J674" t="s">
        <v>1673</v>
      </c>
      <c r="K674" t="s">
        <v>618</v>
      </c>
      <c r="P674" t="s">
        <v>619</v>
      </c>
      <c r="Q674" t="s">
        <v>620</v>
      </c>
      <c r="R674" t="s">
        <v>621</v>
      </c>
      <c r="S674" t="s">
        <v>622</v>
      </c>
      <c r="T674" s="3" t="str">
        <f>HYPERLINK("doors://fe-dorapcm3.de.bosch.com:36679/?version=2&amp;prodID=0&amp;view=00000015&amp;urn=urn:telelogic::1-52394082008461e6-O-8004-00059142","BSW_SWS_AR4_0_R2_DIODriver-8004")</f>
        <v>BSW_SWS_AR4_0_R2_DIODriver-8004</v>
      </c>
    </row>
    <row r="675" spans="1:20" ht="242.25" x14ac:dyDescent="0.2">
      <c r="A675" t="s">
        <v>1945</v>
      </c>
      <c r="B675" t="s">
        <v>1617</v>
      </c>
      <c r="C675" t="s">
        <v>1946</v>
      </c>
      <c r="D675" t="s">
        <v>1947</v>
      </c>
      <c r="E675" s="4" t="s">
        <v>1948</v>
      </c>
      <c r="F675" t="s">
        <v>1621</v>
      </c>
      <c r="G675" s="4" t="s">
        <v>1949</v>
      </c>
      <c r="K675" t="s">
        <v>618</v>
      </c>
      <c r="P675" t="s">
        <v>619</v>
      </c>
      <c r="R675" t="s">
        <v>1783</v>
      </c>
      <c r="T675" s="3" t="str">
        <f>HYPERLINK("doors://fe-dorapcm3.de.bosch.com:36679/?version=2&amp;prodID=0&amp;view=00000015&amp;urn=urn:telelogic::1-52394082008461e6-O-8005-00059142","BSW_SWS_AR4_0_R2_DIODriver-8005")</f>
        <v>BSW_SWS_AR4_0_R2_DIODriver-8005</v>
      </c>
    </row>
    <row r="676" spans="1:20" ht="191.25" x14ac:dyDescent="0.2">
      <c r="A676" t="s">
        <v>1950</v>
      </c>
      <c r="B676" t="s">
        <v>1617</v>
      </c>
      <c r="C676" t="s">
        <v>1951</v>
      </c>
      <c r="D676" t="s">
        <v>1952</v>
      </c>
      <c r="E676" s="4" t="s">
        <v>1953</v>
      </c>
      <c r="G676" s="4" t="s">
        <v>1954</v>
      </c>
      <c r="K676" t="s">
        <v>618</v>
      </c>
      <c r="P676" t="s">
        <v>619</v>
      </c>
      <c r="R676" t="s">
        <v>1783</v>
      </c>
      <c r="T676" s="3" t="str">
        <f>HYPERLINK("doors://fe-dorapcm3.de.bosch.com:36679/?version=2&amp;prodID=0&amp;view=00000015&amp;urn=urn:telelogic::1-52394082008461e6-O-8006-00059142","BSW_SWS_AR4_0_R2_DIODriver-8006")</f>
        <v>BSW_SWS_AR4_0_R2_DIODriver-8006</v>
      </c>
    </row>
    <row r="677" spans="1:20" x14ac:dyDescent="0.2">
      <c r="A677" t="s">
        <v>1955</v>
      </c>
      <c r="B677" t="s">
        <v>21</v>
      </c>
      <c r="C677">
        <v>7.8</v>
      </c>
      <c r="D677" s="2" t="s">
        <v>1956</v>
      </c>
      <c r="T677" s="3" t="str">
        <f>HYPERLINK("doors://fe-dorapcm3.de.bosch.com:36679/?version=2&amp;prodID=0&amp;view=00000015&amp;urn=urn:telelogic::1-52394082008461e6-O-8007-00059142","BSW_SWS_AR4_0_R2_DIODriver-8007")</f>
        <v>BSW_SWS_AR4_0_R2_DIODriver-8007</v>
      </c>
    </row>
    <row r="678" spans="1:20" ht="76.5" x14ac:dyDescent="0.2">
      <c r="A678" t="s">
        <v>1957</v>
      </c>
      <c r="B678" t="s">
        <v>1617</v>
      </c>
      <c r="C678" t="s">
        <v>1958</v>
      </c>
      <c r="D678" t="s">
        <v>1959</v>
      </c>
      <c r="E678" s="4" t="s">
        <v>1960</v>
      </c>
      <c r="F678" t="s">
        <v>1621</v>
      </c>
      <c r="G678" s="4" t="s">
        <v>1961</v>
      </c>
      <c r="J678" t="s">
        <v>617</v>
      </c>
      <c r="K678" t="s">
        <v>618</v>
      </c>
      <c r="P678" t="s">
        <v>619</v>
      </c>
      <c r="Q678" t="s">
        <v>620</v>
      </c>
      <c r="R678" t="s">
        <v>621</v>
      </c>
      <c r="S678" t="s">
        <v>622</v>
      </c>
      <c r="T678" s="3" t="str">
        <f>HYPERLINK("doors://fe-dorapcm3.de.bosch.com:36679/?version=2&amp;prodID=0&amp;view=00000015&amp;urn=urn:telelogic::1-52394082008461e6-O-8008-00059142","BSW_SWS_AR4_0_R2_DIODriver-8008")</f>
        <v>BSW_SWS_AR4_0_R2_DIODriver-8008</v>
      </c>
    </row>
    <row r="679" spans="1:20" ht="102" x14ac:dyDescent="0.2">
      <c r="A679" t="s">
        <v>1962</v>
      </c>
      <c r="B679" t="s">
        <v>1617</v>
      </c>
      <c r="C679" t="s">
        <v>1963</v>
      </c>
      <c r="D679" t="s">
        <v>1964</v>
      </c>
      <c r="E679" s="4" t="s">
        <v>1965</v>
      </c>
      <c r="F679" t="s">
        <v>1621</v>
      </c>
      <c r="G679" s="4" t="s">
        <v>1966</v>
      </c>
      <c r="J679" t="s">
        <v>1856</v>
      </c>
      <c r="K679" t="s">
        <v>618</v>
      </c>
      <c r="P679" t="s">
        <v>619</v>
      </c>
      <c r="Q679" t="s">
        <v>620</v>
      </c>
      <c r="R679" t="s">
        <v>621</v>
      </c>
      <c r="S679" t="s">
        <v>622</v>
      </c>
      <c r="T679" s="3" t="str">
        <f>HYPERLINK("doors://fe-dorapcm3.de.bosch.com:36679/?version=2&amp;prodID=0&amp;view=00000015&amp;urn=urn:telelogic::1-52394082008461e6-O-8009-00059142","BSW_SWS_AR4_0_R2_DIODriver-8009")</f>
        <v>BSW_SWS_AR4_0_R2_DIODriver-8009</v>
      </c>
    </row>
    <row r="680" spans="1:20" x14ac:dyDescent="0.2">
      <c r="A680" t="s">
        <v>1967</v>
      </c>
      <c r="B680" t="s">
        <v>614</v>
      </c>
      <c r="C680" t="s">
        <v>1968</v>
      </c>
      <c r="D680" t="s">
        <v>1969</v>
      </c>
      <c r="J680" t="s">
        <v>617</v>
      </c>
      <c r="K680" t="s">
        <v>618</v>
      </c>
      <c r="P680" t="s">
        <v>619</v>
      </c>
      <c r="Q680" t="s">
        <v>620</v>
      </c>
      <c r="R680" t="s">
        <v>621</v>
      </c>
      <c r="S680" t="s">
        <v>622</v>
      </c>
      <c r="T680" s="3" t="str">
        <f>HYPERLINK("doors://fe-dorapcm3.de.bosch.com:36679/?version=2&amp;prodID=0&amp;view=00000015&amp;urn=urn:telelogic::1-52394082008461e6-O-8010-00059142","BSW_SWS_AR4_0_R2_DIODriver-8010")</f>
        <v>BSW_SWS_AR4_0_R2_DIODriver-8010</v>
      </c>
    </row>
    <row r="681" spans="1:20" x14ac:dyDescent="0.2">
      <c r="A681" t="s">
        <v>1970</v>
      </c>
      <c r="B681" t="s">
        <v>21</v>
      </c>
      <c r="C681">
        <v>7.9</v>
      </c>
      <c r="D681" s="2" t="s">
        <v>1971</v>
      </c>
      <c r="T681" s="3" t="str">
        <f>HYPERLINK("doors://fe-dorapcm3.de.bosch.com:36679/?version=2&amp;prodID=0&amp;view=00000015&amp;urn=urn:telelogic::1-52394082008461e6-O-8011-00059142","BSW_SWS_AR4_0_R2_DIODriver-8011")</f>
        <v>BSW_SWS_AR4_0_R2_DIODriver-8011</v>
      </c>
    </row>
    <row r="682" spans="1:20" x14ac:dyDescent="0.2">
      <c r="A682" t="s">
        <v>1972</v>
      </c>
      <c r="B682" t="s">
        <v>76</v>
      </c>
      <c r="C682" t="s">
        <v>1973</v>
      </c>
      <c r="D682" t="s">
        <v>1974</v>
      </c>
      <c r="T682" s="3" t="str">
        <f>HYPERLINK("doors://fe-dorapcm3.de.bosch.com:36679/?version=2&amp;prodID=0&amp;view=00000015&amp;urn=urn:telelogic::1-52394082008461e6-O-8012-00059142","BSW_SWS_AR4_0_R2_DIODriver-8012")</f>
        <v>BSW_SWS_AR4_0_R2_DIODriver-8012</v>
      </c>
    </row>
    <row r="683" spans="1:20" x14ac:dyDescent="0.2">
      <c r="A683" t="s">
        <v>1975</v>
      </c>
      <c r="B683" t="s">
        <v>614</v>
      </c>
      <c r="C683" t="s">
        <v>1976</v>
      </c>
      <c r="D683" t="s">
        <v>1977</v>
      </c>
      <c r="J683" t="s">
        <v>617</v>
      </c>
      <c r="K683" t="s">
        <v>618</v>
      </c>
      <c r="P683" t="s">
        <v>619</v>
      </c>
      <c r="Q683" t="s">
        <v>620</v>
      </c>
      <c r="R683" t="s">
        <v>621</v>
      </c>
      <c r="S683" t="s">
        <v>622</v>
      </c>
      <c r="T683" s="3" t="str">
        <f>HYPERLINK("doors://fe-dorapcm3.de.bosch.com:36679/?version=2&amp;prodID=0&amp;view=00000015&amp;urn=urn:telelogic::1-52394082008461e6-O-8013-00059142","BSW_SWS_AR4_0_R2_DIODriver-8013")</f>
        <v>BSW_SWS_AR4_0_R2_DIODriver-8013</v>
      </c>
    </row>
    <row r="684" spans="1:20" x14ac:dyDescent="0.2">
      <c r="A684" t="s">
        <v>1978</v>
      </c>
      <c r="B684" t="s">
        <v>614</v>
      </c>
      <c r="C684" t="s">
        <v>1979</v>
      </c>
      <c r="D684" t="s">
        <v>1980</v>
      </c>
      <c r="J684" t="s">
        <v>617</v>
      </c>
      <c r="K684" t="s">
        <v>618</v>
      </c>
      <c r="P684" t="s">
        <v>619</v>
      </c>
      <c r="Q684" t="s">
        <v>620</v>
      </c>
      <c r="R684" t="s">
        <v>621</v>
      </c>
      <c r="S684" t="s">
        <v>622</v>
      </c>
      <c r="T684" s="3" t="str">
        <f>HYPERLINK("doors://fe-dorapcm3.de.bosch.com:36679/?version=2&amp;prodID=0&amp;view=00000015&amp;urn=urn:telelogic::1-52394082008461e6-O-8014-00059142","BSW_SWS_AR4_0_R2_DIODriver-8014")</f>
        <v>BSW_SWS_AR4_0_R2_DIODriver-8014</v>
      </c>
    </row>
    <row r="685" spans="1:20" x14ac:dyDescent="0.2">
      <c r="A685" t="s">
        <v>1981</v>
      </c>
      <c r="B685" t="s">
        <v>614</v>
      </c>
      <c r="C685" t="s">
        <v>1982</v>
      </c>
      <c r="D685" t="s">
        <v>1983</v>
      </c>
      <c r="J685" t="s">
        <v>617</v>
      </c>
      <c r="K685" t="s">
        <v>618</v>
      </c>
      <c r="P685" t="s">
        <v>619</v>
      </c>
      <c r="Q685" t="s">
        <v>620</v>
      </c>
      <c r="R685" t="s">
        <v>621</v>
      </c>
      <c r="S685" t="s">
        <v>622</v>
      </c>
      <c r="T685" s="3" t="str">
        <f>HYPERLINK("doors://fe-dorapcm3.de.bosch.com:36679/?version=2&amp;prodID=0&amp;view=00000015&amp;urn=urn:telelogic::1-52394082008461e6-O-8015-00059142","BSW_SWS_AR4_0_R2_DIODriver-8015")</f>
        <v>BSW_SWS_AR4_0_R2_DIODriver-8015</v>
      </c>
    </row>
    <row r="686" spans="1:20" x14ac:dyDescent="0.2">
      <c r="A686" t="s">
        <v>1984</v>
      </c>
      <c r="B686" t="s">
        <v>614</v>
      </c>
      <c r="C686" t="s">
        <v>1985</v>
      </c>
      <c r="D686" t="s">
        <v>1986</v>
      </c>
      <c r="J686" t="s">
        <v>617</v>
      </c>
      <c r="K686" t="s">
        <v>618</v>
      </c>
      <c r="P686" t="s">
        <v>619</v>
      </c>
      <c r="Q686" t="s">
        <v>651</v>
      </c>
      <c r="R686" t="s">
        <v>621</v>
      </c>
      <c r="S686" t="s">
        <v>622</v>
      </c>
      <c r="T686" s="3" t="str">
        <f>HYPERLINK("doors://fe-dorapcm3.de.bosch.com:36679/?version=2&amp;prodID=0&amp;view=00000015&amp;urn=urn:telelogic::1-52394082008461e6-O-8016-00059142","BSW_SWS_AR4_0_R2_DIODriver-8016")</f>
        <v>BSW_SWS_AR4_0_R2_DIODriver-8016</v>
      </c>
    </row>
    <row r="687" spans="1:20" x14ac:dyDescent="0.2">
      <c r="A687" t="s">
        <v>1987</v>
      </c>
      <c r="B687" t="s">
        <v>21</v>
      </c>
      <c r="C687">
        <v>8</v>
      </c>
      <c r="D687" s="2" t="s">
        <v>1988</v>
      </c>
      <c r="T687" s="3" t="str">
        <f>HYPERLINK("doors://fe-dorapcm3.de.bosch.com:36679/?version=2&amp;prodID=0&amp;view=00000015&amp;urn=urn:telelogic::1-52394082008461e6-O-8017-00059142","BSW_SWS_AR4_0_R2_DIODriver-8017")</f>
        <v>BSW_SWS_AR4_0_R2_DIODriver-8017</v>
      </c>
    </row>
    <row r="688" spans="1:20" x14ac:dyDescent="0.2">
      <c r="A688" t="s">
        <v>1989</v>
      </c>
      <c r="B688" t="s">
        <v>21</v>
      </c>
      <c r="C688">
        <v>8.1</v>
      </c>
      <c r="D688" s="2" t="s">
        <v>1990</v>
      </c>
      <c r="T688" s="3" t="str">
        <f>HYPERLINK("doors://fe-dorapcm3.de.bosch.com:36679/?version=2&amp;prodID=0&amp;view=00000015&amp;urn=urn:telelogic::1-52394082008461e6-O-8018-00059142","BSW_SWS_AR4_0_R2_DIODriver-8018")</f>
        <v>BSW_SWS_AR4_0_R2_DIODriver-8018</v>
      </c>
    </row>
    <row r="689" spans="1:20" x14ac:dyDescent="0.2">
      <c r="A689" t="s">
        <v>1991</v>
      </c>
      <c r="B689" t="s">
        <v>76</v>
      </c>
      <c r="C689" t="s">
        <v>1992</v>
      </c>
      <c r="D689" t="s">
        <v>1993</v>
      </c>
      <c r="T689" s="3" t="str">
        <f>HYPERLINK("doors://fe-dorapcm3.de.bosch.com:36679/?version=2&amp;prodID=0&amp;view=00000015&amp;urn=urn:telelogic::1-52394082008461e6-O-8019-00059142","BSW_SWS_AR4_0_R2_DIODriver-8019")</f>
        <v>BSW_SWS_AR4_0_R2_DIODriver-8019</v>
      </c>
    </row>
    <row r="690" spans="1:20" x14ac:dyDescent="0.2">
      <c r="A690" t="s">
        <v>1994</v>
      </c>
      <c r="B690" t="s">
        <v>614</v>
      </c>
      <c r="C690" t="s">
        <v>1995</v>
      </c>
      <c r="D690" t="s">
        <v>1996</v>
      </c>
      <c r="J690" t="s">
        <v>617</v>
      </c>
      <c r="K690" t="s">
        <v>618</v>
      </c>
      <c r="P690" t="s">
        <v>619</v>
      </c>
      <c r="Q690" t="s">
        <v>620</v>
      </c>
      <c r="R690" t="s">
        <v>621</v>
      </c>
      <c r="S690" t="s">
        <v>622</v>
      </c>
      <c r="T690" s="3" t="str">
        <f>HYPERLINK("doors://fe-dorapcm3.de.bosch.com:36679/?version=2&amp;prodID=0&amp;view=00000015&amp;urn=urn:telelogic::1-52394082008461e6-O-8020-00059142","BSW_SWS_AR4_0_R2_DIODriver-8020")</f>
        <v>BSW_SWS_AR4_0_R2_DIODriver-8020</v>
      </c>
    </row>
    <row r="691" spans="1:20" x14ac:dyDescent="0.2">
      <c r="A691" t="s">
        <v>1997</v>
      </c>
      <c r="B691" t="s">
        <v>1617</v>
      </c>
      <c r="C691" t="s">
        <v>1998</v>
      </c>
      <c r="D691" s="5" t="s">
        <v>1999</v>
      </c>
      <c r="K691" t="s">
        <v>618</v>
      </c>
      <c r="P691" t="s">
        <v>619</v>
      </c>
      <c r="Q691" t="s">
        <v>620</v>
      </c>
      <c r="R691" t="s">
        <v>1860</v>
      </c>
      <c r="T691" s="3" t="str">
        <f>HYPERLINK("doors://fe-dorapcm3.de.bosch.com:36679/?version=2&amp;prodID=0&amp;view=00000015&amp;urn=urn:telelogic::1-52394082008461e6-O-8023-00059142","BSW_SWS_AR4_0_R2_DIODriver-8023")</f>
        <v>BSW_SWS_AR4_0_R2_DIODriver-8023</v>
      </c>
    </row>
    <row r="692" spans="1:20" x14ac:dyDescent="0.2">
      <c r="A692" t="s">
        <v>2000</v>
      </c>
      <c r="B692" t="s">
        <v>21</v>
      </c>
      <c r="C692" t="s">
        <v>2001</v>
      </c>
      <c r="D692" s="5" t="s">
        <v>2002</v>
      </c>
      <c r="T692" s="3" t="str">
        <f>HYPERLINK("doors://fe-dorapcm3.de.bosch.com:36679/?version=2&amp;prodID=0&amp;view=00000015&amp;urn=urn:telelogic::1-52394082008461e6-O-8024-00059142","BSW_SWS_AR4_0_R2_DIODriver-8024")</f>
        <v>BSW_SWS_AR4_0_R2_DIODriver-8024</v>
      </c>
    </row>
    <row r="693" spans="1:20" x14ac:dyDescent="0.2">
      <c r="A693" t="s">
        <v>2003</v>
      </c>
      <c r="B693" t="s">
        <v>1617</v>
      </c>
      <c r="C693" t="s">
        <v>2004</v>
      </c>
      <c r="D693" t="s">
        <v>2005</v>
      </c>
      <c r="K693" t="s">
        <v>618</v>
      </c>
      <c r="P693" t="s">
        <v>619</v>
      </c>
      <c r="Q693" t="s">
        <v>620</v>
      </c>
      <c r="R693" t="s">
        <v>1860</v>
      </c>
      <c r="T693" s="3" t="str">
        <f>HYPERLINK("doors://fe-dorapcm3.de.bosch.com:36679/?version=2&amp;prodID=0&amp;view=00000015&amp;urn=urn:telelogic::1-52394082008461e6-O-8026-00059142","BSW_SWS_AR4_0_R2_DIODriver-8026")</f>
        <v>BSW_SWS_AR4_0_R2_DIODriver-8026</v>
      </c>
    </row>
    <row r="694" spans="1:20" x14ac:dyDescent="0.2">
      <c r="A694" t="s">
        <v>2006</v>
      </c>
      <c r="B694" t="s">
        <v>21</v>
      </c>
      <c r="C694" t="s">
        <v>2007</v>
      </c>
      <c r="D694" t="s">
        <v>2008</v>
      </c>
      <c r="T694" s="3" t="str">
        <f>HYPERLINK("doors://fe-dorapcm3.de.bosch.com:36679/?version=2&amp;prodID=0&amp;view=00000015&amp;urn=urn:telelogic::1-52394082008461e6-O-8027-00059142","BSW_SWS_AR4_0_R2_DIODriver-8027")</f>
        <v>BSW_SWS_AR4_0_R2_DIODriver-8027</v>
      </c>
    </row>
    <row r="695" spans="1:20" x14ac:dyDescent="0.2">
      <c r="A695" t="s">
        <v>2009</v>
      </c>
      <c r="B695" t="s">
        <v>1617</v>
      </c>
      <c r="C695" t="s">
        <v>2010</v>
      </c>
      <c r="K695" t="s">
        <v>618</v>
      </c>
      <c r="P695" t="s">
        <v>619</v>
      </c>
      <c r="Q695" t="s">
        <v>620</v>
      </c>
      <c r="R695" t="s">
        <v>1860</v>
      </c>
      <c r="T695" s="3" t="str">
        <f>HYPERLINK("doors://fe-dorapcm3.de.bosch.com:36679/?version=2&amp;prodID=0&amp;view=00000015&amp;urn=urn:telelogic::1-52394082008461e6-O-8029-00059142","BSW_SWS_AR4_0_R2_DIODriver-8029")</f>
        <v>BSW_SWS_AR4_0_R2_DIODriver-8029</v>
      </c>
    </row>
    <row r="696" spans="1:20" x14ac:dyDescent="0.2">
      <c r="A696" t="s">
        <v>2011</v>
      </c>
      <c r="B696" t="s">
        <v>21</v>
      </c>
      <c r="C696" t="s">
        <v>2012</v>
      </c>
      <c r="D696" t="s">
        <v>2013</v>
      </c>
      <c r="T696" s="3" t="str">
        <f>HYPERLINK("doors://fe-dorapcm3.de.bosch.com:36679/?version=2&amp;prodID=0&amp;view=00000015&amp;urn=urn:telelogic::1-52394082008461e6-O-8030-00059142","BSW_SWS_AR4_0_R2_DIODriver-8030")</f>
        <v>BSW_SWS_AR4_0_R2_DIODriver-8030</v>
      </c>
    </row>
    <row r="697" spans="1:20" x14ac:dyDescent="0.2">
      <c r="A697" t="s">
        <v>2014</v>
      </c>
      <c r="B697" t="s">
        <v>1617</v>
      </c>
      <c r="C697" t="s">
        <v>2015</v>
      </c>
      <c r="D697" t="s">
        <v>2016</v>
      </c>
      <c r="K697" t="s">
        <v>618</v>
      </c>
      <c r="P697" t="s">
        <v>619</v>
      </c>
      <c r="Q697" t="s">
        <v>620</v>
      </c>
      <c r="R697" t="s">
        <v>1860</v>
      </c>
      <c r="T697" s="3" t="str">
        <f>HYPERLINK("doors://fe-dorapcm3.de.bosch.com:36679/?version=2&amp;prodID=0&amp;view=00000015&amp;urn=urn:telelogic::1-52394082008461e6-O-8032-00059142","BSW_SWS_AR4_0_R2_DIODriver-8032")</f>
        <v>BSW_SWS_AR4_0_R2_DIODriver-8032</v>
      </c>
    </row>
    <row r="698" spans="1:20" x14ac:dyDescent="0.2">
      <c r="A698" t="s">
        <v>2017</v>
      </c>
      <c r="B698" t="s">
        <v>21</v>
      </c>
      <c r="C698" t="s">
        <v>2018</v>
      </c>
      <c r="D698" t="s">
        <v>2019</v>
      </c>
      <c r="T698" s="3" t="str">
        <f>HYPERLINK("doors://fe-dorapcm3.de.bosch.com:36679/?version=2&amp;prodID=0&amp;view=00000015&amp;urn=urn:telelogic::1-52394082008461e6-O-8033-00059142","BSW_SWS_AR4_0_R2_DIODriver-8033")</f>
        <v>BSW_SWS_AR4_0_R2_DIODriver-8033</v>
      </c>
    </row>
    <row r="699" spans="1:20" x14ac:dyDescent="0.2">
      <c r="A699" t="s">
        <v>2020</v>
      </c>
      <c r="B699" t="s">
        <v>1617</v>
      </c>
      <c r="C699" t="s">
        <v>2021</v>
      </c>
      <c r="K699" t="s">
        <v>618</v>
      </c>
      <c r="P699" t="s">
        <v>619</v>
      </c>
      <c r="Q699" t="s">
        <v>620</v>
      </c>
      <c r="R699" t="s">
        <v>1860</v>
      </c>
      <c r="T699" s="3" t="str">
        <f>HYPERLINK("doors://fe-dorapcm3.de.bosch.com:36679/?version=2&amp;prodID=0&amp;view=00000015&amp;urn=urn:telelogic::1-52394082008461e6-O-8035-00059142","BSW_SWS_AR4_0_R2_DIODriver-8035")</f>
        <v>BSW_SWS_AR4_0_R2_DIODriver-8035</v>
      </c>
    </row>
    <row r="700" spans="1:20" x14ac:dyDescent="0.2">
      <c r="A700" t="s">
        <v>2022</v>
      </c>
      <c r="B700" t="s">
        <v>21</v>
      </c>
      <c r="C700" t="s">
        <v>2023</v>
      </c>
      <c r="D700" t="s">
        <v>2024</v>
      </c>
      <c r="T700" s="3" t="str">
        <f>HYPERLINK("doors://fe-dorapcm3.de.bosch.com:36679/?version=2&amp;prodID=0&amp;view=00000015&amp;urn=urn:telelogic::1-52394082008461e6-O-8036-00059142","BSW_SWS_AR4_0_R2_DIODriver-8036")</f>
        <v>BSW_SWS_AR4_0_R2_DIODriver-8036</v>
      </c>
    </row>
    <row r="701" spans="1:20" x14ac:dyDescent="0.2">
      <c r="A701" t="s">
        <v>2025</v>
      </c>
      <c r="B701" t="s">
        <v>21</v>
      </c>
      <c r="C701">
        <v>8.1999999999999993</v>
      </c>
      <c r="D701" s="2" t="s">
        <v>2026</v>
      </c>
      <c r="T701" s="3" t="str">
        <f>HYPERLINK("doors://fe-dorapcm3.de.bosch.com:36679/?version=2&amp;prodID=0&amp;view=00000015&amp;urn=urn:telelogic::1-52394082008461e6-O-8037-00059142","BSW_SWS_AR4_0_R2_DIODriver-8037")</f>
        <v>BSW_SWS_AR4_0_R2_DIODriver-8037</v>
      </c>
    </row>
    <row r="702" spans="1:20" x14ac:dyDescent="0.2">
      <c r="A702" t="s">
        <v>2027</v>
      </c>
      <c r="B702" t="s">
        <v>614</v>
      </c>
      <c r="C702" t="s">
        <v>2028</v>
      </c>
      <c r="D702" t="s">
        <v>2029</v>
      </c>
      <c r="J702" t="s">
        <v>617</v>
      </c>
      <c r="K702" t="s">
        <v>618</v>
      </c>
      <c r="P702" t="s">
        <v>619</v>
      </c>
      <c r="Q702" t="s">
        <v>620</v>
      </c>
      <c r="R702" t="s">
        <v>621</v>
      </c>
      <c r="S702" t="s">
        <v>622</v>
      </c>
      <c r="T702" s="3" t="str">
        <f>HYPERLINK("doors://fe-dorapcm3.de.bosch.com:36679/?version=2&amp;prodID=0&amp;view=00000015&amp;urn=urn:telelogic::1-52394082008461e6-O-8038-00059142","BSW_SWS_AR4_0_R2_DIODriver-8038")</f>
        <v>BSW_SWS_AR4_0_R2_DIODriver-8038</v>
      </c>
    </row>
    <row r="703" spans="1:20" x14ac:dyDescent="0.2">
      <c r="A703" t="s">
        <v>2030</v>
      </c>
      <c r="B703" t="s">
        <v>21</v>
      </c>
      <c r="C703" t="s">
        <v>2031</v>
      </c>
      <c r="D703" s="2" t="s">
        <v>2032</v>
      </c>
      <c r="T703" s="3" t="str">
        <f>HYPERLINK("doors://fe-dorapcm3.de.bosch.com:36679/?version=2&amp;prodID=0&amp;view=00000015&amp;urn=urn:telelogic::1-52394082008461e6-O-8039-00059142","BSW_SWS_AR4_0_R2_DIODriver-8039")</f>
        <v>BSW_SWS_AR4_0_R2_DIODriver-8039</v>
      </c>
    </row>
    <row r="704" spans="1:20" x14ac:dyDescent="0.2">
      <c r="A704" t="s">
        <v>2033</v>
      </c>
      <c r="B704" t="s">
        <v>614</v>
      </c>
      <c r="C704" t="s">
        <v>2034</v>
      </c>
      <c r="D704" t="s">
        <v>2035</v>
      </c>
      <c r="J704" t="s">
        <v>617</v>
      </c>
      <c r="K704" t="s">
        <v>618</v>
      </c>
      <c r="P704" t="s">
        <v>619</v>
      </c>
      <c r="Q704" t="s">
        <v>620</v>
      </c>
      <c r="R704" t="s">
        <v>621</v>
      </c>
      <c r="S704" t="s">
        <v>622</v>
      </c>
      <c r="T704" s="3" t="str">
        <f>HYPERLINK("doors://fe-dorapcm3.de.bosch.com:36679/?version=2&amp;prodID=0&amp;view=00000015&amp;urn=urn:telelogic::1-52394082008461e6-O-8040-00059142","BSW_SWS_AR4_0_R2_DIODriver-8040")</f>
        <v>BSW_SWS_AR4_0_R2_DIODriver-8040</v>
      </c>
    </row>
    <row r="705" spans="1:20" x14ac:dyDescent="0.2">
      <c r="A705" t="s">
        <v>2036</v>
      </c>
      <c r="B705" t="s">
        <v>1617</v>
      </c>
      <c r="C705" t="s">
        <v>2037</v>
      </c>
      <c r="D705" s="5" t="s">
        <v>2038</v>
      </c>
      <c r="K705" t="s">
        <v>618</v>
      </c>
      <c r="P705" t="s">
        <v>619</v>
      </c>
      <c r="Q705" t="s">
        <v>620</v>
      </c>
      <c r="R705" t="s">
        <v>1860</v>
      </c>
      <c r="T705" s="3" t="str">
        <f>HYPERLINK("doors://fe-dorapcm3.de.bosch.com:36679/?version=2&amp;prodID=0&amp;view=00000015&amp;urn=urn:telelogic::1-52394082008461e6-O-8043-00059142","BSW_SWS_AR4_0_R2_DIODriver-8043")</f>
        <v>BSW_SWS_AR4_0_R2_DIODriver-8043</v>
      </c>
    </row>
    <row r="706" spans="1:20" x14ac:dyDescent="0.2">
      <c r="A706" t="s">
        <v>2039</v>
      </c>
      <c r="B706" t="s">
        <v>21</v>
      </c>
      <c r="C706" t="s">
        <v>2040</v>
      </c>
      <c r="D706" t="s">
        <v>2041</v>
      </c>
      <c r="T706" s="3" t="str">
        <f>HYPERLINK("doors://fe-dorapcm3.de.bosch.com:36679/?version=2&amp;prodID=0&amp;view=00000015&amp;urn=urn:telelogic::1-52394082008461e6-O-8044-00059142","BSW_SWS_AR4_0_R2_DIODriver-8044")</f>
        <v>BSW_SWS_AR4_0_R2_DIODriver-8044</v>
      </c>
    </row>
    <row r="707" spans="1:20" x14ac:dyDescent="0.2">
      <c r="A707" t="s">
        <v>2042</v>
      </c>
      <c r="B707" t="s">
        <v>1617</v>
      </c>
      <c r="C707" t="s">
        <v>2043</v>
      </c>
      <c r="D707" s="5" t="s">
        <v>2044</v>
      </c>
      <c r="K707" t="s">
        <v>618</v>
      </c>
      <c r="P707" t="s">
        <v>619</v>
      </c>
      <c r="Q707" t="s">
        <v>620</v>
      </c>
      <c r="R707" t="s">
        <v>1860</v>
      </c>
      <c r="T707" s="3" t="str">
        <f>HYPERLINK("doors://fe-dorapcm3.de.bosch.com:36679/?version=2&amp;prodID=0&amp;view=00000015&amp;urn=urn:telelogic::1-52394082008461e6-O-8046-00059142","BSW_SWS_AR4_0_R2_DIODriver-8046")</f>
        <v>BSW_SWS_AR4_0_R2_DIODriver-8046</v>
      </c>
    </row>
    <row r="708" spans="1:20" x14ac:dyDescent="0.2">
      <c r="A708" t="s">
        <v>2045</v>
      </c>
      <c r="B708" t="s">
        <v>21</v>
      </c>
      <c r="C708" t="s">
        <v>2046</v>
      </c>
      <c r="D708" t="s">
        <v>2047</v>
      </c>
      <c r="T708" s="3" t="str">
        <f>HYPERLINK("doors://fe-dorapcm3.de.bosch.com:36679/?version=2&amp;prodID=0&amp;view=00000015&amp;urn=urn:telelogic::1-52394082008461e6-O-8047-00059142","BSW_SWS_AR4_0_R2_DIODriver-8047")</f>
        <v>BSW_SWS_AR4_0_R2_DIODriver-8047</v>
      </c>
    </row>
    <row r="709" spans="1:20" x14ac:dyDescent="0.2">
      <c r="A709" t="s">
        <v>2048</v>
      </c>
      <c r="B709" t="s">
        <v>1617</v>
      </c>
      <c r="C709" t="s">
        <v>2049</v>
      </c>
      <c r="D709" s="5" t="s">
        <v>2050</v>
      </c>
      <c r="K709" t="s">
        <v>618</v>
      </c>
      <c r="P709" t="s">
        <v>619</v>
      </c>
      <c r="Q709" t="s">
        <v>620</v>
      </c>
      <c r="R709" t="s">
        <v>1860</v>
      </c>
      <c r="T709" s="3" t="str">
        <f>HYPERLINK("doors://fe-dorapcm3.de.bosch.com:36679/?version=2&amp;prodID=0&amp;view=00000015&amp;urn=urn:telelogic::1-52394082008461e6-O-8049-00059142","BSW_SWS_AR4_0_R2_DIODriver-8049")</f>
        <v>BSW_SWS_AR4_0_R2_DIODriver-8049</v>
      </c>
    </row>
    <row r="710" spans="1:20" x14ac:dyDescent="0.2">
      <c r="A710" t="s">
        <v>2051</v>
      </c>
      <c r="B710" t="s">
        <v>21</v>
      </c>
      <c r="C710" t="s">
        <v>2052</v>
      </c>
      <c r="D710" t="s">
        <v>2053</v>
      </c>
      <c r="T710" s="3" t="str">
        <f>HYPERLINK("doors://fe-dorapcm3.de.bosch.com:36679/?version=2&amp;prodID=0&amp;view=00000015&amp;urn=urn:telelogic::1-52394082008461e6-O-8050-00059142","BSW_SWS_AR4_0_R2_DIODriver-8050")</f>
        <v>BSW_SWS_AR4_0_R2_DIODriver-8050</v>
      </c>
    </row>
    <row r="711" spans="1:20" x14ac:dyDescent="0.2">
      <c r="A711" t="s">
        <v>2054</v>
      </c>
      <c r="B711" t="s">
        <v>21</v>
      </c>
      <c r="C711" t="s">
        <v>2055</v>
      </c>
      <c r="D711" t="s">
        <v>2056</v>
      </c>
      <c r="T711" s="3" t="str">
        <f>HYPERLINK("doors://fe-dorapcm3.de.bosch.com:36679/?version=2&amp;prodID=0&amp;view=00000015&amp;urn=urn:telelogic::1-52394082008461e6-O-8051-00059142","BSW_SWS_AR4_0_R2_DIODriver-8051")</f>
        <v>BSW_SWS_AR4_0_R2_DIODriver-8051</v>
      </c>
    </row>
    <row r="712" spans="1:20" x14ac:dyDescent="0.2">
      <c r="A712" t="s">
        <v>2057</v>
      </c>
      <c r="B712" t="s">
        <v>1617</v>
      </c>
      <c r="C712" t="s">
        <v>2058</v>
      </c>
      <c r="D712" s="5" t="s">
        <v>447</v>
      </c>
      <c r="K712" t="s">
        <v>618</v>
      </c>
      <c r="P712" t="s">
        <v>619</v>
      </c>
      <c r="Q712" t="s">
        <v>620</v>
      </c>
      <c r="R712" t="s">
        <v>1860</v>
      </c>
      <c r="T712" s="3" t="str">
        <f>HYPERLINK("doors://fe-dorapcm3.de.bosch.com:36679/?version=2&amp;prodID=0&amp;view=00000015&amp;urn=urn:telelogic::1-52394082008461e6-O-8053-00059142","BSW_SWS_AR4_0_R2_DIODriver-8053")</f>
        <v>BSW_SWS_AR4_0_R2_DIODriver-8053</v>
      </c>
    </row>
    <row r="713" spans="1:20" x14ac:dyDescent="0.2">
      <c r="A713" t="s">
        <v>2059</v>
      </c>
      <c r="B713" t="s">
        <v>21</v>
      </c>
      <c r="C713" t="s">
        <v>2060</v>
      </c>
      <c r="D713" t="s">
        <v>2061</v>
      </c>
      <c r="T713" s="3" t="str">
        <f>HYPERLINK("doors://fe-dorapcm3.de.bosch.com:36679/?version=2&amp;prodID=0&amp;view=00000015&amp;urn=urn:telelogic::1-52394082008461e6-O-8054-00059142","BSW_SWS_AR4_0_R2_DIODriver-8054")</f>
        <v>BSW_SWS_AR4_0_R2_DIODriver-8054</v>
      </c>
    </row>
    <row r="714" spans="1:20" x14ac:dyDescent="0.2">
      <c r="A714" t="s">
        <v>2062</v>
      </c>
      <c r="B714" t="s">
        <v>614</v>
      </c>
      <c r="C714" t="s">
        <v>2063</v>
      </c>
      <c r="D714" t="s">
        <v>2064</v>
      </c>
      <c r="J714" t="s">
        <v>617</v>
      </c>
      <c r="K714" t="s">
        <v>618</v>
      </c>
      <c r="P714" t="s">
        <v>619</v>
      </c>
      <c r="Q714" t="s">
        <v>620</v>
      </c>
      <c r="R714" t="s">
        <v>621</v>
      </c>
      <c r="S714" t="s">
        <v>622</v>
      </c>
      <c r="T714" s="3" t="str">
        <f>HYPERLINK("doors://fe-dorapcm3.de.bosch.com:36679/?version=2&amp;prodID=0&amp;view=00000015&amp;urn=urn:telelogic::1-52394082008461e6-O-8055-00059142","BSW_SWS_AR4_0_R2_DIODriver-8055")</f>
        <v>BSW_SWS_AR4_0_R2_DIODriver-8055</v>
      </c>
    </row>
    <row r="715" spans="1:20" x14ac:dyDescent="0.2">
      <c r="A715" t="s">
        <v>2065</v>
      </c>
      <c r="B715" t="s">
        <v>614</v>
      </c>
      <c r="C715" t="s">
        <v>2066</v>
      </c>
      <c r="D715" t="s">
        <v>2067</v>
      </c>
      <c r="J715" t="s">
        <v>617</v>
      </c>
      <c r="K715" t="s">
        <v>618</v>
      </c>
      <c r="P715" t="s">
        <v>619</v>
      </c>
      <c r="Q715" t="s">
        <v>620</v>
      </c>
      <c r="R715" t="s">
        <v>621</v>
      </c>
      <c r="S715" t="s">
        <v>622</v>
      </c>
      <c r="T715" s="3" t="str">
        <f>HYPERLINK("doors://fe-dorapcm3.de.bosch.com:36679/?version=2&amp;prodID=0&amp;view=00000015&amp;urn=urn:telelogic::1-52394082008461e6-O-8056-00059142","BSW_SWS_AR4_0_R2_DIODriver-8056")</f>
        <v>BSW_SWS_AR4_0_R2_DIODriver-8056</v>
      </c>
    </row>
    <row r="716" spans="1:20" x14ac:dyDescent="0.2">
      <c r="A716" t="s">
        <v>2068</v>
      </c>
      <c r="B716" t="s">
        <v>614</v>
      </c>
      <c r="C716" t="s">
        <v>2069</v>
      </c>
      <c r="D716" t="s">
        <v>2070</v>
      </c>
      <c r="J716" t="s">
        <v>2071</v>
      </c>
      <c r="K716" t="s">
        <v>618</v>
      </c>
      <c r="P716" t="s">
        <v>619</v>
      </c>
      <c r="Q716" t="s">
        <v>651</v>
      </c>
      <c r="R716" t="s">
        <v>621</v>
      </c>
      <c r="S716" t="s">
        <v>622</v>
      </c>
      <c r="T716" s="3" t="str">
        <f>HYPERLINK("doors://fe-dorapcm3.de.bosch.com:36679/?version=2&amp;prodID=0&amp;view=00000015&amp;urn=urn:telelogic::1-52394082008461e6-O-8057-00059142","BSW_SWS_AR4_0_R2_DIODriver-8057")</f>
        <v>BSW_SWS_AR4_0_R2_DIODriver-8057</v>
      </c>
    </row>
    <row r="717" spans="1:20" x14ac:dyDescent="0.2">
      <c r="A717" t="s">
        <v>2072</v>
      </c>
      <c r="B717" t="s">
        <v>76</v>
      </c>
      <c r="C717" t="s">
        <v>2073</v>
      </c>
      <c r="D717" t="s">
        <v>2074</v>
      </c>
      <c r="T717" s="3" t="str">
        <f>HYPERLINK("doors://fe-dorapcm3.de.bosch.com:36679/?version=2&amp;prodID=0&amp;view=00000015&amp;urn=urn:telelogic::1-52394082008461e6-O-8058-00059142","BSW_SWS_AR4_0_R2_DIODriver-8058")</f>
        <v>BSW_SWS_AR4_0_R2_DIODriver-8058</v>
      </c>
    </row>
    <row r="718" spans="1:20" x14ac:dyDescent="0.2">
      <c r="A718" t="s">
        <v>2075</v>
      </c>
      <c r="B718" t="s">
        <v>21</v>
      </c>
      <c r="C718" t="s">
        <v>2076</v>
      </c>
      <c r="D718" s="2" t="s">
        <v>2077</v>
      </c>
      <c r="T718" s="3" t="str">
        <f>HYPERLINK("doors://fe-dorapcm3.de.bosch.com:36679/?version=2&amp;prodID=0&amp;view=00000015&amp;urn=urn:telelogic::1-52394082008461e6-O-8059-00059142","BSW_SWS_AR4_0_R2_DIODriver-8059")</f>
        <v>BSW_SWS_AR4_0_R2_DIODriver-8059</v>
      </c>
    </row>
    <row r="719" spans="1:20" x14ac:dyDescent="0.2">
      <c r="A719" t="s">
        <v>2078</v>
      </c>
      <c r="B719" t="s">
        <v>614</v>
      </c>
      <c r="C719" t="s">
        <v>2079</v>
      </c>
      <c r="D719" t="s">
        <v>2080</v>
      </c>
      <c r="J719" t="s">
        <v>617</v>
      </c>
      <c r="K719" t="s">
        <v>618</v>
      </c>
      <c r="P719" t="s">
        <v>619</v>
      </c>
      <c r="Q719" t="s">
        <v>1606</v>
      </c>
      <c r="R719" t="s">
        <v>621</v>
      </c>
      <c r="S719" t="s">
        <v>622</v>
      </c>
      <c r="T719" s="3" t="str">
        <f>HYPERLINK("doors://fe-dorapcm3.de.bosch.com:36679/?version=2&amp;prodID=0&amp;view=00000015&amp;urn=urn:telelogic::1-52394082008461e6-O-8060-00059142","BSW_SWS_AR4_0_R2_DIODriver-8060")</f>
        <v>BSW_SWS_AR4_0_R2_DIODriver-8060</v>
      </c>
    </row>
    <row r="720" spans="1:20" x14ac:dyDescent="0.2">
      <c r="A720" t="s">
        <v>2081</v>
      </c>
      <c r="B720" t="s">
        <v>1617</v>
      </c>
      <c r="C720" t="s">
        <v>2082</v>
      </c>
      <c r="D720" s="5" t="s">
        <v>2038</v>
      </c>
      <c r="K720" t="s">
        <v>618</v>
      </c>
      <c r="P720" t="s">
        <v>619</v>
      </c>
      <c r="Q720" t="s">
        <v>620</v>
      </c>
      <c r="R720" t="s">
        <v>1860</v>
      </c>
      <c r="T720" s="3" t="str">
        <f>HYPERLINK("doors://fe-dorapcm3.de.bosch.com:36679/?version=2&amp;prodID=0&amp;view=00000015&amp;urn=urn:telelogic::1-52394082008461e6-O-8063-00059142","BSW_SWS_AR4_0_R2_DIODriver-8063")</f>
        <v>BSW_SWS_AR4_0_R2_DIODriver-8063</v>
      </c>
    </row>
    <row r="721" spans="1:20" x14ac:dyDescent="0.2">
      <c r="A721" t="s">
        <v>2083</v>
      </c>
      <c r="B721" t="s">
        <v>21</v>
      </c>
      <c r="C721" t="s">
        <v>2084</v>
      </c>
      <c r="D721" t="s">
        <v>2085</v>
      </c>
      <c r="T721" s="3" t="str">
        <f>HYPERLINK("doors://fe-dorapcm3.de.bosch.com:36679/?version=2&amp;prodID=0&amp;view=00000015&amp;urn=urn:telelogic::1-52394082008461e6-O-8064-00059142","BSW_SWS_AR4_0_R2_DIODriver-8064")</f>
        <v>BSW_SWS_AR4_0_R2_DIODriver-8064</v>
      </c>
    </row>
    <row r="722" spans="1:20" x14ac:dyDescent="0.2">
      <c r="A722" t="s">
        <v>2086</v>
      </c>
      <c r="B722" t="s">
        <v>1617</v>
      </c>
      <c r="C722" t="s">
        <v>2087</v>
      </c>
      <c r="D722" s="5" t="s">
        <v>2044</v>
      </c>
      <c r="K722" t="s">
        <v>618</v>
      </c>
      <c r="P722" t="s">
        <v>619</v>
      </c>
      <c r="Q722" t="s">
        <v>620</v>
      </c>
      <c r="R722" t="s">
        <v>1860</v>
      </c>
      <c r="T722" s="3" t="str">
        <f>HYPERLINK("doors://fe-dorapcm3.de.bosch.com:36679/?version=2&amp;prodID=0&amp;view=00000015&amp;urn=urn:telelogic::1-52394082008461e6-O-8066-00059142","BSW_SWS_AR4_0_R2_DIODriver-8066")</f>
        <v>BSW_SWS_AR4_0_R2_DIODriver-8066</v>
      </c>
    </row>
    <row r="723" spans="1:20" x14ac:dyDescent="0.2">
      <c r="A723" t="s">
        <v>2088</v>
      </c>
      <c r="B723" t="s">
        <v>21</v>
      </c>
      <c r="C723" t="s">
        <v>2089</v>
      </c>
      <c r="D723" t="s">
        <v>2047</v>
      </c>
      <c r="T723" s="3" t="str">
        <f>HYPERLINK("doors://fe-dorapcm3.de.bosch.com:36679/?version=2&amp;prodID=0&amp;view=00000015&amp;urn=urn:telelogic::1-52394082008461e6-O-8067-00059142","BSW_SWS_AR4_0_R2_DIODriver-8067")</f>
        <v>BSW_SWS_AR4_0_R2_DIODriver-8067</v>
      </c>
    </row>
    <row r="724" spans="1:20" x14ac:dyDescent="0.2">
      <c r="A724" t="s">
        <v>2090</v>
      </c>
      <c r="B724" t="s">
        <v>1617</v>
      </c>
      <c r="C724" t="s">
        <v>2091</v>
      </c>
      <c r="D724" s="5" t="s">
        <v>2050</v>
      </c>
      <c r="K724" t="s">
        <v>618</v>
      </c>
      <c r="P724" t="s">
        <v>619</v>
      </c>
      <c r="Q724" t="s">
        <v>620</v>
      </c>
      <c r="R724" t="s">
        <v>1860</v>
      </c>
      <c r="T724" s="3" t="str">
        <f>HYPERLINK("doors://fe-dorapcm3.de.bosch.com:36679/?version=2&amp;prodID=0&amp;view=00000015&amp;urn=urn:telelogic::1-52394082008461e6-O-8069-00059142","BSW_SWS_AR4_0_R2_DIODriver-8069")</f>
        <v>BSW_SWS_AR4_0_R2_DIODriver-8069</v>
      </c>
    </row>
    <row r="725" spans="1:20" x14ac:dyDescent="0.2">
      <c r="A725" t="s">
        <v>2092</v>
      </c>
      <c r="B725" t="s">
        <v>21</v>
      </c>
      <c r="C725" t="s">
        <v>2093</v>
      </c>
      <c r="D725" t="s">
        <v>2094</v>
      </c>
      <c r="T725" s="3" t="str">
        <f>HYPERLINK("doors://fe-dorapcm3.de.bosch.com:36679/?version=2&amp;prodID=0&amp;view=00000015&amp;urn=urn:telelogic::1-52394082008461e6-O-8070-00059142","BSW_SWS_AR4_0_R2_DIODriver-8070")</f>
        <v>BSW_SWS_AR4_0_R2_DIODriver-8070</v>
      </c>
    </row>
    <row r="726" spans="1:20" x14ac:dyDescent="0.2">
      <c r="A726" t="s">
        <v>2095</v>
      </c>
      <c r="B726" t="s">
        <v>21</v>
      </c>
      <c r="C726" t="s">
        <v>2096</v>
      </c>
      <c r="D726" t="s">
        <v>2097</v>
      </c>
      <c r="T726" s="3" t="str">
        <f>HYPERLINK("doors://fe-dorapcm3.de.bosch.com:36679/?version=2&amp;prodID=0&amp;view=00000015&amp;urn=urn:telelogic::1-52394082008461e6-O-8071-00059142","BSW_SWS_AR4_0_R2_DIODriver-8071")</f>
        <v>BSW_SWS_AR4_0_R2_DIODriver-8071</v>
      </c>
    </row>
    <row r="727" spans="1:20" x14ac:dyDescent="0.2">
      <c r="A727" t="s">
        <v>2098</v>
      </c>
      <c r="B727" t="s">
        <v>1617</v>
      </c>
      <c r="C727" t="s">
        <v>2099</v>
      </c>
      <c r="D727" s="5" t="s">
        <v>447</v>
      </c>
      <c r="K727" t="s">
        <v>618</v>
      </c>
      <c r="P727" t="s">
        <v>619</v>
      </c>
      <c r="Q727" t="s">
        <v>620</v>
      </c>
      <c r="R727" t="s">
        <v>1860</v>
      </c>
      <c r="T727" s="3" t="str">
        <f>HYPERLINK("doors://fe-dorapcm3.de.bosch.com:36679/?version=2&amp;prodID=0&amp;view=00000015&amp;urn=urn:telelogic::1-52394082008461e6-O-8073-00059142","BSW_SWS_AR4_0_R2_DIODriver-8073")</f>
        <v>BSW_SWS_AR4_0_R2_DIODriver-8073</v>
      </c>
    </row>
    <row r="728" spans="1:20" x14ac:dyDescent="0.2">
      <c r="A728" t="s">
        <v>2100</v>
      </c>
      <c r="B728" t="s">
        <v>21</v>
      </c>
      <c r="C728" t="s">
        <v>2101</v>
      </c>
      <c r="D728" t="s">
        <v>2102</v>
      </c>
      <c r="T728" s="3" t="str">
        <f>HYPERLINK("doors://fe-dorapcm3.de.bosch.com:36679/?version=2&amp;prodID=0&amp;view=00000015&amp;urn=urn:telelogic::1-52394082008461e6-O-8074-00059142","BSW_SWS_AR4_0_R2_DIODriver-8074")</f>
        <v>BSW_SWS_AR4_0_R2_DIODriver-8074</v>
      </c>
    </row>
    <row r="729" spans="1:20" x14ac:dyDescent="0.2">
      <c r="A729" t="s">
        <v>2103</v>
      </c>
      <c r="B729" t="s">
        <v>614</v>
      </c>
      <c r="C729" t="s">
        <v>2104</v>
      </c>
      <c r="D729" t="s">
        <v>2105</v>
      </c>
      <c r="J729" t="s">
        <v>617</v>
      </c>
      <c r="K729" t="s">
        <v>618</v>
      </c>
      <c r="P729" t="s">
        <v>619</v>
      </c>
      <c r="Q729" t="s">
        <v>1606</v>
      </c>
      <c r="R729" t="s">
        <v>621</v>
      </c>
      <c r="S729" t="s">
        <v>622</v>
      </c>
      <c r="T729" s="3" t="str">
        <f>HYPERLINK("doors://fe-dorapcm3.de.bosch.com:36679/?version=2&amp;prodID=0&amp;view=00000015&amp;urn=urn:telelogic::1-52394082008461e6-O-8075-00059142","BSW_SWS_AR4_0_R2_DIODriver-8075")</f>
        <v>BSW_SWS_AR4_0_R2_DIODriver-8075</v>
      </c>
    </row>
    <row r="730" spans="1:20" x14ac:dyDescent="0.2">
      <c r="A730" t="s">
        <v>2106</v>
      </c>
      <c r="B730" t="s">
        <v>614</v>
      </c>
      <c r="C730" t="s">
        <v>2107</v>
      </c>
      <c r="D730" t="s">
        <v>2108</v>
      </c>
      <c r="J730" t="s">
        <v>617</v>
      </c>
      <c r="K730" t="s">
        <v>618</v>
      </c>
      <c r="P730" t="s">
        <v>619</v>
      </c>
      <c r="Q730" t="s">
        <v>1606</v>
      </c>
      <c r="R730" t="s">
        <v>621</v>
      </c>
      <c r="S730" t="s">
        <v>622</v>
      </c>
      <c r="T730" s="3" t="str">
        <f>HYPERLINK("doors://fe-dorapcm3.de.bosch.com:36679/?version=2&amp;prodID=0&amp;view=00000015&amp;urn=urn:telelogic::1-52394082008461e6-O-8076-00059142","BSW_SWS_AR4_0_R2_DIODriver-8076")</f>
        <v>BSW_SWS_AR4_0_R2_DIODriver-8076</v>
      </c>
    </row>
    <row r="731" spans="1:20" x14ac:dyDescent="0.2">
      <c r="A731" t="s">
        <v>2109</v>
      </c>
      <c r="B731" t="s">
        <v>614</v>
      </c>
      <c r="C731" t="s">
        <v>2110</v>
      </c>
      <c r="D731" t="s">
        <v>2111</v>
      </c>
      <c r="J731" t="s">
        <v>617</v>
      </c>
      <c r="K731" t="s">
        <v>618</v>
      </c>
      <c r="P731" t="s">
        <v>619</v>
      </c>
      <c r="Q731" t="s">
        <v>1606</v>
      </c>
      <c r="R731" t="s">
        <v>621</v>
      </c>
      <c r="S731" t="s">
        <v>622</v>
      </c>
      <c r="T731" s="3" t="str">
        <f>HYPERLINK("doors://fe-dorapcm3.de.bosch.com:36679/?version=2&amp;prodID=0&amp;view=00000015&amp;urn=urn:telelogic::1-52394082008461e6-O-8077-00059142","BSW_SWS_AR4_0_R2_DIODriver-8077")</f>
        <v>BSW_SWS_AR4_0_R2_DIODriver-8077</v>
      </c>
    </row>
    <row r="732" spans="1:20" x14ac:dyDescent="0.2">
      <c r="A732" t="s">
        <v>2112</v>
      </c>
      <c r="B732" t="s">
        <v>76</v>
      </c>
      <c r="C732" t="s">
        <v>2113</v>
      </c>
      <c r="D732" t="s">
        <v>2114</v>
      </c>
      <c r="T732" s="3" t="str">
        <f>HYPERLINK("doors://fe-dorapcm3.de.bosch.com:36679/?version=2&amp;prodID=0&amp;view=00000015&amp;urn=urn:telelogic::1-52394082008461e6-O-8078-00059142","BSW_SWS_AR4_0_R2_DIODriver-8078")</f>
        <v>BSW_SWS_AR4_0_R2_DIODriver-8078</v>
      </c>
    </row>
    <row r="733" spans="1:20" x14ac:dyDescent="0.2">
      <c r="A733" t="s">
        <v>2115</v>
      </c>
      <c r="B733" t="s">
        <v>21</v>
      </c>
      <c r="C733" t="s">
        <v>2116</v>
      </c>
      <c r="D733" s="2" t="s">
        <v>2117</v>
      </c>
      <c r="T733" s="3" t="str">
        <f>HYPERLINK("doors://fe-dorapcm3.de.bosch.com:36679/?version=2&amp;prodID=0&amp;view=00000015&amp;urn=urn:telelogic::1-52394082008461e6-O-8079-00059142","BSW_SWS_AR4_0_R2_DIODriver-8079")</f>
        <v>BSW_SWS_AR4_0_R2_DIODriver-8079</v>
      </c>
    </row>
    <row r="734" spans="1:20" x14ac:dyDescent="0.2">
      <c r="A734" t="s">
        <v>2118</v>
      </c>
      <c r="B734" t="s">
        <v>614</v>
      </c>
      <c r="C734" t="s">
        <v>2119</v>
      </c>
      <c r="D734" t="s">
        <v>2120</v>
      </c>
      <c r="K734" t="s">
        <v>618</v>
      </c>
      <c r="P734" t="s">
        <v>619</v>
      </c>
      <c r="Q734" t="s">
        <v>651</v>
      </c>
      <c r="R734" t="s">
        <v>621</v>
      </c>
      <c r="S734" t="s">
        <v>622</v>
      </c>
      <c r="T734" s="3" t="str">
        <f>HYPERLINK("doors://fe-dorapcm3.de.bosch.com:36679/?version=2&amp;prodID=0&amp;view=00000015&amp;urn=urn:telelogic::1-52394082008461e6-O-8080-00059142","BSW_SWS_AR4_0_R2_DIODriver-8080")</f>
        <v>BSW_SWS_AR4_0_R2_DIODriver-8080</v>
      </c>
    </row>
    <row r="735" spans="1:20" x14ac:dyDescent="0.2">
      <c r="A735" t="s">
        <v>2121</v>
      </c>
      <c r="B735" t="s">
        <v>1617</v>
      </c>
      <c r="C735" t="s">
        <v>2122</v>
      </c>
      <c r="D735" s="5" t="s">
        <v>2038</v>
      </c>
      <c r="K735" t="s">
        <v>618</v>
      </c>
      <c r="P735" t="s">
        <v>619</v>
      </c>
      <c r="Q735" t="s">
        <v>620</v>
      </c>
      <c r="R735" t="s">
        <v>1860</v>
      </c>
      <c r="T735" s="3" t="str">
        <f>HYPERLINK("doors://fe-dorapcm3.de.bosch.com:36679/?version=2&amp;prodID=0&amp;view=00000015&amp;urn=urn:telelogic::1-52394082008461e6-O-8083-00059142","BSW_SWS_AR4_0_R2_DIODriver-8083")</f>
        <v>BSW_SWS_AR4_0_R2_DIODriver-8083</v>
      </c>
    </row>
    <row r="736" spans="1:20" x14ac:dyDescent="0.2">
      <c r="A736" t="s">
        <v>2123</v>
      </c>
      <c r="B736" t="s">
        <v>21</v>
      </c>
      <c r="C736" t="s">
        <v>2124</v>
      </c>
      <c r="D736" t="s">
        <v>2125</v>
      </c>
      <c r="T736" s="3" t="str">
        <f>HYPERLINK("doors://fe-dorapcm3.de.bosch.com:36679/?version=2&amp;prodID=0&amp;view=00000015&amp;urn=urn:telelogic::1-52394082008461e6-O-8084-00059142","BSW_SWS_AR4_0_R2_DIODriver-8084")</f>
        <v>BSW_SWS_AR4_0_R2_DIODriver-8084</v>
      </c>
    </row>
    <row r="737" spans="1:20" x14ac:dyDescent="0.2">
      <c r="A737" t="s">
        <v>2126</v>
      </c>
      <c r="B737" t="s">
        <v>21</v>
      </c>
      <c r="C737" t="s">
        <v>2127</v>
      </c>
      <c r="D737" s="5" t="s">
        <v>2044</v>
      </c>
      <c r="T737" s="3" t="str">
        <f>HYPERLINK("doors://fe-dorapcm3.de.bosch.com:36679/?version=2&amp;prodID=0&amp;view=00000015&amp;urn=urn:telelogic::1-52394082008461e6-O-8086-00059142","BSW_SWS_AR4_0_R2_DIODriver-8086")</f>
        <v>BSW_SWS_AR4_0_R2_DIODriver-8086</v>
      </c>
    </row>
    <row r="738" spans="1:20" x14ac:dyDescent="0.2">
      <c r="A738" t="s">
        <v>2128</v>
      </c>
      <c r="B738" t="s">
        <v>21</v>
      </c>
      <c r="C738" t="s">
        <v>2129</v>
      </c>
      <c r="D738" t="s">
        <v>2130</v>
      </c>
      <c r="T738" s="3" t="str">
        <f>HYPERLINK("doors://fe-dorapcm3.de.bosch.com:36679/?version=2&amp;prodID=0&amp;view=00000015&amp;urn=urn:telelogic::1-52394082008461e6-O-8087-00059142","BSW_SWS_AR4_0_R2_DIODriver-8087")</f>
        <v>BSW_SWS_AR4_0_R2_DIODriver-8087</v>
      </c>
    </row>
    <row r="739" spans="1:20" x14ac:dyDescent="0.2">
      <c r="A739" t="s">
        <v>2131</v>
      </c>
      <c r="B739" t="s">
        <v>21</v>
      </c>
      <c r="C739" t="s">
        <v>2132</v>
      </c>
      <c r="D739" s="5" t="s">
        <v>2133</v>
      </c>
      <c r="T739" s="3" t="str">
        <f>HYPERLINK("doors://fe-dorapcm3.de.bosch.com:36679/?version=2&amp;prodID=0&amp;view=00000015&amp;urn=urn:telelogic::1-52394082008461e6-O-8089-00059142","BSW_SWS_AR4_0_R2_DIODriver-8089")</f>
        <v>BSW_SWS_AR4_0_R2_DIODriver-8089</v>
      </c>
    </row>
    <row r="740" spans="1:20" x14ac:dyDescent="0.2">
      <c r="A740" t="s">
        <v>2134</v>
      </c>
      <c r="B740" t="s">
        <v>21</v>
      </c>
      <c r="C740" t="s">
        <v>2135</v>
      </c>
      <c r="D740" t="s">
        <v>2136</v>
      </c>
      <c r="T740" s="3" t="str">
        <f>HYPERLINK("doors://fe-dorapcm3.de.bosch.com:36679/?version=2&amp;prodID=0&amp;view=00000015&amp;urn=urn:telelogic::1-52394082008461e6-O-8090-00059142","BSW_SWS_AR4_0_R2_DIODriver-8090")</f>
        <v>BSW_SWS_AR4_0_R2_DIODriver-8090</v>
      </c>
    </row>
    <row r="741" spans="1:20" x14ac:dyDescent="0.2">
      <c r="A741" t="s">
        <v>2137</v>
      </c>
      <c r="B741" t="s">
        <v>21</v>
      </c>
      <c r="C741" t="s">
        <v>2138</v>
      </c>
      <c r="D741" t="s">
        <v>2139</v>
      </c>
      <c r="T741" s="3" t="str">
        <f>HYPERLINK("doors://fe-dorapcm3.de.bosch.com:36679/?version=2&amp;prodID=0&amp;view=00000015&amp;urn=urn:telelogic::1-52394082008461e6-O-8091-00059142","BSW_SWS_AR4_0_R2_DIODriver-8091")</f>
        <v>BSW_SWS_AR4_0_R2_DIODriver-8091</v>
      </c>
    </row>
    <row r="742" spans="1:20" x14ac:dyDescent="0.2">
      <c r="A742" t="s">
        <v>2140</v>
      </c>
      <c r="B742" t="s">
        <v>21</v>
      </c>
      <c r="C742" t="s">
        <v>2141</v>
      </c>
      <c r="D742" t="s">
        <v>2142</v>
      </c>
      <c r="T742" s="3" t="str">
        <f>HYPERLINK("doors://fe-dorapcm3.de.bosch.com:36679/?version=2&amp;prodID=0&amp;view=00000015&amp;urn=urn:telelogic::1-52394082008461e6-O-8092-00059142","BSW_SWS_AR4_0_R2_DIODriver-8092")</f>
        <v>BSW_SWS_AR4_0_R2_DIODriver-8092</v>
      </c>
    </row>
    <row r="743" spans="1:20" x14ac:dyDescent="0.2">
      <c r="A743" t="s">
        <v>2143</v>
      </c>
      <c r="B743" t="s">
        <v>21</v>
      </c>
      <c r="C743" t="s">
        <v>2144</v>
      </c>
      <c r="T743" s="3" t="str">
        <f>HYPERLINK("doors://fe-dorapcm3.de.bosch.com:36679/?version=2&amp;prodID=0&amp;view=00000015&amp;urn=urn:telelogic::1-52394082008461e6-O-8094-00059142","BSW_SWS_AR4_0_R2_DIODriver-8094")</f>
        <v>BSW_SWS_AR4_0_R2_DIODriver-8094</v>
      </c>
    </row>
    <row r="744" spans="1:20" x14ac:dyDescent="0.2">
      <c r="A744" t="s">
        <v>2145</v>
      </c>
      <c r="B744" t="s">
        <v>21</v>
      </c>
      <c r="C744" t="s">
        <v>2146</v>
      </c>
      <c r="D744" t="s">
        <v>2147</v>
      </c>
      <c r="T744" s="3" t="str">
        <f>HYPERLINK("doors://fe-dorapcm3.de.bosch.com:36679/?version=2&amp;prodID=0&amp;view=00000015&amp;urn=urn:telelogic::1-52394082008461e6-O-8095-00059142","BSW_SWS_AR4_0_R2_DIODriver-8095")</f>
        <v>BSW_SWS_AR4_0_R2_DIODriver-8095</v>
      </c>
    </row>
    <row r="745" spans="1:20" x14ac:dyDescent="0.2">
      <c r="A745" t="s">
        <v>2148</v>
      </c>
      <c r="B745" t="s">
        <v>21</v>
      </c>
      <c r="C745" t="s">
        <v>2149</v>
      </c>
      <c r="D745" t="s">
        <v>2150</v>
      </c>
      <c r="T745" s="3" t="str">
        <f>HYPERLINK("doors://fe-dorapcm3.de.bosch.com:36679/?version=2&amp;prodID=0&amp;view=00000015&amp;urn=urn:telelogic::1-52394082008461e6-O-8096-00059142","BSW_SWS_AR4_0_R2_DIODriver-8096")</f>
        <v>BSW_SWS_AR4_0_R2_DIODriver-8096</v>
      </c>
    </row>
    <row r="746" spans="1:20" x14ac:dyDescent="0.2">
      <c r="A746" t="s">
        <v>2151</v>
      </c>
      <c r="B746" t="s">
        <v>21</v>
      </c>
      <c r="C746" t="s">
        <v>2152</v>
      </c>
      <c r="D746" t="s">
        <v>2153</v>
      </c>
      <c r="T746" s="3" t="str">
        <f>HYPERLINK("doors://fe-dorapcm3.de.bosch.com:36679/?version=2&amp;prodID=0&amp;view=00000015&amp;urn=urn:telelogic::1-52394082008461e6-O-8097-00059142","BSW_SWS_AR4_0_R2_DIODriver-8097")</f>
        <v>BSW_SWS_AR4_0_R2_DIODriver-8097</v>
      </c>
    </row>
    <row r="747" spans="1:20" x14ac:dyDescent="0.2">
      <c r="A747" t="s">
        <v>2154</v>
      </c>
      <c r="B747" t="s">
        <v>21</v>
      </c>
      <c r="C747" t="s">
        <v>2155</v>
      </c>
      <c r="T747" s="3" t="str">
        <f>HYPERLINK("doors://fe-dorapcm3.de.bosch.com:36679/?version=2&amp;prodID=0&amp;view=00000015&amp;urn=urn:telelogic::1-52394082008461e6-O-8099-00059142","BSW_SWS_AR4_0_R2_DIODriver-8099")</f>
        <v>BSW_SWS_AR4_0_R2_DIODriver-8099</v>
      </c>
    </row>
    <row r="748" spans="1:20" x14ac:dyDescent="0.2">
      <c r="A748" t="s">
        <v>2156</v>
      </c>
      <c r="B748" t="s">
        <v>21</v>
      </c>
      <c r="C748" t="s">
        <v>2157</v>
      </c>
      <c r="D748" t="s">
        <v>2085</v>
      </c>
      <c r="T748" s="3" t="str">
        <f>HYPERLINK("doors://fe-dorapcm3.de.bosch.com:36679/?version=2&amp;prodID=0&amp;view=00000015&amp;urn=urn:telelogic::1-52394082008461e6-O-8100-00059142","BSW_SWS_AR4_0_R2_DIODriver-8100")</f>
        <v>BSW_SWS_AR4_0_R2_DIODriver-8100</v>
      </c>
    </row>
    <row r="749" spans="1:20" x14ac:dyDescent="0.2">
      <c r="A749" t="s">
        <v>2158</v>
      </c>
      <c r="B749" t="s">
        <v>21</v>
      </c>
      <c r="C749" t="s">
        <v>2159</v>
      </c>
      <c r="D749" t="s">
        <v>2160</v>
      </c>
      <c r="T749" s="3" t="str">
        <f>HYPERLINK("doors://fe-dorapcm3.de.bosch.com:36679/?version=2&amp;prodID=0&amp;view=00000015&amp;urn=urn:telelogic::1-52394082008461e6-O-8101-00059142","BSW_SWS_AR4_0_R2_DIODriver-8101")</f>
        <v>BSW_SWS_AR4_0_R2_DIODriver-8101</v>
      </c>
    </row>
    <row r="750" spans="1:20" x14ac:dyDescent="0.2">
      <c r="A750" t="s">
        <v>2161</v>
      </c>
      <c r="B750" t="s">
        <v>21</v>
      </c>
      <c r="C750" t="s">
        <v>2162</v>
      </c>
      <c r="D750" t="s">
        <v>2163</v>
      </c>
      <c r="T750" s="3" t="str">
        <f>HYPERLINK("doors://fe-dorapcm3.de.bosch.com:36679/?version=2&amp;prodID=0&amp;view=00000015&amp;urn=urn:telelogic::1-52394082008461e6-O-8102-00059142","BSW_SWS_AR4_0_R2_DIODriver-8102")</f>
        <v>BSW_SWS_AR4_0_R2_DIODriver-8102</v>
      </c>
    </row>
    <row r="751" spans="1:20" x14ac:dyDescent="0.2">
      <c r="A751" t="s">
        <v>2164</v>
      </c>
      <c r="B751" t="s">
        <v>21</v>
      </c>
      <c r="C751" t="s">
        <v>2165</v>
      </c>
      <c r="D751" s="5" t="s">
        <v>447</v>
      </c>
      <c r="T751" s="3" t="str">
        <f>HYPERLINK("doors://fe-dorapcm3.de.bosch.com:36679/?version=2&amp;prodID=0&amp;view=00000015&amp;urn=urn:telelogic::1-52394082008461e6-O-8104-00059142","BSW_SWS_AR4_0_R2_DIODriver-8104")</f>
        <v>BSW_SWS_AR4_0_R2_DIODriver-8104</v>
      </c>
    </row>
    <row r="752" spans="1:20" x14ac:dyDescent="0.2">
      <c r="A752" t="s">
        <v>2166</v>
      </c>
      <c r="B752" t="s">
        <v>21</v>
      </c>
      <c r="C752" t="s">
        <v>2167</v>
      </c>
      <c r="D752" t="s">
        <v>2168</v>
      </c>
      <c r="T752" s="3" t="str">
        <f>HYPERLINK("doors://fe-dorapcm3.de.bosch.com:36679/?version=2&amp;prodID=0&amp;view=00000015&amp;urn=urn:telelogic::1-52394082008461e6-O-8105-00059142","BSW_SWS_AR4_0_R2_DIODriver-8105")</f>
        <v>BSW_SWS_AR4_0_R2_DIODriver-8105</v>
      </c>
    </row>
    <row r="753" spans="1:20" x14ac:dyDescent="0.2">
      <c r="A753" t="s">
        <v>2169</v>
      </c>
      <c r="B753" t="s">
        <v>614</v>
      </c>
      <c r="C753" t="s">
        <v>2170</v>
      </c>
      <c r="D753" t="s">
        <v>2171</v>
      </c>
      <c r="K753" t="s">
        <v>618</v>
      </c>
      <c r="P753" t="s">
        <v>619</v>
      </c>
      <c r="Q753" t="s">
        <v>651</v>
      </c>
      <c r="R753" t="s">
        <v>621</v>
      </c>
      <c r="S753" t="s">
        <v>622</v>
      </c>
      <c r="T753" s="3" t="str">
        <f>HYPERLINK("doors://fe-dorapcm3.de.bosch.com:36679/?version=2&amp;prodID=0&amp;view=00000015&amp;urn=urn:telelogic::1-52394082008461e6-O-8106-00059142","BSW_SWS_AR4_0_R2_DIODriver-8106")</f>
        <v>BSW_SWS_AR4_0_R2_DIODriver-8106</v>
      </c>
    </row>
    <row r="754" spans="1:20" x14ac:dyDescent="0.2">
      <c r="A754" t="s">
        <v>2172</v>
      </c>
      <c r="B754" t="s">
        <v>614</v>
      </c>
      <c r="C754" t="s">
        <v>2173</v>
      </c>
      <c r="D754" t="s">
        <v>2174</v>
      </c>
      <c r="K754" t="s">
        <v>618</v>
      </c>
      <c r="P754" t="s">
        <v>619</v>
      </c>
      <c r="Q754" t="s">
        <v>651</v>
      </c>
      <c r="R754" t="s">
        <v>621</v>
      </c>
      <c r="S754" t="s">
        <v>622</v>
      </c>
      <c r="T754" s="3" t="str">
        <f>HYPERLINK("doors://fe-dorapcm3.de.bosch.com:36679/?version=2&amp;prodID=0&amp;view=00000015&amp;urn=urn:telelogic::1-52394082008461e6-O-8107-00059142","BSW_SWS_AR4_0_R2_DIODriver-8107")</f>
        <v>BSW_SWS_AR4_0_R2_DIODriver-8107</v>
      </c>
    </row>
    <row r="755" spans="1:20" x14ac:dyDescent="0.2">
      <c r="A755" t="s">
        <v>2175</v>
      </c>
      <c r="B755" t="s">
        <v>76</v>
      </c>
      <c r="C755" t="s">
        <v>2176</v>
      </c>
      <c r="D755" t="s">
        <v>2177</v>
      </c>
      <c r="T755" s="3" t="str">
        <f>HYPERLINK("doors://fe-dorapcm3.de.bosch.com:36679/?version=2&amp;prodID=0&amp;view=00000015&amp;urn=urn:telelogic::1-52394082008461e6-O-8108-00059142","BSW_SWS_AR4_0_R2_DIODriver-8108")</f>
        <v>BSW_SWS_AR4_0_R2_DIODriver-8108</v>
      </c>
    </row>
    <row r="756" spans="1:20" x14ac:dyDescent="0.2">
      <c r="A756" t="s">
        <v>2178</v>
      </c>
      <c r="B756" t="s">
        <v>21</v>
      </c>
      <c r="C756" t="s">
        <v>2179</v>
      </c>
      <c r="D756" s="2" t="s">
        <v>2180</v>
      </c>
      <c r="T756" s="3" t="str">
        <f>HYPERLINK("doors://fe-dorapcm3.de.bosch.com:36679/?version=2&amp;prodID=0&amp;view=00000015&amp;urn=urn:telelogic::1-52394082008461e6-O-8109-00059142","BSW_SWS_AR4_0_R2_DIODriver-8109")</f>
        <v>BSW_SWS_AR4_0_R2_DIODriver-8109</v>
      </c>
    </row>
    <row r="757" spans="1:20" x14ac:dyDescent="0.2">
      <c r="A757" t="s">
        <v>2181</v>
      </c>
      <c r="B757" t="s">
        <v>614</v>
      </c>
      <c r="C757" t="s">
        <v>2182</v>
      </c>
      <c r="D757" t="s">
        <v>2183</v>
      </c>
      <c r="J757" t="s">
        <v>617</v>
      </c>
      <c r="K757" t="s">
        <v>618</v>
      </c>
      <c r="P757" t="s">
        <v>619</v>
      </c>
      <c r="Q757" t="s">
        <v>620</v>
      </c>
      <c r="R757" t="s">
        <v>621</v>
      </c>
      <c r="S757" t="s">
        <v>622</v>
      </c>
      <c r="T757" s="3" t="str">
        <f>HYPERLINK("doors://fe-dorapcm3.de.bosch.com:36679/?version=2&amp;prodID=0&amp;view=00000015&amp;urn=urn:telelogic::1-52394082008461e6-O-8110-00059142","BSW_SWS_AR4_0_R2_DIODriver-8110")</f>
        <v>BSW_SWS_AR4_0_R2_DIODriver-8110</v>
      </c>
    </row>
    <row r="758" spans="1:20" x14ac:dyDescent="0.2">
      <c r="A758" t="s">
        <v>2184</v>
      </c>
      <c r="B758" t="s">
        <v>1617</v>
      </c>
      <c r="C758" t="s">
        <v>2185</v>
      </c>
      <c r="D758" s="5" t="s">
        <v>2038</v>
      </c>
      <c r="K758" t="s">
        <v>618</v>
      </c>
      <c r="P758" t="s">
        <v>619</v>
      </c>
      <c r="Q758" t="s">
        <v>620</v>
      </c>
      <c r="R758" t="s">
        <v>1860</v>
      </c>
      <c r="T758" s="3" t="str">
        <f>HYPERLINK("doors://fe-dorapcm3.de.bosch.com:36679/?version=2&amp;prodID=0&amp;view=00000015&amp;urn=urn:telelogic::1-52394082008461e6-O-8113-00059142","BSW_SWS_AR4_0_R2_DIODriver-8113")</f>
        <v>BSW_SWS_AR4_0_R2_DIODriver-8113</v>
      </c>
    </row>
    <row r="759" spans="1:20" x14ac:dyDescent="0.2">
      <c r="A759" t="s">
        <v>2186</v>
      </c>
      <c r="B759" t="s">
        <v>21</v>
      </c>
      <c r="C759" t="s">
        <v>2187</v>
      </c>
      <c r="D759" t="s">
        <v>2188</v>
      </c>
      <c r="T759" s="3" t="str">
        <f>HYPERLINK("doors://fe-dorapcm3.de.bosch.com:36679/?version=2&amp;prodID=0&amp;view=00000015&amp;urn=urn:telelogic::1-52394082008461e6-O-8114-00059142","BSW_SWS_AR4_0_R2_DIODriver-8114")</f>
        <v>BSW_SWS_AR4_0_R2_DIODriver-8114</v>
      </c>
    </row>
    <row r="760" spans="1:20" x14ac:dyDescent="0.2">
      <c r="A760" t="s">
        <v>2189</v>
      </c>
      <c r="B760" t="s">
        <v>1617</v>
      </c>
      <c r="C760" t="s">
        <v>2190</v>
      </c>
      <c r="D760" s="5" t="s">
        <v>2044</v>
      </c>
      <c r="K760" t="s">
        <v>618</v>
      </c>
      <c r="P760" t="s">
        <v>619</v>
      </c>
      <c r="Q760" t="s">
        <v>620</v>
      </c>
      <c r="R760" t="s">
        <v>1860</v>
      </c>
      <c r="T760" s="3" t="str">
        <f>HYPERLINK("doors://fe-dorapcm3.de.bosch.com:36679/?version=2&amp;prodID=0&amp;view=00000015&amp;urn=urn:telelogic::1-52394082008461e6-O-8116-00059142","BSW_SWS_AR4_0_R2_DIODriver-8116")</f>
        <v>BSW_SWS_AR4_0_R2_DIODriver-8116</v>
      </c>
    </row>
    <row r="761" spans="1:20" x14ac:dyDescent="0.2">
      <c r="A761" t="s">
        <v>2191</v>
      </c>
      <c r="B761" t="s">
        <v>21</v>
      </c>
      <c r="C761" t="s">
        <v>2192</v>
      </c>
      <c r="D761" t="s">
        <v>2147</v>
      </c>
      <c r="T761" s="3" t="str">
        <f>HYPERLINK("doors://fe-dorapcm3.de.bosch.com:36679/?version=2&amp;prodID=0&amp;view=00000015&amp;urn=urn:telelogic::1-52394082008461e6-O-8117-00059142","BSW_SWS_AR4_0_R2_DIODriver-8117")</f>
        <v>BSW_SWS_AR4_0_R2_DIODriver-8117</v>
      </c>
    </row>
    <row r="762" spans="1:20" x14ac:dyDescent="0.2">
      <c r="A762" t="s">
        <v>2193</v>
      </c>
      <c r="B762" t="s">
        <v>1617</v>
      </c>
      <c r="C762" t="s">
        <v>2194</v>
      </c>
      <c r="D762" s="5" t="s">
        <v>2050</v>
      </c>
      <c r="K762" t="s">
        <v>618</v>
      </c>
      <c r="P762" t="s">
        <v>619</v>
      </c>
      <c r="Q762" t="s">
        <v>620</v>
      </c>
      <c r="R762" t="s">
        <v>1860</v>
      </c>
      <c r="T762" s="3" t="str">
        <f>HYPERLINK("doors://fe-dorapcm3.de.bosch.com:36679/?version=2&amp;prodID=0&amp;view=00000015&amp;urn=urn:telelogic::1-52394082008461e6-O-8119-00059142","BSW_SWS_AR4_0_R2_DIODriver-8119")</f>
        <v>BSW_SWS_AR4_0_R2_DIODriver-8119</v>
      </c>
    </row>
    <row r="763" spans="1:20" x14ac:dyDescent="0.2">
      <c r="A763" t="s">
        <v>2195</v>
      </c>
      <c r="B763" t="s">
        <v>21</v>
      </c>
      <c r="C763" t="s">
        <v>2196</v>
      </c>
      <c r="D763" t="s">
        <v>2197</v>
      </c>
      <c r="T763" s="3" t="str">
        <f>HYPERLINK("doors://fe-dorapcm3.de.bosch.com:36679/?version=2&amp;prodID=0&amp;view=00000015&amp;urn=urn:telelogic::1-52394082008461e6-O-8120-00059142","BSW_SWS_AR4_0_R2_DIODriver-8120")</f>
        <v>BSW_SWS_AR4_0_R2_DIODriver-8120</v>
      </c>
    </row>
    <row r="764" spans="1:20" x14ac:dyDescent="0.2">
      <c r="A764" t="s">
        <v>2198</v>
      </c>
      <c r="B764" t="s">
        <v>21</v>
      </c>
      <c r="C764" t="s">
        <v>2199</v>
      </c>
      <c r="D764" t="s">
        <v>2200</v>
      </c>
      <c r="T764" s="3" t="str">
        <f>HYPERLINK("doors://fe-dorapcm3.de.bosch.com:36679/?version=2&amp;prodID=0&amp;view=00000015&amp;urn=urn:telelogic::1-52394082008461e6-O-8121-00059142","BSW_SWS_AR4_0_R2_DIODriver-8121")</f>
        <v>BSW_SWS_AR4_0_R2_DIODriver-8121</v>
      </c>
    </row>
    <row r="765" spans="1:20" x14ac:dyDescent="0.2">
      <c r="A765" t="s">
        <v>2201</v>
      </c>
      <c r="B765" t="s">
        <v>21</v>
      </c>
      <c r="C765" t="s">
        <v>2202</v>
      </c>
      <c r="D765" t="s">
        <v>2203</v>
      </c>
      <c r="T765" s="3" t="str">
        <f>HYPERLINK("doors://fe-dorapcm3.de.bosch.com:36679/?version=2&amp;prodID=0&amp;view=00000015&amp;urn=urn:telelogic::1-52394082008461e6-O-8122-00059142","BSW_SWS_AR4_0_R2_DIODriver-8122")</f>
        <v>BSW_SWS_AR4_0_R2_DIODriver-8122</v>
      </c>
    </row>
    <row r="766" spans="1:20" x14ac:dyDescent="0.2">
      <c r="A766" t="s">
        <v>2204</v>
      </c>
      <c r="B766" t="s">
        <v>1617</v>
      </c>
      <c r="C766" t="s">
        <v>2205</v>
      </c>
      <c r="K766" t="s">
        <v>618</v>
      </c>
      <c r="P766" t="s">
        <v>619</v>
      </c>
      <c r="Q766" t="s">
        <v>620</v>
      </c>
      <c r="R766" t="s">
        <v>1860</v>
      </c>
      <c r="T766" s="3" t="str">
        <f>HYPERLINK("doors://fe-dorapcm3.de.bosch.com:36679/?version=2&amp;prodID=0&amp;view=00000015&amp;urn=urn:telelogic::1-52394082008461e6-O-8124-00059142","BSW_SWS_AR4_0_R2_DIODriver-8124")</f>
        <v>BSW_SWS_AR4_0_R2_DIODriver-8124</v>
      </c>
    </row>
    <row r="767" spans="1:20" x14ac:dyDescent="0.2">
      <c r="A767" t="s">
        <v>2206</v>
      </c>
      <c r="B767" t="s">
        <v>21</v>
      </c>
      <c r="C767" t="s">
        <v>2207</v>
      </c>
      <c r="D767" t="s">
        <v>2208</v>
      </c>
      <c r="T767" s="3" t="str">
        <f>HYPERLINK("doors://fe-dorapcm3.de.bosch.com:36679/?version=2&amp;prodID=0&amp;view=00000015&amp;urn=urn:telelogic::1-52394082008461e6-O-8125-00059142","BSW_SWS_AR4_0_R2_DIODriver-8125")</f>
        <v>BSW_SWS_AR4_0_R2_DIODriver-8125</v>
      </c>
    </row>
    <row r="768" spans="1:20" x14ac:dyDescent="0.2">
      <c r="A768" t="s">
        <v>2209</v>
      </c>
      <c r="B768" t="s">
        <v>21</v>
      </c>
      <c r="C768" t="s">
        <v>2210</v>
      </c>
      <c r="D768" t="s">
        <v>2211</v>
      </c>
      <c r="T768" s="3" t="str">
        <f>HYPERLINK("doors://fe-dorapcm3.de.bosch.com:36679/?version=2&amp;prodID=0&amp;view=00000015&amp;urn=urn:telelogic::1-52394082008461e6-O-8126-00059142","BSW_SWS_AR4_0_R2_DIODriver-8126")</f>
        <v>BSW_SWS_AR4_0_R2_DIODriver-8126</v>
      </c>
    </row>
    <row r="769" spans="1:20" x14ac:dyDescent="0.2">
      <c r="A769" t="s">
        <v>2212</v>
      </c>
      <c r="B769" t="s">
        <v>21</v>
      </c>
      <c r="C769" t="s">
        <v>2213</v>
      </c>
      <c r="D769" t="s">
        <v>2214</v>
      </c>
      <c r="T769" s="3" t="str">
        <f>HYPERLINK("doors://fe-dorapcm3.de.bosch.com:36679/?version=2&amp;prodID=0&amp;view=00000015&amp;urn=urn:telelogic::1-52394082008461e6-O-8127-00059142","BSW_SWS_AR4_0_R2_DIODriver-8127")</f>
        <v>BSW_SWS_AR4_0_R2_DIODriver-8127</v>
      </c>
    </row>
    <row r="770" spans="1:20" x14ac:dyDescent="0.2">
      <c r="A770" t="s">
        <v>2215</v>
      </c>
      <c r="B770" t="s">
        <v>1617</v>
      </c>
      <c r="C770" t="s">
        <v>2216</v>
      </c>
      <c r="D770" s="5" t="s">
        <v>447</v>
      </c>
      <c r="K770" t="s">
        <v>618</v>
      </c>
      <c r="P770" t="s">
        <v>619</v>
      </c>
      <c r="Q770" t="s">
        <v>620</v>
      </c>
      <c r="R770" t="s">
        <v>1860</v>
      </c>
      <c r="T770" s="3" t="str">
        <f>HYPERLINK("doors://fe-dorapcm3.de.bosch.com:36679/?version=2&amp;prodID=0&amp;view=00000015&amp;urn=urn:telelogic::1-52394082008461e6-O-8129-00059142","BSW_SWS_AR4_0_R2_DIODriver-8129")</f>
        <v>BSW_SWS_AR4_0_R2_DIODriver-8129</v>
      </c>
    </row>
    <row r="771" spans="1:20" x14ac:dyDescent="0.2">
      <c r="A771" t="s">
        <v>2217</v>
      </c>
      <c r="B771" t="s">
        <v>21</v>
      </c>
      <c r="C771" t="s">
        <v>2218</v>
      </c>
      <c r="D771" t="s">
        <v>2219</v>
      </c>
      <c r="T771" s="3" t="str">
        <f>HYPERLINK("doors://fe-dorapcm3.de.bosch.com:36679/?version=2&amp;prodID=0&amp;view=00000015&amp;urn=urn:telelogic::1-52394082008461e6-O-8130-00059142","BSW_SWS_AR4_0_R2_DIODriver-8130")</f>
        <v>BSW_SWS_AR4_0_R2_DIODriver-8130</v>
      </c>
    </row>
    <row r="772" spans="1:20" x14ac:dyDescent="0.2">
      <c r="A772" t="s">
        <v>2220</v>
      </c>
      <c r="B772" t="s">
        <v>614</v>
      </c>
      <c r="C772" t="s">
        <v>2221</v>
      </c>
      <c r="D772" t="s">
        <v>2222</v>
      </c>
      <c r="J772" t="s">
        <v>617</v>
      </c>
      <c r="K772" t="s">
        <v>618</v>
      </c>
      <c r="P772" t="s">
        <v>619</v>
      </c>
      <c r="Q772" t="s">
        <v>620</v>
      </c>
      <c r="R772" t="s">
        <v>621</v>
      </c>
      <c r="S772" t="s">
        <v>622</v>
      </c>
      <c r="T772" s="3" t="str">
        <f>HYPERLINK("doors://fe-dorapcm3.de.bosch.com:36679/?version=2&amp;prodID=0&amp;view=00000015&amp;urn=urn:telelogic::1-52394082008461e6-O-8131-00059142","BSW_SWS_AR4_0_R2_DIODriver-8131")</f>
        <v>BSW_SWS_AR4_0_R2_DIODriver-8131</v>
      </c>
    </row>
    <row r="773" spans="1:20" x14ac:dyDescent="0.2">
      <c r="A773" t="s">
        <v>2223</v>
      </c>
      <c r="B773" t="s">
        <v>21</v>
      </c>
      <c r="C773" t="s">
        <v>2224</v>
      </c>
      <c r="D773" s="2" t="s">
        <v>2225</v>
      </c>
      <c r="T773" s="3" t="str">
        <f>HYPERLINK("doors://fe-dorapcm3.de.bosch.com:36679/?version=2&amp;prodID=0&amp;view=00000015&amp;urn=urn:telelogic::1-52394082008461e6-O-8132-00059142","BSW_SWS_AR4_0_R2_DIODriver-8132")</f>
        <v>BSW_SWS_AR4_0_R2_DIODriver-8132</v>
      </c>
    </row>
    <row r="774" spans="1:20" x14ac:dyDescent="0.2">
      <c r="A774" t="s">
        <v>2226</v>
      </c>
      <c r="B774" t="s">
        <v>614</v>
      </c>
      <c r="C774" t="s">
        <v>2227</v>
      </c>
      <c r="D774" t="s">
        <v>2228</v>
      </c>
      <c r="J774" t="s">
        <v>617</v>
      </c>
      <c r="K774" t="s">
        <v>618</v>
      </c>
      <c r="P774" t="s">
        <v>619</v>
      </c>
      <c r="Q774" t="s">
        <v>1606</v>
      </c>
      <c r="R774" t="s">
        <v>621</v>
      </c>
      <c r="S774" t="s">
        <v>622</v>
      </c>
      <c r="T774" s="3" t="str">
        <f>HYPERLINK("doors://fe-dorapcm3.de.bosch.com:36679/?version=2&amp;prodID=0&amp;view=00000015&amp;urn=urn:telelogic::1-52394082008461e6-O-8133-00059142","BSW_SWS_AR4_0_R2_DIODriver-8133")</f>
        <v>BSW_SWS_AR4_0_R2_DIODriver-8133</v>
      </c>
    </row>
    <row r="775" spans="1:20" x14ac:dyDescent="0.2">
      <c r="A775" t="s">
        <v>2229</v>
      </c>
      <c r="B775" t="s">
        <v>1617</v>
      </c>
      <c r="C775" t="s">
        <v>2230</v>
      </c>
      <c r="D775" s="5" t="s">
        <v>2038</v>
      </c>
      <c r="K775" t="s">
        <v>618</v>
      </c>
      <c r="P775" t="s">
        <v>619</v>
      </c>
      <c r="Q775" t="s">
        <v>620</v>
      </c>
      <c r="R775" t="s">
        <v>1860</v>
      </c>
      <c r="T775" s="3" t="str">
        <f>HYPERLINK("doors://fe-dorapcm3.de.bosch.com:36679/?version=2&amp;prodID=0&amp;view=00000015&amp;urn=urn:telelogic::1-52394082008461e6-O-8136-00059142","BSW_SWS_AR4_0_R2_DIODriver-8136")</f>
        <v>BSW_SWS_AR4_0_R2_DIODriver-8136</v>
      </c>
    </row>
    <row r="776" spans="1:20" x14ac:dyDescent="0.2">
      <c r="A776" t="s">
        <v>2231</v>
      </c>
      <c r="B776" t="s">
        <v>21</v>
      </c>
      <c r="C776" t="s">
        <v>2232</v>
      </c>
      <c r="D776" t="s">
        <v>2233</v>
      </c>
      <c r="T776" s="3" t="str">
        <f>HYPERLINK("doors://fe-dorapcm3.de.bosch.com:36679/?version=2&amp;prodID=0&amp;view=00000015&amp;urn=urn:telelogic::1-52394082008461e6-O-8137-00059142","BSW_SWS_AR4_0_R2_DIODriver-8137")</f>
        <v>BSW_SWS_AR4_0_R2_DIODriver-8137</v>
      </c>
    </row>
    <row r="777" spans="1:20" x14ac:dyDescent="0.2">
      <c r="A777" t="s">
        <v>2234</v>
      </c>
      <c r="B777" t="s">
        <v>1617</v>
      </c>
      <c r="C777" t="s">
        <v>2235</v>
      </c>
      <c r="D777" s="5" t="s">
        <v>2044</v>
      </c>
      <c r="K777" t="s">
        <v>618</v>
      </c>
      <c r="P777" t="s">
        <v>619</v>
      </c>
      <c r="Q777" t="s">
        <v>620</v>
      </c>
      <c r="R777" t="s">
        <v>1860</v>
      </c>
      <c r="T777" s="3" t="str">
        <f>HYPERLINK("doors://fe-dorapcm3.de.bosch.com:36679/?version=2&amp;prodID=0&amp;view=00000015&amp;urn=urn:telelogic::1-52394082008461e6-O-8139-00059142","BSW_SWS_AR4_0_R2_DIODriver-8139")</f>
        <v>BSW_SWS_AR4_0_R2_DIODriver-8139</v>
      </c>
    </row>
    <row r="778" spans="1:20" x14ac:dyDescent="0.2">
      <c r="A778" t="s">
        <v>2236</v>
      </c>
      <c r="B778" t="s">
        <v>21</v>
      </c>
      <c r="C778" t="s">
        <v>2237</v>
      </c>
      <c r="D778" t="s">
        <v>2047</v>
      </c>
      <c r="T778" s="3" t="str">
        <f>HYPERLINK("doors://fe-dorapcm3.de.bosch.com:36679/?version=2&amp;prodID=0&amp;view=00000015&amp;urn=urn:telelogic::1-52394082008461e6-O-8140-00059142","BSW_SWS_AR4_0_R2_DIODriver-8140")</f>
        <v>BSW_SWS_AR4_0_R2_DIODriver-8140</v>
      </c>
    </row>
    <row r="779" spans="1:20" x14ac:dyDescent="0.2">
      <c r="A779" t="s">
        <v>2238</v>
      </c>
      <c r="B779" t="s">
        <v>1617</v>
      </c>
      <c r="C779" t="s">
        <v>2239</v>
      </c>
      <c r="D779" s="5" t="s">
        <v>2050</v>
      </c>
      <c r="K779" t="s">
        <v>618</v>
      </c>
      <c r="P779" t="s">
        <v>619</v>
      </c>
      <c r="Q779" t="s">
        <v>620</v>
      </c>
      <c r="R779" t="s">
        <v>1860</v>
      </c>
      <c r="T779" s="3" t="str">
        <f>HYPERLINK("doors://fe-dorapcm3.de.bosch.com:36679/?version=2&amp;prodID=0&amp;view=00000015&amp;urn=urn:telelogic::1-52394082008461e6-O-8142-00059142","BSW_SWS_AR4_0_R2_DIODriver-8142")</f>
        <v>BSW_SWS_AR4_0_R2_DIODriver-8142</v>
      </c>
    </row>
    <row r="780" spans="1:20" x14ac:dyDescent="0.2">
      <c r="A780" t="s">
        <v>2240</v>
      </c>
      <c r="B780" t="s">
        <v>21</v>
      </c>
      <c r="C780" t="s">
        <v>2241</v>
      </c>
      <c r="D780" t="s">
        <v>2242</v>
      </c>
      <c r="T780" s="3" t="str">
        <f>HYPERLINK("doors://fe-dorapcm3.de.bosch.com:36679/?version=2&amp;prodID=0&amp;view=00000015&amp;urn=urn:telelogic::1-52394082008461e6-O-8143-00059142","BSW_SWS_AR4_0_R2_DIODriver-8143")</f>
        <v>BSW_SWS_AR4_0_R2_DIODriver-8143</v>
      </c>
    </row>
    <row r="781" spans="1:20" x14ac:dyDescent="0.2">
      <c r="A781" t="s">
        <v>2243</v>
      </c>
      <c r="B781" t="s">
        <v>21</v>
      </c>
      <c r="C781" t="s">
        <v>2244</v>
      </c>
      <c r="D781" t="s">
        <v>2245</v>
      </c>
      <c r="T781" s="3" t="str">
        <f>HYPERLINK("doors://fe-dorapcm3.de.bosch.com:36679/?version=2&amp;prodID=0&amp;view=00000015&amp;urn=urn:telelogic::1-52394082008461e6-O-8144-00059142","BSW_SWS_AR4_0_R2_DIODriver-8144")</f>
        <v>BSW_SWS_AR4_0_R2_DIODriver-8144</v>
      </c>
    </row>
    <row r="782" spans="1:20" x14ac:dyDescent="0.2">
      <c r="A782" t="s">
        <v>2246</v>
      </c>
      <c r="B782" t="s">
        <v>1617</v>
      </c>
      <c r="C782" t="s">
        <v>2247</v>
      </c>
      <c r="D782" s="5" t="s">
        <v>447</v>
      </c>
      <c r="K782" t="s">
        <v>618</v>
      </c>
      <c r="P782" t="s">
        <v>619</v>
      </c>
      <c r="Q782" t="s">
        <v>620</v>
      </c>
      <c r="R782" t="s">
        <v>1860</v>
      </c>
      <c r="T782" s="3" t="str">
        <f>HYPERLINK("doors://fe-dorapcm3.de.bosch.com:36679/?version=2&amp;prodID=0&amp;view=00000015&amp;urn=urn:telelogic::1-52394082008461e6-O-8146-00059142","BSW_SWS_AR4_0_R2_DIODriver-8146")</f>
        <v>BSW_SWS_AR4_0_R2_DIODriver-8146</v>
      </c>
    </row>
    <row r="783" spans="1:20" x14ac:dyDescent="0.2">
      <c r="A783" t="s">
        <v>2248</v>
      </c>
      <c r="B783" t="s">
        <v>21</v>
      </c>
      <c r="C783" t="s">
        <v>2249</v>
      </c>
      <c r="D783" t="s">
        <v>2250</v>
      </c>
      <c r="T783" s="3" t="str">
        <f>HYPERLINK("doors://fe-dorapcm3.de.bosch.com:36679/?version=2&amp;prodID=0&amp;view=00000015&amp;urn=urn:telelogic::1-52394082008461e6-O-8147-00059142","BSW_SWS_AR4_0_R2_DIODriver-8147")</f>
        <v>BSW_SWS_AR4_0_R2_DIODriver-8147</v>
      </c>
    </row>
    <row r="784" spans="1:20" x14ac:dyDescent="0.2">
      <c r="A784" t="s">
        <v>2251</v>
      </c>
      <c r="B784" t="s">
        <v>614</v>
      </c>
      <c r="C784" t="s">
        <v>2252</v>
      </c>
      <c r="D784" t="s">
        <v>2253</v>
      </c>
      <c r="J784" t="s">
        <v>617</v>
      </c>
      <c r="K784" t="s">
        <v>618</v>
      </c>
      <c r="P784" t="s">
        <v>619</v>
      </c>
      <c r="Q784" t="s">
        <v>1606</v>
      </c>
      <c r="R784" t="s">
        <v>621</v>
      </c>
      <c r="S784" t="s">
        <v>622</v>
      </c>
      <c r="T784" s="3" t="str">
        <f>HYPERLINK("doors://fe-dorapcm3.de.bosch.com:36679/?version=2&amp;prodID=0&amp;view=00000015&amp;urn=urn:telelogic::1-52394082008461e6-O-8148-00059142","BSW_SWS_AR4_0_R2_DIODriver-8148")</f>
        <v>BSW_SWS_AR4_0_R2_DIODriver-8148</v>
      </c>
    </row>
    <row r="785" spans="1:20" x14ac:dyDescent="0.2">
      <c r="A785" t="s">
        <v>2254</v>
      </c>
      <c r="B785" t="s">
        <v>76</v>
      </c>
      <c r="C785" t="s">
        <v>2255</v>
      </c>
      <c r="D785" t="s">
        <v>2256</v>
      </c>
      <c r="T785" s="3" t="str">
        <f>HYPERLINK("doors://fe-dorapcm3.de.bosch.com:36679/?version=2&amp;prodID=0&amp;view=00000015&amp;urn=urn:telelogic::1-52394082008461e6-O-8149-00059142","BSW_SWS_AR4_0_R2_DIODriver-8149")</f>
        <v>BSW_SWS_AR4_0_R2_DIODriver-8149</v>
      </c>
    </row>
    <row r="786" spans="1:20" x14ac:dyDescent="0.2">
      <c r="A786" t="s">
        <v>2257</v>
      </c>
      <c r="B786" t="s">
        <v>21</v>
      </c>
      <c r="C786" t="s">
        <v>2258</v>
      </c>
      <c r="D786" s="2" t="s">
        <v>2259</v>
      </c>
      <c r="T786" s="3" t="str">
        <f>HYPERLINK("doors://fe-dorapcm3.de.bosch.com:36679/?version=2&amp;prodID=0&amp;view=00000015&amp;urn=urn:telelogic::1-52394082008461e6-O-8150-00059142","BSW_SWS_AR4_0_R2_DIODriver-8150")</f>
        <v>BSW_SWS_AR4_0_R2_DIODriver-8150</v>
      </c>
    </row>
    <row r="787" spans="1:20" x14ac:dyDescent="0.2">
      <c r="A787" t="s">
        <v>2260</v>
      </c>
      <c r="B787" t="s">
        <v>614</v>
      </c>
      <c r="C787" t="s">
        <v>2261</v>
      </c>
      <c r="D787" t="s">
        <v>2262</v>
      </c>
      <c r="J787" t="s">
        <v>617</v>
      </c>
      <c r="K787" t="s">
        <v>618</v>
      </c>
      <c r="P787" t="s">
        <v>619</v>
      </c>
      <c r="Q787" t="s">
        <v>620</v>
      </c>
      <c r="R787" t="s">
        <v>621</v>
      </c>
      <c r="S787" t="s">
        <v>622</v>
      </c>
      <c r="T787" s="3" t="str">
        <f>HYPERLINK("doors://fe-dorapcm3.de.bosch.com:36679/?version=2&amp;prodID=0&amp;view=00000015&amp;urn=urn:telelogic::1-52394082008461e6-O-8151-00059142","BSW_SWS_AR4_0_R2_DIODriver-8151")</f>
        <v>BSW_SWS_AR4_0_R2_DIODriver-8151</v>
      </c>
    </row>
    <row r="788" spans="1:20" x14ac:dyDescent="0.2">
      <c r="A788" t="s">
        <v>2263</v>
      </c>
      <c r="B788" t="s">
        <v>1617</v>
      </c>
      <c r="C788" t="s">
        <v>2264</v>
      </c>
      <c r="D788" s="5" t="s">
        <v>2038</v>
      </c>
      <c r="K788" t="s">
        <v>618</v>
      </c>
      <c r="P788" t="s">
        <v>619</v>
      </c>
      <c r="Q788" t="s">
        <v>620</v>
      </c>
      <c r="R788" t="s">
        <v>1860</v>
      </c>
      <c r="T788" s="3" t="str">
        <f>HYPERLINK("doors://fe-dorapcm3.de.bosch.com:36679/?version=2&amp;prodID=0&amp;view=00000015&amp;urn=urn:telelogic::1-52394082008461e6-O-8154-00059142","BSW_SWS_AR4_0_R2_DIODriver-8154")</f>
        <v>BSW_SWS_AR4_0_R2_DIODriver-8154</v>
      </c>
    </row>
    <row r="789" spans="1:20" x14ac:dyDescent="0.2">
      <c r="A789" t="s">
        <v>2265</v>
      </c>
      <c r="B789" t="s">
        <v>21</v>
      </c>
      <c r="C789" t="s">
        <v>2266</v>
      </c>
      <c r="D789" t="s">
        <v>2267</v>
      </c>
      <c r="T789" s="3" t="str">
        <f>HYPERLINK("doors://fe-dorapcm3.de.bosch.com:36679/?version=2&amp;prodID=0&amp;view=00000015&amp;urn=urn:telelogic::1-52394082008461e6-O-8155-00059142","BSW_SWS_AR4_0_R2_DIODriver-8155")</f>
        <v>BSW_SWS_AR4_0_R2_DIODriver-8155</v>
      </c>
    </row>
    <row r="790" spans="1:20" x14ac:dyDescent="0.2">
      <c r="A790" t="s">
        <v>2268</v>
      </c>
      <c r="B790" t="s">
        <v>1617</v>
      </c>
      <c r="C790" t="s">
        <v>2269</v>
      </c>
      <c r="D790" s="5" t="s">
        <v>2044</v>
      </c>
      <c r="K790" t="s">
        <v>618</v>
      </c>
      <c r="P790" t="s">
        <v>619</v>
      </c>
      <c r="Q790" t="s">
        <v>620</v>
      </c>
      <c r="R790" t="s">
        <v>1860</v>
      </c>
      <c r="T790" s="3" t="str">
        <f>HYPERLINK("doors://fe-dorapcm3.de.bosch.com:36679/?version=2&amp;prodID=0&amp;view=00000015&amp;urn=urn:telelogic::1-52394082008461e6-O-8157-00059142","BSW_SWS_AR4_0_R2_DIODriver-8157")</f>
        <v>BSW_SWS_AR4_0_R2_DIODriver-8157</v>
      </c>
    </row>
    <row r="791" spans="1:20" x14ac:dyDescent="0.2">
      <c r="A791" t="s">
        <v>2270</v>
      </c>
      <c r="B791" t="s">
        <v>21</v>
      </c>
      <c r="C791" t="s">
        <v>2271</v>
      </c>
      <c r="D791" t="s">
        <v>2130</v>
      </c>
      <c r="T791" s="3" t="str">
        <f>HYPERLINK("doors://fe-dorapcm3.de.bosch.com:36679/?version=2&amp;prodID=0&amp;view=00000015&amp;urn=urn:telelogic::1-52394082008461e6-O-8158-00059142","BSW_SWS_AR4_0_R2_DIODriver-8158")</f>
        <v>BSW_SWS_AR4_0_R2_DIODriver-8158</v>
      </c>
    </row>
    <row r="792" spans="1:20" x14ac:dyDescent="0.2">
      <c r="A792" t="s">
        <v>2272</v>
      </c>
      <c r="B792" t="s">
        <v>1617</v>
      </c>
      <c r="C792" t="s">
        <v>2273</v>
      </c>
      <c r="D792" s="5" t="s">
        <v>2050</v>
      </c>
      <c r="K792" t="s">
        <v>618</v>
      </c>
      <c r="P792" t="s">
        <v>619</v>
      </c>
      <c r="Q792" t="s">
        <v>620</v>
      </c>
      <c r="R792" t="s">
        <v>1860</v>
      </c>
      <c r="T792" s="3" t="str">
        <f>HYPERLINK("doors://fe-dorapcm3.de.bosch.com:36679/?version=2&amp;prodID=0&amp;view=00000015&amp;urn=urn:telelogic::1-52394082008461e6-O-8160-00059142","BSW_SWS_AR4_0_R2_DIODriver-8160")</f>
        <v>BSW_SWS_AR4_0_R2_DIODriver-8160</v>
      </c>
    </row>
    <row r="793" spans="1:20" x14ac:dyDescent="0.2">
      <c r="A793" t="s">
        <v>2274</v>
      </c>
      <c r="B793" t="s">
        <v>21</v>
      </c>
      <c r="C793" t="s">
        <v>2275</v>
      </c>
      <c r="D793" t="s">
        <v>2276</v>
      </c>
      <c r="T793" s="3" t="str">
        <f>HYPERLINK("doors://fe-dorapcm3.de.bosch.com:36679/?version=2&amp;prodID=0&amp;view=00000015&amp;urn=urn:telelogic::1-52394082008461e6-O-8161-00059142","BSW_SWS_AR4_0_R2_DIODriver-8161")</f>
        <v>BSW_SWS_AR4_0_R2_DIODriver-8161</v>
      </c>
    </row>
    <row r="794" spans="1:20" x14ac:dyDescent="0.2">
      <c r="A794" t="s">
        <v>2277</v>
      </c>
      <c r="B794" t="s">
        <v>21</v>
      </c>
      <c r="C794" t="s">
        <v>2278</v>
      </c>
      <c r="T794" s="3" t="str">
        <f>HYPERLINK("doors://fe-dorapcm3.de.bosch.com:36679/?version=2&amp;prodID=0&amp;view=00000015&amp;urn=urn:telelogic::1-52394082008461e6-O-8162-00059142","BSW_SWS_AR4_0_R2_DIODriver-8162")</f>
        <v>BSW_SWS_AR4_0_R2_DIODriver-8162</v>
      </c>
    </row>
    <row r="795" spans="1:20" x14ac:dyDescent="0.2">
      <c r="A795" t="s">
        <v>2279</v>
      </c>
      <c r="B795" t="s">
        <v>21</v>
      </c>
      <c r="C795" t="s">
        <v>2280</v>
      </c>
      <c r="T795" s="3" t="str">
        <f>HYPERLINK("doors://fe-dorapcm3.de.bosch.com:36679/?version=2&amp;prodID=0&amp;view=00000015&amp;urn=urn:telelogic::1-52394082008461e6-O-8163-00059142","BSW_SWS_AR4_0_R2_DIODriver-8163")</f>
        <v>BSW_SWS_AR4_0_R2_DIODriver-8163</v>
      </c>
    </row>
    <row r="796" spans="1:20" x14ac:dyDescent="0.2">
      <c r="A796" t="s">
        <v>2281</v>
      </c>
      <c r="B796" t="s">
        <v>1617</v>
      </c>
      <c r="C796" t="s">
        <v>2282</v>
      </c>
      <c r="D796" s="5" t="s">
        <v>447</v>
      </c>
      <c r="K796" t="s">
        <v>618</v>
      </c>
      <c r="P796" t="s">
        <v>619</v>
      </c>
      <c r="Q796" t="s">
        <v>620</v>
      </c>
      <c r="R796" t="s">
        <v>1860</v>
      </c>
      <c r="T796" s="3" t="str">
        <f>HYPERLINK("doors://fe-dorapcm3.de.bosch.com:36679/?version=2&amp;prodID=0&amp;view=00000015&amp;urn=urn:telelogic::1-52394082008461e6-O-8165-00059142","BSW_SWS_AR4_0_R2_DIODriver-8165")</f>
        <v>BSW_SWS_AR4_0_R2_DIODriver-8165</v>
      </c>
    </row>
    <row r="797" spans="1:20" x14ac:dyDescent="0.2">
      <c r="A797" t="s">
        <v>2283</v>
      </c>
      <c r="B797" t="s">
        <v>21</v>
      </c>
      <c r="C797" t="s">
        <v>2284</v>
      </c>
      <c r="D797" t="s">
        <v>2285</v>
      </c>
      <c r="T797" s="3" t="str">
        <f>HYPERLINK("doors://fe-dorapcm3.de.bosch.com:36679/?version=2&amp;prodID=0&amp;view=00000015&amp;urn=urn:telelogic::1-52394082008461e6-O-8166-00059142","BSW_SWS_AR4_0_R2_DIODriver-8166")</f>
        <v>BSW_SWS_AR4_0_R2_DIODriver-8166</v>
      </c>
    </row>
    <row r="798" spans="1:20" x14ac:dyDescent="0.2">
      <c r="A798" t="s">
        <v>2286</v>
      </c>
      <c r="B798" t="s">
        <v>614</v>
      </c>
      <c r="C798" t="s">
        <v>2287</v>
      </c>
      <c r="D798" t="s">
        <v>2288</v>
      </c>
      <c r="J798" t="s">
        <v>617</v>
      </c>
      <c r="K798" t="s">
        <v>618</v>
      </c>
      <c r="P798" t="s">
        <v>619</v>
      </c>
      <c r="Q798" t="s">
        <v>620</v>
      </c>
      <c r="R798" t="s">
        <v>621</v>
      </c>
      <c r="S798" t="s">
        <v>622</v>
      </c>
      <c r="T798" s="3" t="str">
        <f>HYPERLINK("doors://fe-dorapcm3.de.bosch.com:36679/?version=2&amp;prodID=0&amp;view=00000015&amp;urn=urn:telelogic::1-52394082008461e6-O-8167-00059142","BSW_SWS_AR4_0_R2_DIODriver-8167")</f>
        <v>BSW_SWS_AR4_0_R2_DIODriver-8167</v>
      </c>
    </row>
    <row r="799" spans="1:20" x14ac:dyDescent="0.2">
      <c r="A799" t="s">
        <v>2289</v>
      </c>
      <c r="B799" t="s">
        <v>21</v>
      </c>
      <c r="C799">
        <v>8.3000000000000007</v>
      </c>
      <c r="D799" s="2" t="s">
        <v>2290</v>
      </c>
      <c r="T799" s="3" t="str">
        <f>HYPERLINK("doors://fe-dorapcm3.de.bosch.com:36679/?version=2&amp;prodID=0&amp;view=00000015&amp;urn=urn:telelogic::1-52394082008461e6-O-8168-00059142","BSW_SWS_AR4_0_R2_DIODriver-8168")</f>
        <v>BSW_SWS_AR4_0_R2_DIODriver-8168</v>
      </c>
    </row>
    <row r="800" spans="1:20" x14ac:dyDescent="0.2">
      <c r="A800" t="s">
        <v>2291</v>
      </c>
      <c r="B800" t="s">
        <v>76</v>
      </c>
      <c r="C800" t="s">
        <v>2292</v>
      </c>
      <c r="D800" t="s">
        <v>2293</v>
      </c>
      <c r="T800" s="3" t="str">
        <f>HYPERLINK("doors://fe-dorapcm3.de.bosch.com:36679/?version=2&amp;prodID=0&amp;view=00000015&amp;urn=urn:telelogic::1-52394082008461e6-O-8169-00059142","BSW_SWS_AR4_0_R2_DIODriver-8169")</f>
        <v>BSW_SWS_AR4_0_R2_DIODriver-8169</v>
      </c>
    </row>
    <row r="801" spans="1:20" x14ac:dyDescent="0.2">
      <c r="A801" t="s">
        <v>2294</v>
      </c>
      <c r="B801" t="s">
        <v>21</v>
      </c>
      <c r="C801" t="s">
        <v>2295</v>
      </c>
      <c r="D801" s="2" t="s">
        <v>2296</v>
      </c>
      <c r="T801" s="3" t="str">
        <f>HYPERLINK("doors://fe-dorapcm3.de.bosch.com:36679/?version=2&amp;prodID=0&amp;view=00000015&amp;urn=urn:telelogic::1-52394082008461e6-O-8170-00059142","BSW_SWS_AR4_0_R2_DIODriver-8170")</f>
        <v>BSW_SWS_AR4_0_R2_DIODriver-8170</v>
      </c>
    </row>
    <row r="802" spans="1:20" x14ac:dyDescent="0.2">
      <c r="A802" t="s">
        <v>2297</v>
      </c>
      <c r="B802" t="s">
        <v>1771</v>
      </c>
      <c r="C802" t="s">
        <v>2298</v>
      </c>
      <c r="D802" s="2" t="s">
        <v>2299</v>
      </c>
      <c r="J802" t="s">
        <v>1673</v>
      </c>
      <c r="K802" t="s">
        <v>618</v>
      </c>
      <c r="P802" t="s">
        <v>619</v>
      </c>
      <c r="Q802" t="s">
        <v>620</v>
      </c>
      <c r="R802" t="s">
        <v>621</v>
      </c>
      <c r="S802" t="s">
        <v>622</v>
      </c>
      <c r="T802" s="3" t="str">
        <f>HYPERLINK("doors://fe-dorapcm3.de.bosch.com:36679/?version=2&amp;prodID=0&amp;view=00000015&amp;urn=urn:telelogic::1-52394082008461e6-O-8171-00059142","BSW_SWS_AR4_0_R2_DIODriver-8171")</f>
        <v>BSW_SWS_AR4_0_R2_DIODriver-8171</v>
      </c>
    </row>
    <row r="803" spans="1:20" x14ac:dyDescent="0.2">
      <c r="A803" t="s">
        <v>2300</v>
      </c>
      <c r="B803" t="s">
        <v>1617</v>
      </c>
      <c r="C803" t="s">
        <v>2301</v>
      </c>
      <c r="D803" s="5" t="s">
        <v>2302</v>
      </c>
      <c r="K803" t="s">
        <v>618</v>
      </c>
      <c r="P803" t="s">
        <v>619</v>
      </c>
      <c r="Q803" t="s">
        <v>620</v>
      </c>
      <c r="R803" t="s">
        <v>1860</v>
      </c>
      <c r="T803" s="3" t="str">
        <f>HYPERLINK("doors://fe-dorapcm3.de.bosch.com:36679/?version=2&amp;prodID=0&amp;view=00000015&amp;urn=urn:telelogic::1-52394082008461e6-O-8174-00059142","BSW_SWS_AR4_0_R2_DIODriver-8174")</f>
        <v>BSW_SWS_AR4_0_R2_DIODriver-8174</v>
      </c>
    </row>
    <row r="804" spans="1:20" x14ac:dyDescent="0.2">
      <c r="A804" t="s">
        <v>2303</v>
      </c>
      <c r="B804" t="s">
        <v>21</v>
      </c>
      <c r="C804" t="s">
        <v>2304</v>
      </c>
      <c r="D804" t="s">
        <v>2305</v>
      </c>
      <c r="T804" s="3" t="str">
        <f>HYPERLINK("doors://fe-dorapcm3.de.bosch.com:36679/?version=2&amp;prodID=0&amp;view=00000015&amp;urn=urn:telelogic::1-52394082008461e6-O-8175-00059142","BSW_SWS_AR4_0_R2_DIODriver-8175")</f>
        <v>BSW_SWS_AR4_0_R2_DIODriver-8175</v>
      </c>
    </row>
    <row r="805" spans="1:20" x14ac:dyDescent="0.2">
      <c r="A805" t="s">
        <v>2306</v>
      </c>
      <c r="B805" t="s">
        <v>1617</v>
      </c>
      <c r="C805" t="s">
        <v>2307</v>
      </c>
      <c r="D805" s="5" t="s">
        <v>2308</v>
      </c>
      <c r="K805" t="s">
        <v>618</v>
      </c>
      <c r="P805" t="s">
        <v>619</v>
      </c>
      <c r="Q805" t="s">
        <v>620</v>
      </c>
      <c r="R805" t="s">
        <v>1860</v>
      </c>
      <c r="T805" s="3" t="str">
        <f>HYPERLINK("doors://fe-dorapcm3.de.bosch.com:36679/?version=2&amp;prodID=0&amp;view=00000015&amp;urn=urn:telelogic::1-52394082008461e6-O-8177-00059142","BSW_SWS_AR4_0_R2_DIODriver-8177")</f>
        <v>BSW_SWS_AR4_0_R2_DIODriver-8177</v>
      </c>
    </row>
    <row r="806" spans="1:20" ht="38.25" x14ac:dyDescent="0.2">
      <c r="A806" t="s">
        <v>2309</v>
      </c>
      <c r="B806" t="s">
        <v>21</v>
      </c>
      <c r="C806" t="s">
        <v>2310</v>
      </c>
      <c r="D806" s="4" t="s">
        <v>2311</v>
      </c>
      <c r="T806" s="3" t="str">
        <f>HYPERLINK("doors://fe-dorapcm3.de.bosch.com:36679/?version=2&amp;prodID=0&amp;view=00000015&amp;urn=urn:telelogic::1-52394082008461e6-O-8178-00059142","BSW_SWS_AR4_0_R2_DIODriver-8178")</f>
        <v>BSW_SWS_AR4_0_R2_DIODriver-8178</v>
      </c>
    </row>
    <row r="807" spans="1:20" x14ac:dyDescent="0.2">
      <c r="A807" t="s">
        <v>2312</v>
      </c>
      <c r="B807" t="s">
        <v>1617</v>
      </c>
      <c r="C807" t="s">
        <v>2313</v>
      </c>
      <c r="D807" s="5" t="s">
        <v>2314</v>
      </c>
      <c r="K807" t="s">
        <v>618</v>
      </c>
      <c r="P807" t="s">
        <v>619</v>
      </c>
      <c r="Q807" t="s">
        <v>620</v>
      </c>
      <c r="R807" t="s">
        <v>1860</v>
      </c>
      <c r="T807" s="3" t="str">
        <f>HYPERLINK("doors://fe-dorapcm3.de.bosch.com:36679/?version=2&amp;prodID=0&amp;view=00000015&amp;urn=urn:telelogic::1-52394082008461e6-O-8180-00059142","BSW_SWS_AR4_0_R2_DIODriver-8180")</f>
        <v>BSW_SWS_AR4_0_R2_DIODriver-8180</v>
      </c>
    </row>
    <row r="808" spans="1:20" x14ac:dyDescent="0.2">
      <c r="A808" t="s">
        <v>2315</v>
      </c>
      <c r="B808" t="s">
        <v>21</v>
      </c>
      <c r="C808" t="s">
        <v>2316</v>
      </c>
      <c r="D808" t="s">
        <v>2200</v>
      </c>
      <c r="T808" s="3" t="str">
        <f>HYPERLINK("doors://fe-dorapcm3.de.bosch.com:36679/?version=2&amp;prodID=0&amp;view=00000015&amp;urn=urn:telelogic::1-52394082008461e6-O-8181-00059142","BSW_SWS_AR4_0_R2_DIODriver-8181")</f>
        <v>BSW_SWS_AR4_0_R2_DIODriver-8181</v>
      </c>
    </row>
    <row r="809" spans="1:20" x14ac:dyDescent="0.2">
      <c r="A809" t="s">
        <v>2317</v>
      </c>
      <c r="B809" t="s">
        <v>1617</v>
      </c>
      <c r="C809" t="s">
        <v>2318</v>
      </c>
      <c r="D809" s="5" t="s">
        <v>2319</v>
      </c>
      <c r="K809" t="s">
        <v>618</v>
      </c>
      <c r="P809" t="s">
        <v>619</v>
      </c>
      <c r="Q809" t="s">
        <v>620</v>
      </c>
      <c r="R809" t="s">
        <v>1860</v>
      </c>
      <c r="T809" s="3" t="str">
        <f>HYPERLINK("doors://fe-dorapcm3.de.bosch.com:36679/?version=2&amp;prodID=0&amp;view=00000015&amp;urn=urn:telelogic::1-52394082008461e6-O-8183-00059142","BSW_SWS_AR4_0_R2_DIODriver-8183")</f>
        <v>BSW_SWS_AR4_0_R2_DIODriver-8183</v>
      </c>
    </row>
    <row r="810" spans="1:20" x14ac:dyDescent="0.2">
      <c r="A810" t="s">
        <v>2320</v>
      </c>
      <c r="B810" t="s">
        <v>21</v>
      </c>
      <c r="C810" t="s">
        <v>2321</v>
      </c>
      <c r="D810" t="s">
        <v>2322</v>
      </c>
      <c r="T810" s="3" t="str">
        <f>HYPERLINK("doors://fe-dorapcm3.de.bosch.com:36679/?version=2&amp;prodID=0&amp;view=00000015&amp;urn=urn:telelogic::1-52394082008461e6-O-8184-00059142","BSW_SWS_AR4_0_R2_DIODriver-8184")</f>
        <v>BSW_SWS_AR4_0_R2_DIODriver-8184</v>
      </c>
    </row>
    <row r="811" spans="1:20" x14ac:dyDescent="0.2">
      <c r="A811" t="s">
        <v>2323</v>
      </c>
      <c r="B811" t="s">
        <v>1617</v>
      </c>
      <c r="C811" t="s">
        <v>2324</v>
      </c>
      <c r="D811" s="5" t="s">
        <v>2325</v>
      </c>
      <c r="K811" t="s">
        <v>618</v>
      </c>
      <c r="P811" t="s">
        <v>619</v>
      </c>
      <c r="Q811" t="s">
        <v>620</v>
      </c>
      <c r="R811" t="s">
        <v>1860</v>
      </c>
      <c r="T811" s="3" t="str">
        <f>HYPERLINK("doors://fe-dorapcm3.de.bosch.com:36679/?version=2&amp;prodID=0&amp;view=00000015&amp;urn=urn:telelogic::1-52394082008461e6-O-8186-00059142","BSW_SWS_AR4_0_R2_DIODriver-8186")</f>
        <v>BSW_SWS_AR4_0_R2_DIODriver-8186</v>
      </c>
    </row>
    <row r="812" spans="1:20" x14ac:dyDescent="0.2">
      <c r="A812" t="s">
        <v>2326</v>
      </c>
      <c r="B812" t="s">
        <v>21</v>
      </c>
      <c r="C812" t="s">
        <v>2327</v>
      </c>
      <c r="D812" t="s">
        <v>2328</v>
      </c>
      <c r="T812" s="3" t="str">
        <f>HYPERLINK("doors://fe-dorapcm3.de.bosch.com:36679/?version=2&amp;prodID=0&amp;view=00000015&amp;urn=urn:telelogic::1-52394082008461e6-O-8187-00059142","BSW_SWS_AR4_0_R2_DIODriver-8187")</f>
        <v>BSW_SWS_AR4_0_R2_DIODriver-8187</v>
      </c>
    </row>
    <row r="813" spans="1:20" x14ac:dyDescent="0.2">
      <c r="A813" t="s">
        <v>2329</v>
      </c>
      <c r="B813" t="s">
        <v>1617</v>
      </c>
      <c r="C813" t="s">
        <v>2330</v>
      </c>
      <c r="D813" s="5" t="s">
        <v>2331</v>
      </c>
      <c r="K813" t="s">
        <v>618</v>
      </c>
      <c r="P813" t="s">
        <v>619</v>
      </c>
      <c r="Q813" t="s">
        <v>620</v>
      </c>
      <c r="R813" t="s">
        <v>1860</v>
      </c>
      <c r="T813" s="3" t="str">
        <f>HYPERLINK("doors://fe-dorapcm3.de.bosch.com:36679/?version=2&amp;prodID=0&amp;view=00000015&amp;urn=urn:telelogic::1-52394082008461e6-O-8189-00059142","BSW_SWS_AR4_0_R2_DIODriver-8189")</f>
        <v>BSW_SWS_AR4_0_R2_DIODriver-8189</v>
      </c>
    </row>
    <row r="814" spans="1:20" x14ac:dyDescent="0.2">
      <c r="A814" t="s">
        <v>2332</v>
      </c>
      <c r="B814" t="s">
        <v>21</v>
      </c>
      <c r="C814" t="s">
        <v>2333</v>
      </c>
      <c r="D814" t="s">
        <v>2334</v>
      </c>
      <c r="T814" s="3" t="str">
        <f>HYPERLINK("doors://fe-dorapcm3.de.bosch.com:36679/?version=2&amp;prodID=0&amp;view=00000015&amp;urn=urn:telelogic::1-52394082008461e6-O-8190-00059142","BSW_SWS_AR4_0_R2_DIODriver-8190")</f>
        <v>BSW_SWS_AR4_0_R2_DIODriver-8190</v>
      </c>
    </row>
    <row r="815" spans="1:20" x14ac:dyDescent="0.2">
      <c r="A815" t="s">
        <v>2335</v>
      </c>
      <c r="B815" t="s">
        <v>21</v>
      </c>
      <c r="C815" t="s">
        <v>2336</v>
      </c>
      <c r="D815" t="s">
        <v>2337</v>
      </c>
      <c r="T815" s="3" t="str">
        <f>HYPERLINK("doors://fe-dorapcm3.de.bosch.com:36679/?version=2&amp;prodID=0&amp;view=00000015&amp;urn=urn:telelogic::1-52394082008461e6-O-8191-00059142","BSW_SWS_AR4_0_R2_DIODriver-8191")</f>
        <v>BSW_SWS_AR4_0_R2_DIODriver-8191</v>
      </c>
    </row>
    <row r="816" spans="1:20" x14ac:dyDescent="0.2">
      <c r="A816" t="s">
        <v>2338</v>
      </c>
      <c r="B816" t="s">
        <v>1617</v>
      </c>
      <c r="C816" t="s">
        <v>2339</v>
      </c>
      <c r="D816" s="5" t="s">
        <v>2340</v>
      </c>
      <c r="K816" t="s">
        <v>618</v>
      </c>
      <c r="P816" t="s">
        <v>619</v>
      </c>
      <c r="Q816" t="s">
        <v>620</v>
      </c>
      <c r="R816" t="s">
        <v>1860</v>
      </c>
      <c r="T816" s="3" t="str">
        <f>HYPERLINK("doors://fe-dorapcm3.de.bosch.com:36679/?version=2&amp;prodID=0&amp;view=00000015&amp;urn=urn:telelogic::1-52394082008461e6-O-8193-00059142","BSW_SWS_AR4_0_R2_DIODriver-8193")</f>
        <v>BSW_SWS_AR4_0_R2_DIODriver-8193</v>
      </c>
    </row>
    <row r="817" spans="1:20" x14ac:dyDescent="0.2">
      <c r="A817" t="s">
        <v>2341</v>
      </c>
      <c r="B817" t="s">
        <v>21</v>
      </c>
      <c r="C817" t="s">
        <v>2342</v>
      </c>
      <c r="D817" t="s">
        <v>2343</v>
      </c>
      <c r="T817" s="3" t="str">
        <f>HYPERLINK("doors://fe-dorapcm3.de.bosch.com:36679/?version=2&amp;prodID=0&amp;view=00000015&amp;urn=urn:telelogic::1-52394082008461e6-O-8194-00059142","BSW_SWS_AR4_0_R2_DIODriver-8194")</f>
        <v>BSW_SWS_AR4_0_R2_DIODriver-8194</v>
      </c>
    </row>
    <row r="818" spans="1:20" x14ac:dyDescent="0.2">
      <c r="A818" t="s">
        <v>2344</v>
      </c>
      <c r="B818" t="s">
        <v>1617</v>
      </c>
      <c r="C818" t="s">
        <v>2345</v>
      </c>
      <c r="D818" s="5" t="s">
        <v>2346</v>
      </c>
      <c r="K818" t="s">
        <v>618</v>
      </c>
      <c r="P818" t="s">
        <v>619</v>
      </c>
      <c r="Q818" t="s">
        <v>620</v>
      </c>
      <c r="R818" t="s">
        <v>1860</v>
      </c>
      <c r="T818" s="3" t="str">
        <f>HYPERLINK("doors://fe-dorapcm3.de.bosch.com:36679/?version=2&amp;prodID=0&amp;view=00000015&amp;urn=urn:telelogic::1-52394082008461e6-O-8196-00059142","BSW_SWS_AR4_0_R2_DIODriver-8196")</f>
        <v>BSW_SWS_AR4_0_R2_DIODriver-8196</v>
      </c>
    </row>
    <row r="819" spans="1:20" x14ac:dyDescent="0.2">
      <c r="A819" t="s">
        <v>2347</v>
      </c>
      <c r="B819" t="s">
        <v>21</v>
      </c>
      <c r="C819" t="s">
        <v>2348</v>
      </c>
      <c r="D819" t="s">
        <v>2343</v>
      </c>
      <c r="T819" s="3" t="str">
        <f>HYPERLINK("doors://fe-dorapcm3.de.bosch.com:36679/?version=2&amp;prodID=0&amp;view=00000015&amp;urn=urn:telelogic::1-52394082008461e6-O-8197-00059142","BSW_SWS_AR4_0_R2_DIODriver-8197")</f>
        <v>BSW_SWS_AR4_0_R2_DIODriver-8197</v>
      </c>
    </row>
    <row r="820" spans="1:20" x14ac:dyDescent="0.2">
      <c r="A820" t="s">
        <v>2349</v>
      </c>
      <c r="B820" t="s">
        <v>1617</v>
      </c>
      <c r="C820" t="s">
        <v>2350</v>
      </c>
      <c r="D820" s="5" t="s">
        <v>2351</v>
      </c>
      <c r="K820" t="s">
        <v>618</v>
      </c>
      <c r="P820" t="s">
        <v>619</v>
      </c>
      <c r="Q820" t="s">
        <v>620</v>
      </c>
      <c r="R820" t="s">
        <v>1860</v>
      </c>
      <c r="T820" s="3" t="str">
        <f>HYPERLINK("doors://fe-dorapcm3.de.bosch.com:36679/?version=2&amp;prodID=0&amp;view=00000015&amp;urn=urn:telelogic::1-52394082008461e6-O-8199-00059142","BSW_SWS_AR4_0_R2_DIODriver-8199")</f>
        <v>BSW_SWS_AR4_0_R2_DIODriver-8199</v>
      </c>
    </row>
    <row r="821" spans="1:20" x14ac:dyDescent="0.2">
      <c r="A821" t="s">
        <v>2352</v>
      </c>
      <c r="B821" t="s">
        <v>21</v>
      </c>
      <c r="C821" t="s">
        <v>2353</v>
      </c>
      <c r="D821" t="s">
        <v>2188</v>
      </c>
      <c r="T821" s="3" t="str">
        <f>HYPERLINK("doors://fe-dorapcm3.de.bosch.com:36679/?version=2&amp;prodID=0&amp;view=00000015&amp;urn=urn:telelogic::1-52394082008461e6-O-8200-00059142","BSW_SWS_AR4_0_R2_DIODriver-8200")</f>
        <v>BSW_SWS_AR4_0_R2_DIODriver-8200</v>
      </c>
    </row>
    <row r="822" spans="1:20" ht="25.5" x14ac:dyDescent="0.2">
      <c r="A822" t="s">
        <v>2354</v>
      </c>
      <c r="B822" t="s">
        <v>21</v>
      </c>
      <c r="C822" t="s">
        <v>2355</v>
      </c>
      <c r="D822" s="4" t="s">
        <v>2356</v>
      </c>
      <c r="T822" s="3" t="str">
        <f>HYPERLINK("doors://fe-dorapcm3.de.bosch.com:36679/?version=2&amp;prodID=0&amp;view=00000015&amp;urn=urn:telelogic::1-52394082008461e6-O-8201-00059142","BSW_SWS_AR4_0_R2_DIODriver-8201")</f>
        <v>BSW_SWS_AR4_0_R2_DIODriver-8201</v>
      </c>
    </row>
    <row r="823" spans="1:20" x14ac:dyDescent="0.2">
      <c r="A823" t="s">
        <v>2357</v>
      </c>
      <c r="B823" t="s">
        <v>1617</v>
      </c>
      <c r="C823" t="s">
        <v>2358</v>
      </c>
      <c r="D823" s="5" t="s">
        <v>447</v>
      </c>
      <c r="K823" t="s">
        <v>618</v>
      </c>
      <c r="P823" t="s">
        <v>619</v>
      </c>
      <c r="Q823" t="s">
        <v>620</v>
      </c>
      <c r="R823" t="s">
        <v>1860</v>
      </c>
      <c r="T823" s="3" t="str">
        <f>HYPERLINK("doors://fe-dorapcm3.de.bosch.com:36679/?version=2&amp;prodID=0&amp;view=00000015&amp;urn=urn:telelogic::1-52394082008461e6-O-8203-00059142","BSW_SWS_AR4_0_R2_DIODriver-8203")</f>
        <v>BSW_SWS_AR4_0_R2_DIODriver-8203</v>
      </c>
    </row>
    <row r="824" spans="1:20" x14ac:dyDescent="0.2">
      <c r="A824" t="s">
        <v>2359</v>
      </c>
      <c r="B824" t="s">
        <v>21</v>
      </c>
      <c r="C824" t="s">
        <v>2360</v>
      </c>
      <c r="D824" t="s">
        <v>2361</v>
      </c>
      <c r="T824" s="3" t="str">
        <f>HYPERLINK("doors://fe-dorapcm3.de.bosch.com:36679/?version=2&amp;prodID=0&amp;view=00000015&amp;urn=urn:telelogic::1-52394082008461e6-O-8204-00059142","BSW_SWS_AR4_0_R2_DIODriver-8204")</f>
        <v>BSW_SWS_AR4_0_R2_DIODriver-8204</v>
      </c>
    </row>
    <row r="825" spans="1:20" ht="102" x14ac:dyDescent="0.2">
      <c r="A825" t="s">
        <v>2362</v>
      </c>
      <c r="B825" t="s">
        <v>1771</v>
      </c>
      <c r="C825" t="s">
        <v>2363</v>
      </c>
      <c r="D825" s="2" t="s">
        <v>2364</v>
      </c>
      <c r="E825" s="4" t="s">
        <v>2365</v>
      </c>
      <c r="F825" t="s">
        <v>1621</v>
      </c>
      <c r="G825" s="4" t="s">
        <v>2366</v>
      </c>
      <c r="J825" t="s">
        <v>1673</v>
      </c>
      <c r="K825" t="s">
        <v>618</v>
      </c>
      <c r="P825" t="s">
        <v>619</v>
      </c>
      <c r="Q825" t="s">
        <v>620</v>
      </c>
      <c r="R825" t="s">
        <v>621</v>
      </c>
      <c r="S825" t="s">
        <v>622</v>
      </c>
      <c r="T825" s="3" t="str">
        <f>HYPERLINK("doors://fe-dorapcm3.de.bosch.com:36679/?version=2&amp;prodID=0&amp;view=00000015&amp;urn=urn:telelogic::1-52394082008461e6-O-8205-00059142","BSW_SWS_AR4_0_R2_DIODriver-8205")</f>
        <v>BSW_SWS_AR4_0_R2_DIODriver-8205</v>
      </c>
    </row>
    <row r="826" spans="1:20" x14ac:dyDescent="0.2">
      <c r="A826" t="s">
        <v>2367</v>
      </c>
      <c r="B826" t="s">
        <v>614</v>
      </c>
      <c r="C826" t="s">
        <v>2368</v>
      </c>
      <c r="D826" t="s">
        <v>2369</v>
      </c>
      <c r="J826" t="s">
        <v>1673</v>
      </c>
      <c r="K826" t="s">
        <v>618</v>
      </c>
      <c r="P826" t="s">
        <v>619</v>
      </c>
      <c r="Q826" t="s">
        <v>620</v>
      </c>
      <c r="R826" t="s">
        <v>621</v>
      </c>
      <c r="S826" t="s">
        <v>622</v>
      </c>
      <c r="T826" s="3" t="str">
        <f>HYPERLINK("doors://fe-dorapcm3.de.bosch.com:36679/?version=2&amp;prodID=0&amp;view=00000015&amp;urn=urn:telelogic::1-52394082008461e6-O-8206-00059142","BSW_SWS_AR4_0_R2_DIODriver-8206")</f>
        <v>BSW_SWS_AR4_0_R2_DIODriver-8206</v>
      </c>
    </row>
    <row r="827" spans="1:20" x14ac:dyDescent="0.2">
      <c r="A827" t="s">
        <v>2370</v>
      </c>
      <c r="B827" t="s">
        <v>76</v>
      </c>
      <c r="C827" t="s">
        <v>2371</v>
      </c>
      <c r="D827" t="s">
        <v>2372</v>
      </c>
      <c r="T827" s="3" t="str">
        <f>HYPERLINK("doors://fe-dorapcm3.de.bosch.com:36679/?version=2&amp;prodID=0&amp;view=00000015&amp;urn=urn:telelogic::1-52394082008461e6-O-8207-00059142","BSW_SWS_AR4_0_R2_DIODriver-8207")</f>
        <v>BSW_SWS_AR4_0_R2_DIODriver-8207</v>
      </c>
    </row>
    <row r="828" spans="1:20" x14ac:dyDescent="0.2">
      <c r="A828" t="s">
        <v>2373</v>
      </c>
      <c r="B828" t="s">
        <v>21</v>
      </c>
      <c r="C828" t="s">
        <v>2374</v>
      </c>
      <c r="D828" s="2" t="s">
        <v>2375</v>
      </c>
      <c r="T828" s="3" t="str">
        <f>HYPERLINK("doors://fe-dorapcm3.de.bosch.com:36679/?version=2&amp;prodID=0&amp;view=00000015&amp;urn=urn:telelogic::1-52394082008461e6-O-8208-00059142","BSW_SWS_AR4_0_R2_DIODriver-8208")</f>
        <v>BSW_SWS_AR4_0_R2_DIODriver-8208</v>
      </c>
    </row>
    <row r="829" spans="1:20" x14ac:dyDescent="0.2">
      <c r="A829" t="s">
        <v>2376</v>
      </c>
      <c r="B829" t="s">
        <v>1771</v>
      </c>
      <c r="C829" t="s">
        <v>2377</v>
      </c>
      <c r="D829" s="2" t="s">
        <v>2378</v>
      </c>
      <c r="J829" t="s">
        <v>1673</v>
      </c>
      <c r="K829" t="s">
        <v>618</v>
      </c>
      <c r="P829" t="s">
        <v>619</v>
      </c>
      <c r="Q829" t="s">
        <v>620</v>
      </c>
      <c r="R829" t="s">
        <v>621</v>
      </c>
      <c r="S829" t="s">
        <v>622</v>
      </c>
      <c r="T829" s="3" t="str">
        <f>HYPERLINK("doors://fe-dorapcm3.de.bosch.com:36679/?version=2&amp;prodID=0&amp;view=00000015&amp;urn=urn:telelogic::1-52394082008461e6-O-8209-00059142","BSW_SWS_AR4_0_R2_DIODriver-8209")</f>
        <v>BSW_SWS_AR4_0_R2_DIODriver-8209</v>
      </c>
    </row>
    <row r="830" spans="1:20" x14ac:dyDescent="0.2">
      <c r="A830" t="s">
        <v>2379</v>
      </c>
      <c r="B830" t="s">
        <v>1617</v>
      </c>
      <c r="C830" t="s">
        <v>2380</v>
      </c>
      <c r="D830" s="5" t="s">
        <v>2302</v>
      </c>
      <c r="K830" t="s">
        <v>618</v>
      </c>
      <c r="P830" t="s">
        <v>619</v>
      </c>
      <c r="Q830" t="s">
        <v>620</v>
      </c>
      <c r="R830" t="s">
        <v>1860</v>
      </c>
      <c r="T830" s="3" t="str">
        <f>HYPERLINK("doors://fe-dorapcm3.de.bosch.com:36679/?version=2&amp;prodID=0&amp;view=00000015&amp;urn=urn:telelogic::1-52394082008461e6-O-8212-00059142","BSW_SWS_AR4_0_R2_DIODriver-8212")</f>
        <v>BSW_SWS_AR4_0_R2_DIODriver-8212</v>
      </c>
    </row>
    <row r="831" spans="1:20" x14ac:dyDescent="0.2">
      <c r="A831" t="s">
        <v>2381</v>
      </c>
      <c r="B831" t="s">
        <v>21</v>
      </c>
      <c r="C831" t="s">
        <v>2382</v>
      </c>
      <c r="D831" t="s">
        <v>2383</v>
      </c>
      <c r="T831" s="3" t="str">
        <f>HYPERLINK("doors://fe-dorapcm3.de.bosch.com:36679/?version=2&amp;prodID=0&amp;view=00000015&amp;urn=urn:telelogic::1-52394082008461e6-O-8213-00059142","BSW_SWS_AR4_0_R2_DIODriver-8213")</f>
        <v>BSW_SWS_AR4_0_R2_DIODriver-8213</v>
      </c>
    </row>
    <row r="832" spans="1:20" x14ac:dyDescent="0.2">
      <c r="A832" t="s">
        <v>2384</v>
      </c>
      <c r="B832" t="s">
        <v>1617</v>
      </c>
      <c r="C832" t="s">
        <v>2385</v>
      </c>
      <c r="D832" s="5" t="s">
        <v>2308</v>
      </c>
      <c r="K832" t="s">
        <v>618</v>
      </c>
      <c r="P832" t="s">
        <v>619</v>
      </c>
      <c r="Q832" t="s">
        <v>620</v>
      </c>
      <c r="R832" t="s">
        <v>1860</v>
      </c>
      <c r="T832" s="3" t="str">
        <f>HYPERLINK("doors://fe-dorapcm3.de.bosch.com:36679/?version=2&amp;prodID=0&amp;view=00000015&amp;urn=urn:telelogic::1-52394082008461e6-O-8215-00059142","BSW_SWS_AR4_0_R2_DIODriver-8215")</f>
        <v>BSW_SWS_AR4_0_R2_DIODriver-8215</v>
      </c>
    </row>
    <row r="833" spans="1:20" ht="51" x14ac:dyDescent="0.2">
      <c r="A833" t="s">
        <v>2386</v>
      </c>
      <c r="B833" t="s">
        <v>21</v>
      </c>
      <c r="C833" t="s">
        <v>2387</v>
      </c>
      <c r="D833" s="4" t="s">
        <v>2388</v>
      </c>
      <c r="T833" s="3" t="str">
        <f>HYPERLINK("doors://fe-dorapcm3.de.bosch.com:36679/?version=2&amp;prodID=0&amp;view=00000015&amp;urn=urn:telelogic::1-52394082008461e6-O-8216-00059142","BSW_SWS_AR4_0_R2_DIODriver-8216")</f>
        <v>BSW_SWS_AR4_0_R2_DIODriver-8216</v>
      </c>
    </row>
    <row r="834" spans="1:20" x14ac:dyDescent="0.2">
      <c r="A834" t="s">
        <v>2389</v>
      </c>
      <c r="B834" t="s">
        <v>1617</v>
      </c>
      <c r="C834" t="s">
        <v>2390</v>
      </c>
      <c r="D834" s="5" t="s">
        <v>2314</v>
      </c>
      <c r="K834" t="s">
        <v>618</v>
      </c>
      <c r="P834" t="s">
        <v>619</v>
      </c>
      <c r="Q834" t="s">
        <v>620</v>
      </c>
      <c r="R834" t="s">
        <v>1860</v>
      </c>
      <c r="T834" s="3" t="str">
        <f>HYPERLINK("doors://fe-dorapcm3.de.bosch.com:36679/?version=2&amp;prodID=0&amp;view=00000015&amp;urn=urn:telelogic::1-52394082008461e6-O-8218-00059142","BSW_SWS_AR4_0_R2_DIODriver-8218")</f>
        <v>BSW_SWS_AR4_0_R2_DIODriver-8218</v>
      </c>
    </row>
    <row r="835" spans="1:20" x14ac:dyDescent="0.2">
      <c r="A835" t="s">
        <v>2391</v>
      </c>
      <c r="B835" t="s">
        <v>21</v>
      </c>
      <c r="C835" t="s">
        <v>2392</v>
      </c>
      <c r="D835" t="s">
        <v>2211</v>
      </c>
      <c r="T835" s="3" t="str">
        <f>HYPERLINK("doors://fe-dorapcm3.de.bosch.com:36679/?version=2&amp;prodID=0&amp;view=00000015&amp;urn=urn:telelogic::1-52394082008461e6-O-8219-00059142","BSW_SWS_AR4_0_R2_DIODriver-8219")</f>
        <v>BSW_SWS_AR4_0_R2_DIODriver-8219</v>
      </c>
    </row>
    <row r="836" spans="1:20" x14ac:dyDescent="0.2">
      <c r="A836" t="s">
        <v>2393</v>
      </c>
      <c r="B836" t="s">
        <v>1617</v>
      </c>
      <c r="C836" t="s">
        <v>2394</v>
      </c>
      <c r="D836" s="5" t="s">
        <v>2319</v>
      </c>
      <c r="K836" t="s">
        <v>618</v>
      </c>
      <c r="P836" t="s">
        <v>619</v>
      </c>
      <c r="Q836" t="s">
        <v>620</v>
      </c>
      <c r="R836" t="s">
        <v>1860</v>
      </c>
      <c r="T836" s="3" t="str">
        <f>HYPERLINK("doors://fe-dorapcm3.de.bosch.com:36679/?version=2&amp;prodID=0&amp;view=00000015&amp;urn=urn:telelogic::1-52394082008461e6-O-8221-00059142","BSW_SWS_AR4_0_R2_DIODriver-8221")</f>
        <v>BSW_SWS_AR4_0_R2_DIODriver-8221</v>
      </c>
    </row>
    <row r="837" spans="1:20" x14ac:dyDescent="0.2">
      <c r="A837" t="s">
        <v>2395</v>
      </c>
      <c r="B837" t="s">
        <v>21</v>
      </c>
      <c r="C837" t="s">
        <v>2396</v>
      </c>
      <c r="D837" t="s">
        <v>2322</v>
      </c>
      <c r="T837" s="3" t="str">
        <f>HYPERLINK("doors://fe-dorapcm3.de.bosch.com:36679/?version=2&amp;prodID=0&amp;view=00000015&amp;urn=urn:telelogic::1-52394082008461e6-O-8222-00059142","BSW_SWS_AR4_0_R2_DIODriver-8222")</f>
        <v>BSW_SWS_AR4_0_R2_DIODriver-8222</v>
      </c>
    </row>
    <row r="838" spans="1:20" x14ac:dyDescent="0.2">
      <c r="A838" t="s">
        <v>2397</v>
      </c>
      <c r="B838" t="s">
        <v>1617</v>
      </c>
      <c r="C838" t="s">
        <v>2398</v>
      </c>
      <c r="D838" s="5" t="s">
        <v>2325</v>
      </c>
      <c r="K838" t="s">
        <v>618</v>
      </c>
      <c r="P838" t="s">
        <v>619</v>
      </c>
      <c r="Q838" t="s">
        <v>620</v>
      </c>
      <c r="R838" t="s">
        <v>1860</v>
      </c>
      <c r="T838" s="3" t="str">
        <f>HYPERLINK("doors://fe-dorapcm3.de.bosch.com:36679/?version=2&amp;prodID=0&amp;view=00000015&amp;urn=urn:telelogic::1-52394082008461e6-O-8224-00059142","BSW_SWS_AR4_0_R2_DIODriver-8224")</f>
        <v>BSW_SWS_AR4_0_R2_DIODriver-8224</v>
      </c>
    </row>
    <row r="839" spans="1:20" x14ac:dyDescent="0.2">
      <c r="A839" t="s">
        <v>2399</v>
      </c>
      <c r="B839" t="s">
        <v>21</v>
      </c>
      <c r="C839" t="s">
        <v>2400</v>
      </c>
      <c r="D839" t="s">
        <v>2328</v>
      </c>
      <c r="T839" s="3" t="str">
        <f>HYPERLINK("doors://fe-dorapcm3.de.bosch.com:36679/?version=2&amp;prodID=0&amp;view=00000015&amp;urn=urn:telelogic::1-52394082008461e6-O-8225-00059142","BSW_SWS_AR4_0_R2_DIODriver-8225")</f>
        <v>BSW_SWS_AR4_0_R2_DIODriver-8225</v>
      </c>
    </row>
    <row r="840" spans="1:20" x14ac:dyDescent="0.2">
      <c r="A840" t="s">
        <v>2401</v>
      </c>
      <c r="B840" t="s">
        <v>1617</v>
      </c>
      <c r="C840" t="s">
        <v>2402</v>
      </c>
      <c r="D840" s="5" t="s">
        <v>2331</v>
      </c>
      <c r="K840" t="s">
        <v>618</v>
      </c>
      <c r="P840" t="s">
        <v>619</v>
      </c>
      <c r="Q840" t="s">
        <v>620</v>
      </c>
      <c r="R840" t="s">
        <v>1860</v>
      </c>
      <c r="T840" s="3" t="str">
        <f>HYPERLINK("doors://fe-dorapcm3.de.bosch.com:36679/?version=2&amp;prodID=0&amp;view=00000015&amp;urn=urn:telelogic::1-52394082008461e6-O-8227-00059142","BSW_SWS_AR4_0_R2_DIODriver-8227")</f>
        <v>BSW_SWS_AR4_0_R2_DIODriver-8227</v>
      </c>
    </row>
    <row r="841" spans="1:20" x14ac:dyDescent="0.2">
      <c r="A841" t="s">
        <v>2403</v>
      </c>
      <c r="B841" t="s">
        <v>21</v>
      </c>
      <c r="C841" t="s">
        <v>2404</v>
      </c>
      <c r="D841" t="s">
        <v>2334</v>
      </c>
      <c r="T841" s="3" t="str">
        <f>HYPERLINK("doors://fe-dorapcm3.de.bosch.com:36679/?version=2&amp;prodID=0&amp;view=00000015&amp;urn=urn:telelogic::1-52394082008461e6-O-8228-00059142","BSW_SWS_AR4_0_R2_DIODriver-8228")</f>
        <v>BSW_SWS_AR4_0_R2_DIODriver-8228</v>
      </c>
    </row>
    <row r="842" spans="1:20" x14ac:dyDescent="0.2">
      <c r="A842" t="s">
        <v>2405</v>
      </c>
      <c r="B842" t="s">
        <v>21</v>
      </c>
      <c r="C842" t="s">
        <v>2406</v>
      </c>
      <c r="D842" t="s">
        <v>2337</v>
      </c>
      <c r="T842" s="3" t="str">
        <f>HYPERLINK("doors://fe-dorapcm3.de.bosch.com:36679/?version=2&amp;prodID=0&amp;view=00000015&amp;urn=urn:telelogic::1-52394082008461e6-O-8229-00059142","BSW_SWS_AR4_0_R2_DIODriver-8229")</f>
        <v>BSW_SWS_AR4_0_R2_DIODriver-8229</v>
      </c>
    </row>
    <row r="843" spans="1:20" x14ac:dyDescent="0.2">
      <c r="A843" t="s">
        <v>2407</v>
      </c>
      <c r="B843" t="s">
        <v>1617</v>
      </c>
      <c r="C843" t="s">
        <v>2408</v>
      </c>
      <c r="K843" t="s">
        <v>618</v>
      </c>
      <c r="P843" t="s">
        <v>619</v>
      </c>
      <c r="Q843" t="s">
        <v>620</v>
      </c>
      <c r="R843" t="s">
        <v>1860</v>
      </c>
      <c r="T843" s="3" t="str">
        <f>HYPERLINK("doors://fe-dorapcm3.de.bosch.com:36679/?version=2&amp;prodID=0&amp;view=00000015&amp;urn=urn:telelogic::1-52394082008461e6-O-8231-00059142","BSW_SWS_AR4_0_R2_DIODriver-8231")</f>
        <v>BSW_SWS_AR4_0_R2_DIODriver-8231</v>
      </c>
    </row>
    <row r="844" spans="1:20" x14ac:dyDescent="0.2">
      <c r="A844" t="s">
        <v>2409</v>
      </c>
      <c r="B844" t="s">
        <v>21</v>
      </c>
      <c r="C844" t="s">
        <v>2410</v>
      </c>
      <c r="D844" t="s">
        <v>2411</v>
      </c>
      <c r="T844" s="3" t="str">
        <f>HYPERLINK("doors://fe-dorapcm3.de.bosch.com:36679/?version=2&amp;prodID=0&amp;view=00000015&amp;urn=urn:telelogic::1-52394082008461e6-O-8232-00059142","BSW_SWS_AR4_0_R2_DIODriver-8232")</f>
        <v>BSW_SWS_AR4_0_R2_DIODriver-8232</v>
      </c>
    </row>
    <row r="845" spans="1:20" x14ac:dyDescent="0.2">
      <c r="A845" t="s">
        <v>2412</v>
      </c>
      <c r="B845" t="s">
        <v>21</v>
      </c>
      <c r="C845" t="s">
        <v>2413</v>
      </c>
      <c r="D845" t="s">
        <v>2414</v>
      </c>
      <c r="T845" s="3" t="str">
        <f>HYPERLINK("doors://fe-dorapcm3.de.bosch.com:36679/?version=2&amp;prodID=0&amp;view=00000015&amp;urn=urn:telelogic::1-52394082008461e6-O-8233-00059142","BSW_SWS_AR4_0_R2_DIODriver-8233")</f>
        <v>BSW_SWS_AR4_0_R2_DIODriver-8233</v>
      </c>
    </row>
    <row r="846" spans="1:20" x14ac:dyDescent="0.2">
      <c r="A846" t="s">
        <v>2415</v>
      </c>
      <c r="B846" t="s">
        <v>1617</v>
      </c>
      <c r="C846" t="s">
        <v>2416</v>
      </c>
      <c r="D846" s="5" t="s">
        <v>2340</v>
      </c>
      <c r="K846" t="s">
        <v>618</v>
      </c>
      <c r="P846" t="s">
        <v>619</v>
      </c>
      <c r="Q846" t="s">
        <v>620</v>
      </c>
      <c r="R846" t="s">
        <v>1860</v>
      </c>
      <c r="T846" s="3" t="str">
        <f>HYPERLINK("doors://fe-dorapcm3.de.bosch.com:36679/?version=2&amp;prodID=0&amp;view=00000015&amp;urn=urn:telelogic::1-52394082008461e6-O-8235-00059142","BSW_SWS_AR4_0_R2_DIODriver-8235")</f>
        <v>BSW_SWS_AR4_0_R2_DIODriver-8235</v>
      </c>
    </row>
    <row r="847" spans="1:20" x14ac:dyDescent="0.2">
      <c r="A847" t="s">
        <v>2417</v>
      </c>
      <c r="B847" t="s">
        <v>21</v>
      </c>
      <c r="C847" t="s">
        <v>2418</v>
      </c>
      <c r="D847" t="s">
        <v>2343</v>
      </c>
      <c r="T847" s="3" t="str">
        <f>HYPERLINK("doors://fe-dorapcm3.de.bosch.com:36679/?version=2&amp;prodID=0&amp;view=00000015&amp;urn=urn:telelogic::1-52394082008461e6-O-8236-00059142","BSW_SWS_AR4_0_R2_DIODriver-8236")</f>
        <v>BSW_SWS_AR4_0_R2_DIODriver-8236</v>
      </c>
    </row>
    <row r="848" spans="1:20" x14ac:dyDescent="0.2">
      <c r="A848" t="s">
        <v>2419</v>
      </c>
      <c r="B848" t="s">
        <v>1617</v>
      </c>
      <c r="C848" t="s">
        <v>2420</v>
      </c>
      <c r="D848" s="5" t="s">
        <v>2346</v>
      </c>
      <c r="K848" t="s">
        <v>618</v>
      </c>
      <c r="P848" t="s">
        <v>619</v>
      </c>
      <c r="Q848" t="s">
        <v>620</v>
      </c>
      <c r="R848" t="s">
        <v>1860</v>
      </c>
      <c r="T848" s="3" t="str">
        <f>HYPERLINK("doors://fe-dorapcm3.de.bosch.com:36679/?version=2&amp;prodID=0&amp;view=00000015&amp;urn=urn:telelogic::1-52394082008461e6-O-8238-00059142","BSW_SWS_AR4_0_R2_DIODriver-8238")</f>
        <v>BSW_SWS_AR4_0_R2_DIODriver-8238</v>
      </c>
    </row>
    <row r="849" spans="1:20" x14ac:dyDescent="0.2">
      <c r="A849" t="s">
        <v>2421</v>
      </c>
      <c r="B849" t="s">
        <v>21</v>
      </c>
      <c r="C849" t="s">
        <v>2422</v>
      </c>
      <c r="D849" t="s">
        <v>2343</v>
      </c>
      <c r="T849" s="3" t="str">
        <f>HYPERLINK("doors://fe-dorapcm3.de.bosch.com:36679/?version=2&amp;prodID=0&amp;view=00000015&amp;urn=urn:telelogic::1-52394082008461e6-O-8239-00059142","BSW_SWS_AR4_0_R2_DIODriver-8239")</f>
        <v>BSW_SWS_AR4_0_R2_DIODriver-8239</v>
      </c>
    </row>
    <row r="850" spans="1:20" x14ac:dyDescent="0.2">
      <c r="A850" t="s">
        <v>2423</v>
      </c>
      <c r="B850" t="s">
        <v>1617</v>
      </c>
      <c r="C850" t="s">
        <v>2424</v>
      </c>
      <c r="D850" s="5" t="s">
        <v>2351</v>
      </c>
      <c r="K850" t="s">
        <v>618</v>
      </c>
      <c r="P850" t="s">
        <v>619</v>
      </c>
      <c r="Q850" t="s">
        <v>620</v>
      </c>
      <c r="R850" t="s">
        <v>1860</v>
      </c>
      <c r="T850" s="3" t="str">
        <f>HYPERLINK("doors://fe-dorapcm3.de.bosch.com:36679/?version=2&amp;prodID=0&amp;view=00000015&amp;urn=urn:telelogic::1-52394082008461e6-O-8241-00059142","BSW_SWS_AR4_0_R2_DIODriver-8241")</f>
        <v>BSW_SWS_AR4_0_R2_DIODriver-8241</v>
      </c>
    </row>
    <row r="851" spans="1:20" x14ac:dyDescent="0.2">
      <c r="A851" t="s">
        <v>2425</v>
      </c>
      <c r="B851" t="s">
        <v>21</v>
      </c>
      <c r="C851" t="s">
        <v>2426</v>
      </c>
      <c r="D851" t="s">
        <v>2343</v>
      </c>
      <c r="T851" s="3" t="str">
        <f>HYPERLINK("doors://fe-dorapcm3.de.bosch.com:36679/?version=2&amp;prodID=0&amp;view=00000015&amp;urn=urn:telelogic::1-52394082008461e6-O-8242-00059142","BSW_SWS_AR4_0_R2_DIODriver-8242")</f>
        <v>BSW_SWS_AR4_0_R2_DIODriver-8242</v>
      </c>
    </row>
    <row r="852" spans="1:20" x14ac:dyDescent="0.2">
      <c r="A852" t="s">
        <v>2427</v>
      </c>
      <c r="B852" t="s">
        <v>1617</v>
      </c>
      <c r="C852" t="s">
        <v>2428</v>
      </c>
      <c r="D852" s="5" t="s">
        <v>447</v>
      </c>
      <c r="K852" t="s">
        <v>618</v>
      </c>
      <c r="P852" t="s">
        <v>619</v>
      </c>
      <c r="Q852" t="s">
        <v>620</v>
      </c>
      <c r="R852" t="s">
        <v>1860</v>
      </c>
      <c r="T852" s="3" t="str">
        <f>HYPERLINK("doors://fe-dorapcm3.de.bosch.com:36679/?version=2&amp;prodID=0&amp;view=00000015&amp;urn=urn:telelogic::1-52394082008461e6-O-8244-00059142","BSW_SWS_AR4_0_R2_DIODriver-8244")</f>
        <v>BSW_SWS_AR4_0_R2_DIODriver-8244</v>
      </c>
    </row>
    <row r="853" spans="1:20" x14ac:dyDescent="0.2">
      <c r="A853" t="s">
        <v>2429</v>
      </c>
      <c r="B853" t="s">
        <v>21</v>
      </c>
      <c r="C853" t="s">
        <v>2430</v>
      </c>
      <c r="D853" t="s">
        <v>2431</v>
      </c>
      <c r="T853" s="3" t="str">
        <f>HYPERLINK("doors://fe-dorapcm3.de.bosch.com:36679/?version=2&amp;prodID=0&amp;view=00000015&amp;urn=urn:telelogic::1-52394082008461e6-O-8245-00059142","BSW_SWS_AR4_0_R2_DIODriver-8245")</f>
        <v>BSW_SWS_AR4_0_R2_DIODriver-8245</v>
      </c>
    </row>
    <row r="854" spans="1:20" ht="140.25" x14ac:dyDescent="0.2">
      <c r="A854" t="s">
        <v>2432</v>
      </c>
      <c r="B854" t="s">
        <v>1617</v>
      </c>
      <c r="C854" t="s">
        <v>2433</v>
      </c>
      <c r="D854" t="s">
        <v>2434</v>
      </c>
      <c r="E854" s="4" t="s">
        <v>2435</v>
      </c>
      <c r="F854" t="s">
        <v>1621</v>
      </c>
      <c r="G854" s="4" t="s">
        <v>2436</v>
      </c>
      <c r="J854" t="s">
        <v>1673</v>
      </c>
      <c r="K854" t="s">
        <v>618</v>
      </c>
      <c r="P854" t="s">
        <v>619</v>
      </c>
      <c r="Q854" t="s">
        <v>620</v>
      </c>
      <c r="R854" t="s">
        <v>621</v>
      </c>
      <c r="S854" t="s">
        <v>622</v>
      </c>
      <c r="T854" s="3" t="str">
        <f>HYPERLINK("doors://fe-dorapcm3.de.bosch.com:36679/?version=2&amp;prodID=0&amp;view=00000015&amp;urn=urn:telelogic::1-52394082008461e6-O-8246-00059142","BSW_SWS_AR4_0_R2_DIODriver-8246")</f>
        <v>BSW_SWS_AR4_0_R2_DIODriver-8246</v>
      </c>
    </row>
    <row r="855" spans="1:20" ht="140.25" x14ac:dyDescent="0.2">
      <c r="A855" t="s">
        <v>2437</v>
      </c>
      <c r="B855" t="s">
        <v>1617</v>
      </c>
      <c r="C855" t="s">
        <v>2438</v>
      </c>
      <c r="D855" t="s">
        <v>2439</v>
      </c>
      <c r="E855" s="4" t="s">
        <v>2440</v>
      </c>
      <c r="F855" t="s">
        <v>1621</v>
      </c>
      <c r="G855" s="4" t="s">
        <v>2441</v>
      </c>
      <c r="J855" t="s">
        <v>1673</v>
      </c>
      <c r="K855" t="s">
        <v>618</v>
      </c>
      <c r="P855" t="s">
        <v>619</v>
      </c>
      <c r="Q855" t="s">
        <v>620</v>
      </c>
      <c r="R855" t="s">
        <v>621</v>
      </c>
      <c r="S855" t="s">
        <v>622</v>
      </c>
      <c r="T855" s="3" t="str">
        <f>HYPERLINK("doors://fe-dorapcm3.de.bosch.com:36679/?version=2&amp;prodID=0&amp;view=00000015&amp;urn=urn:telelogic::1-52394082008461e6-O-8247-00059142","BSW_SWS_AR4_0_R2_DIODriver-8247")</f>
        <v>BSW_SWS_AR4_0_R2_DIODriver-8247</v>
      </c>
    </row>
    <row r="856" spans="1:20" ht="153" x14ac:dyDescent="0.2">
      <c r="A856" t="s">
        <v>2442</v>
      </c>
      <c r="B856" t="s">
        <v>1617</v>
      </c>
      <c r="C856" t="s">
        <v>2443</v>
      </c>
      <c r="D856" t="s">
        <v>2444</v>
      </c>
      <c r="E856" s="4" t="s">
        <v>2445</v>
      </c>
      <c r="F856" t="s">
        <v>1621</v>
      </c>
      <c r="G856" s="4" t="s">
        <v>2446</v>
      </c>
      <c r="J856" t="s">
        <v>1673</v>
      </c>
      <c r="K856" t="s">
        <v>618</v>
      </c>
      <c r="P856" t="s">
        <v>619</v>
      </c>
      <c r="Q856" t="s">
        <v>620</v>
      </c>
      <c r="R856" t="s">
        <v>621</v>
      </c>
      <c r="S856" t="s">
        <v>622</v>
      </c>
      <c r="T856" s="3" t="str">
        <f>HYPERLINK("doors://fe-dorapcm3.de.bosch.com:36679/?version=2&amp;prodID=0&amp;view=00000015&amp;urn=urn:telelogic::1-52394082008461e6-O-8248-00059142","BSW_SWS_AR4_0_R2_DIODriver-8248")</f>
        <v>BSW_SWS_AR4_0_R2_DIODriver-8248</v>
      </c>
    </row>
    <row r="857" spans="1:20" x14ac:dyDescent="0.2">
      <c r="A857" t="s">
        <v>2447</v>
      </c>
      <c r="B857" t="s">
        <v>76</v>
      </c>
      <c r="C857" t="s">
        <v>2448</v>
      </c>
      <c r="D857" t="s">
        <v>2449</v>
      </c>
      <c r="T857" s="3" t="str">
        <f>HYPERLINK("doors://fe-dorapcm3.de.bosch.com:36679/?version=2&amp;prodID=0&amp;view=00000015&amp;urn=urn:telelogic::1-52394082008461e6-O-8249-00059142","BSW_SWS_AR4_0_R2_DIODriver-8249")</f>
        <v>BSW_SWS_AR4_0_R2_DIODriver-8249</v>
      </c>
    </row>
    <row r="858" spans="1:20" x14ac:dyDescent="0.2">
      <c r="A858" t="s">
        <v>2450</v>
      </c>
      <c r="B858" t="s">
        <v>21</v>
      </c>
      <c r="C858" t="s">
        <v>2451</v>
      </c>
      <c r="D858" s="2" t="s">
        <v>2452</v>
      </c>
      <c r="T858" s="3" t="str">
        <f>HYPERLINK("doors://fe-dorapcm3.de.bosch.com:36679/?version=2&amp;prodID=0&amp;view=00000015&amp;urn=urn:telelogic::1-52394082008461e6-O-8250-00059142","BSW_SWS_AR4_0_R2_DIODriver-8250")</f>
        <v>BSW_SWS_AR4_0_R2_DIODriver-8250</v>
      </c>
    </row>
    <row r="859" spans="1:20" x14ac:dyDescent="0.2">
      <c r="A859" t="s">
        <v>2453</v>
      </c>
      <c r="B859" t="s">
        <v>1771</v>
      </c>
      <c r="C859" t="s">
        <v>2454</v>
      </c>
      <c r="D859" s="2" t="s">
        <v>2455</v>
      </c>
      <c r="J859" t="s">
        <v>2456</v>
      </c>
      <c r="K859" t="s">
        <v>618</v>
      </c>
      <c r="P859" t="s">
        <v>619</v>
      </c>
      <c r="Q859" t="s">
        <v>1606</v>
      </c>
      <c r="R859" t="s">
        <v>621</v>
      </c>
      <c r="S859" t="s">
        <v>622</v>
      </c>
      <c r="T859" s="3" t="str">
        <f>HYPERLINK("doors://fe-dorapcm3.de.bosch.com:36679/?version=2&amp;prodID=0&amp;view=00000015&amp;urn=urn:telelogic::1-52394082008461e6-O-8251-00059142","BSW_SWS_AR4_0_R2_DIODriver-8251")</f>
        <v>BSW_SWS_AR4_0_R2_DIODriver-8251</v>
      </c>
    </row>
    <row r="860" spans="1:20" x14ac:dyDescent="0.2">
      <c r="A860" t="s">
        <v>2457</v>
      </c>
      <c r="B860" t="s">
        <v>1617</v>
      </c>
      <c r="C860" t="s">
        <v>2458</v>
      </c>
      <c r="D860" s="5" t="s">
        <v>2302</v>
      </c>
      <c r="K860" t="s">
        <v>618</v>
      </c>
      <c r="P860" t="s">
        <v>619</v>
      </c>
      <c r="Q860" t="s">
        <v>620</v>
      </c>
      <c r="R860" t="s">
        <v>1860</v>
      </c>
      <c r="T860" s="3" t="str">
        <f>HYPERLINK("doors://fe-dorapcm3.de.bosch.com:36679/?version=2&amp;prodID=0&amp;view=00000015&amp;urn=urn:telelogic::1-52394082008461e6-O-8254-00059142","BSW_SWS_AR4_0_R2_DIODriver-8254")</f>
        <v>BSW_SWS_AR4_0_R2_DIODriver-8254</v>
      </c>
    </row>
    <row r="861" spans="1:20" x14ac:dyDescent="0.2">
      <c r="A861" t="s">
        <v>2459</v>
      </c>
      <c r="B861" t="s">
        <v>21</v>
      </c>
      <c r="C861" t="s">
        <v>2460</v>
      </c>
      <c r="D861" t="s">
        <v>2461</v>
      </c>
      <c r="T861" s="3" t="str">
        <f>HYPERLINK("doors://fe-dorapcm3.de.bosch.com:36679/?version=2&amp;prodID=0&amp;view=00000015&amp;urn=urn:telelogic::1-52394082008461e6-O-8255-00059142","BSW_SWS_AR4_0_R2_DIODriver-8255")</f>
        <v>BSW_SWS_AR4_0_R2_DIODriver-8255</v>
      </c>
    </row>
    <row r="862" spans="1:20" x14ac:dyDescent="0.2">
      <c r="A862" t="s">
        <v>2462</v>
      </c>
      <c r="B862" t="s">
        <v>1617</v>
      </c>
      <c r="C862" t="s">
        <v>2463</v>
      </c>
      <c r="D862" s="5" t="s">
        <v>2308</v>
      </c>
      <c r="K862" t="s">
        <v>618</v>
      </c>
      <c r="P862" t="s">
        <v>619</v>
      </c>
      <c r="Q862" t="s">
        <v>620</v>
      </c>
      <c r="R862" t="s">
        <v>1860</v>
      </c>
      <c r="T862" s="3" t="str">
        <f>HYPERLINK("doors://fe-dorapcm3.de.bosch.com:36679/?version=2&amp;prodID=0&amp;view=00000015&amp;urn=urn:telelogic::1-52394082008461e6-O-8257-00059142","BSW_SWS_AR4_0_R2_DIODriver-8257")</f>
        <v>BSW_SWS_AR4_0_R2_DIODriver-8257</v>
      </c>
    </row>
    <row r="863" spans="1:20" ht="38.25" x14ac:dyDescent="0.2">
      <c r="A863" t="s">
        <v>2464</v>
      </c>
      <c r="B863" t="s">
        <v>21</v>
      </c>
      <c r="C863" t="s">
        <v>2465</v>
      </c>
      <c r="D863" s="4" t="s">
        <v>2466</v>
      </c>
      <c r="T863" s="3" t="str">
        <f>HYPERLINK("doors://fe-dorapcm3.de.bosch.com:36679/?version=2&amp;prodID=0&amp;view=00000015&amp;urn=urn:telelogic::1-52394082008461e6-O-8258-00059142","BSW_SWS_AR4_0_R2_DIODriver-8258")</f>
        <v>BSW_SWS_AR4_0_R2_DIODriver-8258</v>
      </c>
    </row>
    <row r="864" spans="1:20" x14ac:dyDescent="0.2">
      <c r="A864" t="s">
        <v>2467</v>
      </c>
      <c r="B864" t="s">
        <v>1617</v>
      </c>
      <c r="C864" t="s">
        <v>2468</v>
      </c>
      <c r="D864" s="5" t="s">
        <v>2314</v>
      </c>
      <c r="K864" t="s">
        <v>618</v>
      </c>
      <c r="P864" t="s">
        <v>619</v>
      </c>
      <c r="Q864" t="s">
        <v>620</v>
      </c>
      <c r="R864" t="s">
        <v>1860</v>
      </c>
      <c r="T864" s="3" t="str">
        <f>HYPERLINK("doors://fe-dorapcm3.de.bosch.com:36679/?version=2&amp;prodID=0&amp;view=00000015&amp;urn=urn:telelogic::1-52394082008461e6-O-8260-00059142","BSW_SWS_AR4_0_R2_DIODriver-8260")</f>
        <v>BSW_SWS_AR4_0_R2_DIODriver-8260</v>
      </c>
    </row>
    <row r="865" spans="1:20" x14ac:dyDescent="0.2">
      <c r="A865" t="s">
        <v>2469</v>
      </c>
      <c r="B865" t="s">
        <v>21</v>
      </c>
      <c r="C865" t="s">
        <v>2470</v>
      </c>
      <c r="D865" t="s">
        <v>2471</v>
      </c>
      <c r="T865" s="3" t="str">
        <f>HYPERLINK("doors://fe-dorapcm3.de.bosch.com:36679/?version=2&amp;prodID=0&amp;view=00000015&amp;urn=urn:telelogic::1-52394082008461e6-O-8261-00059142","BSW_SWS_AR4_0_R2_DIODriver-8261")</f>
        <v>BSW_SWS_AR4_0_R2_DIODriver-8261</v>
      </c>
    </row>
    <row r="866" spans="1:20" x14ac:dyDescent="0.2">
      <c r="A866" t="s">
        <v>2472</v>
      </c>
      <c r="B866" t="s">
        <v>1617</v>
      </c>
      <c r="C866" t="s">
        <v>2473</v>
      </c>
      <c r="D866" s="5" t="s">
        <v>2319</v>
      </c>
      <c r="K866" t="s">
        <v>618</v>
      </c>
      <c r="P866" t="s">
        <v>619</v>
      </c>
      <c r="Q866" t="s">
        <v>620</v>
      </c>
      <c r="R866" t="s">
        <v>1860</v>
      </c>
      <c r="T866" s="3" t="str">
        <f>HYPERLINK("doors://fe-dorapcm3.de.bosch.com:36679/?version=2&amp;prodID=0&amp;view=00000015&amp;urn=urn:telelogic::1-52394082008461e6-O-8263-00059142","BSW_SWS_AR4_0_R2_DIODriver-8263")</f>
        <v>BSW_SWS_AR4_0_R2_DIODriver-8263</v>
      </c>
    </row>
    <row r="867" spans="1:20" x14ac:dyDescent="0.2">
      <c r="A867" t="s">
        <v>2474</v>
      </c>
      <c r="B867" t="s">
        <v>21</v>
      </c>
      <c r="C867" t="s">
        <v>2475</v>
      </c>
      <c r="D867" t="s">
        <v>2322</v>
      </c>
      <c r="T867" s="3" t="str">
        <f>HYPERLINK("doors://fe-dorapcm3.de.bosch.com:36679/?version=2&amp;prodID=0&amp;view=00000015&amp;urn=urn:telelogic::1-52394082008461e6-O-8264-00059142","BSW_SWS_AR4_0_R2_DIODriver-8264")</f>
        <v>BSW_SWS_AR4_0_R2_DIODriver-8264</v>
      </c>
    </row>
    <row r="868" spans="1:20" x14ac:dyDescent="0.2">
      <c r="A868" t="s">
        <v>2476</v>
      </c>
      <c r="B868" t="s">
        <v>1617</v>
      </c>
      <c r="C868" t="s">
        <v>2477</v>
      </c>
      <c r="D868" s="5" t="s">
        <v>2325</v>
      </c>
      <c r="K868" t="s">
        <v>618</v>
      </c>
      <c r="P868" t="s">
        <v>619</v>
      </c>
      <c r="Q868" t="s">
        <v>620</v>
      </c>
      <c r="R868" t="s">
        <v>1860</v>
      </c>
      <c r="T868" s="3" t="str">
        <f>HYPERLINK("doors://fe-dorapcm3.de.bosch.com:36679/?version=2&amp;prodID=0&amp;view=00000015&amp;urn=urn:telelogic::1-52394082008461e6-O-8266-00059142","BSW_SWS_AR4_0_R2_DIODriver-8266")</f>
        <v>BSW_SWS_AR4_0_R2_DIODriver-8266</v>
      </c>
    </row>
    <row r="869" spans="1:20" x14ac:dyDescent="0.2">
      <c r="A869" t="s">
        <v>2478</v>
      </c>
      <c r="B869" t="s">
        <v>21</v>
      </c>
      <c r="C869" t="s">
        <v>2479</v>
      </c>
      <c r="D869" t="s">
        <v>2328</v>
      </c>
      <c r="T869" s="3" t="str">
        <f>HYPERLINK("doors://fe-dorapcm3.de.bosch.com:36679/?version=2&amp;prodID=0&amp;view=00000015&amp;urn=urn:telelogic::1-52394082008461e6-O-8267-00059142","BSW_SWS_AR4_0_R2_DIODriver-8267")</f>
        <v>BSW_SWS_AR4_0_R2_DIODriver-8267</v>
      </c>
    </row>
    <row r="870" spans="1:20" x14ac:dyDescent="0.2">
      <c r="A870" t="s">
        <v>2480</v>
      </c>
      <c r="B870" t="s">
        <v>1617</v>
      </c>
      <c r="C870" t="s">
        <v>2481</v>
      </c>
      <c r="D870" s="5" t="s">
        <v>2331</v>
      </c>
      <c r="K870" t="s">
        <v>618</v>
      </c>
      <c r="P870" t="s">
        <v>619</v>
      </c>
      <c r="Q870" t="s">
        <v>620</v>
      </c>
      <c r="R870" t="s">
        <v>1860</v>
      </c>
      <c r="T870" s="3" t="str">
        <f>HYPERLINK("doors://fe-dorapcm3.de.bosch.com:36679/?version=2&amp;prodID=0&amp;view=00000015&amp;urn=urn:telelogic::1-52394082008461e6-O-8269-00059142","BSW_SWS_AR4_0_R2_DIODriver-8269")</f>
        <v>BSW_SWS_AR4_0_R2_DIODriver-8269</v>
      </c>
    </row>
    <row r="871" spans="1:20" x14ac:dyDescent="0.2">
      <c r="A871" t="s">
        <v>2482</v>
      </c>
      <c r="B871" t="s">
        <v>21</v>
      </c>
      <c r="C871" t="s">
        <v>2483</v>
      </c>
      <c r="D871" t="s">
        <v>2484</v>
      </c>
      <c r="T871" s="3" t="str">
        <f>HYPERLINK("doors://fe-dorapcm3.de.bosch.com:36679/?version=2&amp;prodID=0&amp;view=00000015&amp;urn=urn:telelogic::1-52394082008461e6-O-8270-00059142","BSW_SWS_AR4_0_R2_DIODriver-8270")</f>
        <v>BSW_SWS_AR4_0_R2_DIODriver-8270</v>
      </c>
    </row>
    <row r="872" spans="1:20" x14ac:dyDescent="0.2">
      <c r="A872" t="s">
        <v>2485</v>
      </c>
      <c r="B872" t="s">
        <v>21</v>
      </c>
      <c r="C872" t="s">
        <v>2486</v>
      </c>
      <c r="D872" t="s">
        <v>2487</v>
      </c>
      <c r="T872" s="3" t="str">
        <f>HYPERLINK("doors://fe-dorapcm3.de.bosch.com:36679/?version=2&amp;prodID=0&amp;view=00000015&amp;urn=urn:telelogic::1-52394082008461e6-O-8271-00059142","BSW_SWS_AR4_0_R2_DIODriver-8271")</f>
        <v>BSW_SWS_AR4_0_R2_DIODriver-8271</v>
      </c>
    </row>
    <row r="873" spans="1:20" x14ac:dyDescent="0.2">
      <c r="A873" t="s">
        <v>2488</v>
      </c>
      <c r="B873" t="s">
        <v>1617</v>
      </c>
      <c r="C873" t="s">
        <v>2489</v>
      </c>
      <c r="D873" s="5" t="s">
        <v>2340</v>
      </c>
      <c r="K873" t="s">
        <v>618</v>
      </c>
      <c r="P873" t="s">
        <v>619</v>
      </c>
      <c r="Q873" t="s">
        <v>620</v>
      </c>
      <c r="R873" t="s">
        <v>1860</v>
      </c>
      <c r="T873" s="3" t="str">
        <f>HYPERLINK("doors://fe-dorapcm3.de.bosch.com:36679/?version=2&amp;prodID=0&amp;view=00000015&amp;urn=urn:telelogic::1-52394082008461e6-O-8273-00059142","BSW_SWS_AR4_0_R2_DIODriver-8273")</f>
        <v>BSW_SWS_AR4_0_R2_DIODriver-8273</v>
      </c>
    </row>
    <row r="874" spans="1:20" x14ac:dyDescent="0.2">
      <c r="A874" t="s">
        <v>2490</v>
      </c>
      <c r="B874" t="s">
        <v>21</v>
      </c>
      <c r="C874" t="s">
        <v>2491</v>
      </c>
      <c r="D874" t="s">
        <v>2343</v>
      </c>
      <c r="T874" s="3" t="str">
        <f>HYPERLINK("doors://fe-dorapcm3.de.bosch.com:36679/?version=2&amp;prodID=0&amp;view=00000015&amp;urn=urn:telelogic::1-52394082008461e6-O-8274-00059142","BSW_SWS_AR4_0_R2_DIODriver-8274")</f>
        <v>BSW_SWS_AR4_0_R2_DIODriver-8274</v>
      </c>
    </row>
    <row r="875" spans="1:20" x14ac:dyDescent="0.2">
      <c r="A875" t="s">
        <v>2492</v>
      </c>
      <c r="B875" t="s">
        <v>1617</v>
      </c>
      <c r="C875" t="s">
        <v>2493</v>
      </c>
      <c r="D875" s="5" t="s">
        <v>2346</v>
      </c>
      <c r="K875" t="s">
        <v>618</v>
      </c>
      <c r="P875" t="s">
        <v>619</v>
      </c>
      <c r="Q875" t="s">
        <v>620</v>
      </c>
      <c r="R875" t="s">
        <v>1860</v>
      </c>
      <c r="T875" s="3" t="str">
        <f>HYPERLINK("doors://fe-dorapcm3.de.bosch.com:36679/?version=2&amp;prodID=0&amp;view=00000015&amp;urn=urn:telelogic::1-52394082008461e6-O-8276-00059142","BSW_SWS_AR4_0_R2_DIODriver-8276")</f>
        <v>BSW_SWS_AR4_0_R2_DIODriver-8276</v>
      </c>
    </row>
    <row r="876" spans="1:20" x14ac:dyDescent="0.2">
      <c r="A876" t="s">
        <v>2494</v>
      </c>
      <c r="B876" t="s">
        <v>21</v>
      </c>
      <c r="C876" t="s">
        <v>2495</v>
      </c>
      <c r="D876" t="s">
        <v>2343</v>
      </c>
      <c r="T876" s="3" t="str">
        <f>HYPERLINK("doors://fe-dorapcm3.de.bosch.com:36679/?version=2&amp;prodID=0&amp;view=00000015&amp;urn=urn:telelogic::1-52394082008461e6-O-8277-00059142","BSW_SWS_AR4_0_R2_DIODriver-8277")</f>
        <v>BSW_SWS_AR4_0_R2_DIODriver-8277</v>
      </c>
    </row>
    <row r="877" spans="1:20" x14ac:dyDescent="0.2">
      <c r="A877" t="s">
        <v>2496</v>
      </c>
      <c r="B877" t="s">
        <v>1617</v>
      </c>
      <c r="C877" t="s">
        <v>2497</v>
      </c>
      <c r="D877" s="5" t="s">
        <v>2351</v>
      </c>
      <c r="K877" t="s">
        <v>618</v>
      </c>
      <c r="P877" t="s">
        <v>619</v>
      </c>
      <c r="Q877" t="s">
        <v>620</v>
      </c>
      <c r="R877" t="s">
        <v>1860</v>
      </c>
      <c r="T877" s="3" t="str">
        <f>HYPERLINK("doors://fe-dorapcm3.de.bosch.com:36679/?version=2&amp;prodID=0&amp;view=00000015&amp;urn=urn:telelogic::1-52394082008461e6-O-8279-00059142","BSW_SWS_AR4_0_R2_DIODriver-8279")</f>
        <v>BSW_SWS_AR4_0_R2_DIODriver-8279</v>
      </c>
    </row>
    <row r="878" spans="1:20" x14ac:dyDescent="0.2">
      <c r="A878" t="s">
        <v>2498</v>
      </c>
      <c r="B878" t="s">
        <v>21</v>
      </c>
      <c r="C878" t="s">
        <v>2499</v>
      </c>
      <c r="D878" t="s">
        <v>2233</v>
      </c>
      <c r="T878" s="3" t="str">
        <f>HYPERLINK("doors://fe-dorapcm3.de.bosch.com:36679/?version=2&amp;prodID=0&amp;view=00000015&amp;urn=urn:telelogic::1-52394082008461e6-O-8280-00059142","BSW_SWS_AR4_0_R2_DIODriver-8280")</f>
        <v>BSW_SWS_AR4_0_R2_DIODriver-8280</v>
      </c>
    </row>
    <row r="879" spans="1:20" x14ac:dyDescent="0.2">
      <c r="A879" t="s">
        <v>2500</v>
      </c>
      <c r="B879" t="s">
        <v>21</v>
      </c>
      <c r="C879" t="s">
        <v>2501</v>
      </c>
      <c r="D879" t="s">
        <v>2502</v>
      </c>
      <c r="T879" s="3" t="str">
        <f>HYPERLINK("doors://fe-dorapcm3.de.bosch.com:36679/?version=2&amp;prodID=0&amp;view=00000015&amp;urn=urn:telelogic::1-52394082008461e6-O-8281-00059142","BSW_SWS_AR4_0_R2_DIODriver-8281")</f>
        <v>BSW_SWS_AR4_0_R2_DIODriver-8281</v>
      </c>
    </row>
    <row r="880" spans="1:20" x14ac:dyDescent="0.2">
      <c r="A880" t="s">
        <v>2503</v>
      </c>
      <c r="B880" t="s">
        <v>1617</v>
      </c>
      <c r="C880" t="s">
        <v>2504</v>
      </c>
      <c r="D880" s="5" t="s">
        <v>447</v>
      </c>
      <c r="K880" t="s">
        <v>618</v>
      </c>
      <c r="P880" t="s">
        <v>619</v>
      </c>
      <c r="Q880" t="s">
        <v>620</v>
      </c>
      <c r="R880" t="s">
        <v>1860</v>
      </c>
      <c r="T880" s="3" t="str">
        <f>HYPERLINK("doors://fe-dorapcm3.de.bosch.com:36679/?version=2&amp;prodID=0&amp;view=00000015&amp;urn=urn:telelogic::1-52394082008461e6-O-8283-00059142","BSW_SWS_AR4_0_R2_DIODriver-8283")</f>
        <v>BSW_SWS_AR4_0_R2_DIODriver-8283</v>
      </c>
    </row>
    <row r="881" spans="1:20" x14ac:dyDescent="0.2">
      <c r="A881" t="s">
        <v>2505</v>
      </c>
      <c r="B881" t="s">
        <v>21</v>
      </c>
      <c r="C881" t="s">
        <v>2506</v>
      </c>
      <c r="D881" t="s">
        <v>2507</v>
      </c>
      <c r="T881" s="3" t="str">
        <f>HYPERLINK("doors://fe-dorapcm3.de.bosch.com:36679/?version=2&amp;prodID=0&amp;view=00000015&amp;urn=urn:telelogic::1-52394082008461e6-O-8284-00059142","BSW_SWS_AR4_0_R2_DIODriver-8284")</f>
        <v>BSW_SWS_AR4_0_R2_DIODriver-8284</v>
      </c>
    </row>
    <row r="882" spans="1:20" ht="140.25" x14ac:dyDescent="0.2">
      <c r="A882" t="s">
        <v>2508</v>
      </c>
      <c r="B882" t="s">
        <v>1771</v>
      </c>
      <c r="C882" t="s">
        <v>2509</v>
      </c>
      <c r="D882" s="2" t="s">
        <v>2510</v>
      </c>
      <c r="E882" s="4" t="s">
        <v>2511</v>
      </c>
      <c r="F882" t="s">
        <v>1621</v>
      </c>
      <c r="G882" s="4" t="s">
        <v>2512</v>
      </c>
      <c r="J882" t="s">
        <v>2456</v>
      </c>
      <c r="K882" t="s">
        <v>618</v>
      </c>
      <c r="P882" t="s">
        <v>619</v>
      </c>
      <c r="Q882" t="s">
        <v>1606</v>
      </c>
      <c r="R882" t="s">
        <v>621</v>
      </c>
      <c r="S882" t="s">
        <v>622</v>
      </c>
      <c r="T882" s="3" t="str">
        <f>HYPERLINK("doors://fe-dorapcm3.de.bosch.com:36679/?version=2&amp;prodID=0&amp;view=00000015&amp;urn=urn:telelogic::1-52394082008461e6-O-8285-00059142","BSW_SWS_AR4_0_R2_DIODriver-8285")</f>
        <v>BSW_SWS_AR4_0_R2_DIODriver-8285</v>
      </c>
    </row>
    <row r="883" spans="1:20" ht="153" x14ac:dyDescent="0.2">
      <c r="A883" t="s">
        <v>2513</v>
      </c>
      <c r="B883" t="s">
        <v>1617</v>
      </c>
      <c r="C883" t="s">
        <v>2514</v>
      </c>
      <c r="D883" t="s">
        <v>2515</v>
      </c>
      <c r="E883" s="4" t="s">
        <v>2516</v>
      </c>
      <c r="F883" t="s">
        <v>1621</v>
      </c>
      <c r="G883" t="s">
        <v>2517</v>
      </c>
      <c r="J883" t="s">
        <v>2456</v>
      </c>
      <c r="K883" t="s">
        <v>618</v>
      </c>
      <c r="P883" t="s">
        <v>619</v>
      </c>
      <c r="Q883" t="s">
        <v>1606</v>
      </c>
      <c r="R883" t="s">
        <v>621</v>
      </c>
      <c r="S883" t="s">
        <v>622</v>
      </c>
      <c r="T883" s="3" t="str">
        <f>HYPERLINK("doors://fe-dorapcm3.de.bosch.com:36679/?version=2&amp;prodID=0&amp;view=00000015&amp;urn=urn:telelogic::1-52394082008461e6-O-8286-00059142","BSW_SWS_AR4_0_R2_DIODriver-8286")</f>
        <v>BSW_SWS_AR4_0_R2_DIODriver-8286</v>
      </c>
    </row>
    <row r="884" spans="1:20" x14ac:dyDescent="0.2">
      <c r="A884" t="s">
        <v>2518</v>
      </c>
      <c r="B884" t="s">
        <v>76</v>
      </c>
      <c r="C884" t="s">
        <v>2519</v>
      </c>
      <c r="D884" t="s">
        <v>2520</v>
      </c>
      <c r="T884" s="3" t="str">
        <f>HYPERLINK("doors://fe-dorapcm3.de.bosch.com:36679/?version=2&amp;prodID=0&amp;view=00000015&amp;urn=urn:telelogic::1-52394082008461e6-O-8287-00059142","BSW_SWS_AR4_0_R2_DIODriver-8287")</f>
        <v>BSW_SWS_AR4_0_R2_DIODriver-8287</v>
      </c>
    </row>
    <row r="885" spans="1:20" x14ac:dyDescent="0.2">
      <c r="A885" t="s">
        <v>2521</v>
      </c>
      <c r="B885" t="s">
        <v>76</v>
      </c>
      <c r="C885" t="s">
        <v>2522</v>
      </c>
      <c r="D885" t="s">
        <v>2523</v>
      </c>
      <c r="T885" s="3" t="str">
        <f>HYPERLINK("doors://fe-dorapcm3.de.bosch.com:36679/?version=2&amp;prodID=0&amp;view=00000015&amp;urn=urn:telelogic::1-52394082008461e6-O-8288-00059142","BSW_SWS_AR4_0_R2_DIODriver-8288")</f>
        <v>BSW_SWS_AR4_0_R2_DIODriver-8288</v>
      </c>
    </row>
    <row r="886" spans="1:20" x14ac:dyDescent="0.2">
      <c r="A886" t="s">
        <v>2524</v>
      </c>
      <c r="B886" t="s">
        <v>21</v>
      </c>
      <c r="C886" t="s">
        <v>2525</v>
      </c>
      <c r="D886" s="2" t="s">
        <v>2526</v>
      </c>
      <c r="T886" s="3" t="str">
        <f>HYPERLINK("doors://fe-dorapcm3.de.bosch.com:36679/?version=2&amp;prodID=0&amp;view=00000015&amp;urn=urn:telelogic::1-52394082008461e6-O-8289-00059142","BSW_SWS_AR4_0_R2_DIODriver-8289")</f>
        <v>BSW_SWS_AR4_0_R2_DIODriver-8289</v>
      </c>
    </row>
    <row r="887" spans="1:20" x14ac:dyDescent="0.2">
      <c r="A887" t="s">
        <v>2527</v>
      </c>
      <c r="B887" t="s">
        <v>1771</v>
      </c>
      <c r="C887" t="s">
        <v>2528</v>
      </c>
      <c r="D887" s="2" t="s">
        <v>2529</v>
      </c>
      <c r="K887" t="s">
        <v>618</v>
      </c>
      <c r="P887" t="s">
        <v>619</v>
      </c>
      <c r="Q887" t="s">
        <v>651</v>
      </c>
      <c r="R887" t="s">
        <v>621</v>
      </c>
      <c r="S887" t="s">
        <v>622</v>
      </c>
      <c r="T887" s="3" t="str">
        <f>HYPERLINK("doors://fe-dorapcm3.de.bosch.com:36679/?version=2&amp;prodID=0&amp;view=00000015&amp;urn=urn:telelogic::1-52394082008461e6-O-8290-00059142","BSW_SWS_AR4_0_R2_DIODriver-8290")</f>
        <v>BSW_SWS_AR4_0_R2_DIODriver-8290</v>
      </c>
    </row>
    <row r="888" spans="1:20" x14ac:dyDescent="0.2">
      <c r="A888" t="s">
        <v>2530</v>
      </c>
      <c r="B888" t="s">
        <v>1617</v>
      </c>
      <c r="C888" t="s">
        <v>2531</v>
      </c>
      <c r="D888" s="5" t="s">
        <v>2302</v>
      </c>
      <c r="K888" t="s">
        <v>618</v>
      </c>
      <c r="P888" t="s">
        <v>619</v>
      </c>
      <c r="Q888" t="s">
        <v>620</v>
      </c>
      <c r="R888" t="s">
        <v>1860</v>
      </c>
      <c r="T888" s="3" t="str">
        <f>HYPERLINK("doors://fe-dorapcm3.de.bosch.com:36679/?version=2&amp;prodID=0&amp;view=00000015&amp;urn=urn:telelogic::1-52394082008461e6-O-8293-00059142","BSW_SWS_AR4_0_R2_DIODriver-8293")</f>
        <v>BSW_SWS_AR4_0_R2_DIODriver-8293</v>
      </c>
    </row>
    <row r="889" spans="1:20" x14ac:dyDescent="0.2">
      <c r="A889" t="s">
        <v>2532</v>
      </c>
      <c r="B889" t="s">
        <v>21</v>
      </c>
      <c r="C889" t="s">
        <v>2533</v>
      </c>
      <c r="D889" t="s">
        <v>2534</v>
      </c>
      <c r="T889" s="3" t="str">
        <f>HYPERLINK("doors://fe-dorapcm3.de.bosch.com:36679/?version=2&amp;prodID=0&amp;view=00000015&amp;urn=urn:telelogic::1-52394082008461e6-O-8294-00059142","BSW_SWS_AR4_0_R2_DIODriver-8294")</f>
        <v>BSW_SWS_AR4_0_R2_DIODriver-8294</v>
      </c>
    </row>
    <row r="890" spans="1:20" x14ac:dyDescent="0.2">
      <c r="A890" t="s">
        <v>2535</v>
      </c>
      <c r="B890" t="s">
        <v>1617</v>
      </c>
      <c r="C890" t="s">
        <v>2536</v>
      </c>
      <c r="D890" s="5" t="s">
        <v>2308</v>
      </c>
      <c r="K890" t="s">
        <v>618</v>
      </c>
      <c r="P890" t="s">
        <v>619</v>
      </c>
      <c r="Q890" t="s">
        <v>620</v>
      </c>
      <c r="R890" t="s">
        <v>1860</v>
      </c>
      <c r="T890" s="3" t="str">
        <f>HYPERLINK("doors://fe-dorapcm3.de.bosch.com:36679/?version=2&amp;prodID=0&amp;view=00000015&amp;urn=urn:telelogic::1-52394082008461e6-O-8296-00059142","BSW_SWS_AR4_0_R2_DIODriver-8296")</f>
        <v>BSW_SWS_AR4_0_R2_DIODriver-8296</v>
      </c>
    </row>
    <row r="891" spans="1:20" ht="51" x14ac:dyDescent="0.2">
      <c r="A891" t="s">
        <v>2537</v>
      </c>
      <c r="B891" t="s">
        <v>21</v>
      </c>
      <c r="C891" t="s">
        <v>2538</v>
      </c>
      <c r="D891" s="4" t="s">
        <v>2539</v>
      </c>
      <c r="T891" s="3" t="str">
        <f>HYPERLINK("doors://fe-dorapcm3.de.bosch.com:36679/?version=2&amp;prodID=0&amp;view=00000015&amp;urn=urn:telelogic::1-52394082008461e6-O-8297-00059142","BSW_SWS_AR4_0_R2_DIODriver-8297")</f>
        <v>BSW_SWS_AR4_0_R2_DIODriver-8297</v>
      </c>
    </row>
    <row r="892" spans="1:20" x14ac:dyDescent="0.2">
      <c r="A892" t="s">
        <v>2540</v>
      </c>
      <c r="B892" t="s">
        <v>1617</v>
      </c>
      <c r="C892" t="s">
        <v>2541</v>
      </c>
      <c r="D892" s="5" t="s">
        <v>2314</v>
      </c>
      <c r="K892" t="s">
        <v>618</v>
      </c>
      <c r="P892" t="s">
        <v>619</v>
      </c>
      <c r="Q892" t="s">
        <v>620</v>
      </c>
      <c r="R892" t="s">
        <v>1860</v>
      </c>
      <c r="T892" s="3" t="str">
        <f>HYPERLINK("doors://fe-dorapcm3.de.bosch.com:36679/?version=2&amp;prodID=0&amp;view=00000015&amp;urn=urn:telelogic::1-52394082008461e6-O-8299-00059142","BSW_SWS_AR4_0_R2_DIODriver-8299")</f>
        <v>BSW_SWS_AR4_0_R2_DIODriver-8299</v>
      </c>
    </row>
    <row r="893" spans="1:20" x14ac:dyDescent="0.2">
      <c r="A893" t="s">
        <v>2542</v>
      </c>
      <c r="B893" t="s">
        <v>21</v>
      </c>
      <c r="C893" t="s">
        <v>2543</v>
      </c>
      <c r="D893" t="s">
        <v>2544</v>
      </c>
      <c r="T893" s="3" t="str">
        <f>HYPERLINK("doors://fe-dorapcm3.de.bosch.com:36679/?version=2&amp;prodID=0&amp;view=00000015&amp;urn=urn:telelogic::1-52394082008461e6-O-8300-00059142","BSW_SWS_AR4_0_R2_DIODriver-8300")</f>
        <v>BSW_SWS_AR4_0_R2_DIODriver-8300</v>
      </c>
    </row>
    <row r="894" spans="1:20" x14ac:dyDescent="0.2">
      <c r="A894" t="s">
        <v>2545</v>
      </c>
      <c r="B894" t="s">
        <v>1617</v>
      </c>
      <c r="C894" t="s">
        <v>2546</v>
      </c>
      <c r="D894" s="5" t="s">
        <v>2319</v>
      </c>
      <c r="K894" t="s">
        <v>618</v>
      </c>
      <c r="P894" t="s">
        <v>619</v>
      </c>
      <c r="Q894" t="s">
        <v>620</v>
      </c>
      <c r="R894" t="s">
        <v>1860</v>
      </c>
      <c r="T894" s="3" t="str">
        <f>HYPERLINK("doors://fe-dorapcm3.de.bosch.com:36679/?version=2&amp;prodID=0&amp;view=00000015&amp;urn=urn:telelogic::1-52394082008461e6-O-8302-00059142","BSW_SWS_AR4_0_R2_DIODriver-8302")</f>
        <v>BSW_SWS_AR4_0_R2_DIODriver-8302</v>
      </c>
    </row>
    <row r="895" spans="1:20" x14ac:dyDescent="0.2">
      <c r="A895" t="s">
        <v>2547</v>
      </c>
      <c r="B895" t="s">
        <v>21</v>
      </c>
      <c r="C895" t="s">
        <v>2548</v>
      </c>
      <c r="D895" t="s">
        <v>2322</v>
      </c>
      <c r="T895" s="3" t="str">
        <f>HYPERLINK("doors://fe-dorapcm3.de.bosch.com:36679/?version=2&amp;prodID=0&amp;view=00000015&amp;urn=urn:telelogic::1-52394082008461e6-O-8303-00059142","BSW_SWS_AR4_0_R2_DIODriver-8303")</f>
        <v>BSW_SWS_AR4_0_R2_DIODriver-8303</v>
      </c>
    </row>
    <row r="896" spans="1:20" x14ac:dyDescent="0.2">
      <c r="A896" t="s">
        <v>2549</v>
      </c>
      <c r="B896" t="s">
        <v>1617</v>
      </c>
      <c r="C896" t="s">
        <v>2550</v>
      </c>
      <c r="D896" s="5" t="s">
        <v>2325</v>
      </c>
      <c r="K896" t="s">
        <v>618</v>
      </c>
      <c r="P896" t="s">
        <v>619</v>
      </c>
      <c r="Q896" t="s">
        <v>620</v>
      </c>
      <c r="R896" t="s">
        <v>1860</v>
      </c>
      <c r="T896" s="3" t="str">
        <f>HYPERLINK("doors://fe-dorapcm3.de.bosch.com:36679/?version=2&amp;prodID=0&amp;view=00000015&amp;urn=urn:telelogic::1-52394082008461e6-O-8305-00059142","BSW_SWS_AR4_0_R2_DIODriver-8305")</f>
        <v>BSW_SWS_AR4_0_R2_DIODriver-8305</v>
      </c>
    </row>
    <row r="897" spans="1:20" x14ac:dyDescent="0.2">
      <c r="A897" t="s">
        <v>2551</v>
      </c>
      <c r="B897" t="s">
        <v>21</v>
      </c>
      <c r="C897" t="s">
        <v>2552</v>
      </c>
      <c r="D897" t="s">
        <v>2328</v>
      </c>
      <c r="T897" s="3" t="str">
        <f>HYPERLINK("doors://fe-dorapcm3.de.bosch.com:36679/?version=2&amp;prodID=0&amp;view=00000015&amp;urn=urn:telelogic::1-52394082008461e6-O-8306-00059142","BSW_SWS_AR4_0_R2_DIODriver-8306")</f>
        <v>BSW_SWS_AR4_0_R2_DIODriver-8306</v>
      </c>
    </row>
    <row r="898" spans="1:20" x14ac:dyDescent="0.2">
      <c r="A898" t="s">
        <v>2553</v>
      </c>
      <c r="B898" t="s">
        <v>1617</v>
      </c>
      <c r="C898" t="s">
        <v>2554</v>
      </c>
      <c r="D898" s="5" t="s">
        <v>2331</v>
      </c>
      <c r="K898" t="s">
        <v>618</v>
      </c>
      <c r="P898" t="s">
        <v>619</v>
      </c>
      <c r="Q898" t="s">
        <v>620</v>
      </c>
      <c r="R898" t="s">
        <v>1860</v>
      </c>
      <c r="T898" s="3" t="str">
        <f>HYPERLINK("doors://fe-dorapcm3.de.bosch.com:36679/?version=2&amp;prodID=0&amp;view=00000015&amp;urn=urn:telelogic::1-52394082008461e6-O-8308-00059142","BSW_SWS_AR4_0_R2_DIODriver-8308")</f>
        <v>BSW_SWS_AR4_0_R2_DIODriver-8308</v>
      </c>
    </row>
    <row r="899" spans="1:20" x14ac:dyDescent="0.2">
      <c r="A899" t="s">
        <v>2555</v>
      </c>
      <c r="B899" t="s">
        <v>21</v>
      </c>
      <c r="C899" t="s">
        <v>2556</v>
      </c>
      <c r="D899" t="s">
        <v>2484</v>
      </c>
      <c r="T899" s="3" t="str">
        <f>HYPERLINK("doors://fe-dorapcm3.de.bosch.com:36679/?version=2&amp;prodID=0&amp;view=00000015&amp;urn=urn:telelogic::1-52394082008461e6-O-8309-00059142","BSW_SWS_AR4_0_R2_DIODriver-8309")</f>
        <v>BSW_SWS_AR4_0_R2_DIODriver-8309</v>
      </c>
    </row>
    <row r="900" spans="1:20" x14ac:dyDescent="0.2">
      <c r="A900" t="s">
        <v>2557</v>
      </c>
      <c r="B900" t="s">
        <v>21</v>
      </c>
      <c r="C900" t="s">
        <v>2558</v>
      </c>
      <c r="D900" t="s">
        <v>2487</v>
      </c>
      <c r="T900" s="3" t="str">
        <f>HYPERLINK("doors://fe-dorapcm3.de.bosch.com:36679/?version=2&amp;prodID=0&amp;view=00000015&amp;urn=urn:telelogic::1-52394082008461e6-O-8310-00059142","BSW_SWS_AR4_0_R2_DIODriver-8310")</f>
        <v>BSW_SWS_AR4_0_R2_DIODriver-8310</v>
      </c>
    </row>
    <row r="901" spans="1:20" x14ac:dyDescent="0.2">
      <c r="A901" t="s">
        <v>2559</v>
      </c>
      <c r="B901" t="s">
        <v>1617</v>
      </c>
      <c r="C901" t="s">
        <v>2560</v>
      </c>
      <c r="K901" t="s">
        <v>618</v>
      </c>
      <c r="P901" t="s">
        <v>619</v>
      </c>
      <c r="Q901" t="s">
        <v>620</v>
      </c>
      <c r="R901" t="s">
        <v>1860</v>
      </c>
      <c r="T901" s="3" t="str">
        <f>HYPERLINK("doors://fe-dorapcm3.de.bosch.com:36679/?version=2&amp;prodID=0&amp;view=00000015&amp;urn=urn:telelogic::1-52394082008461e6-O-8312-00059142","BSW_SWS_AR4_0_R2_DIODriver-8312")</f>
        <v>BSW_SWS_AR4_0_R2_DIODriver-8312</v>
      </c>
    </row>
    <row r="902" spans="1:20" x14ac:dyDescent="0.2">
      <c r="A902" t="s">
        <v>2561</v>
      </c>
      <c r="B902" t="s">
        <v>21</v>
      </c>
      <c r="C902" t="s">
        <v>2562</v>
      </c>
      <c r="D902" t="s">
        <v>2411</v>
      </c>
      <c r="T902" s="3" t="str">
        <f>HYPERLINK("doors://fe-dorapcm3.de.bosch.com:36679/?version=2&amp;prodID=0&amp;view=00000015&amp;urn=urn:telelogic::1-52394082008461e6-O-8313-00059142","BSW_SWS_AR4_0_R2_DIODriver-8313")</f>
        <v>BSW_SWS_AR4_0_R2_DIODriver-8313</v>
      </c>
    </row>
    <row r="903" spans="1:20" x14ac:dyDescent="0.2">
      <c r="A903" t="s">
        <v>2563</v>
      </c>
      <c r="B903" t="s">
        <v>21</v>
      </c>
      <c r="C903" t="s">
        <v>2564</v>
      </c>
      <c r="D903" t="s">
        <v>2414</v>
      </c>
      <c r="T903" s="3" t="str">
        <f>HYPERLINK("doors://fe-dorapcm3.de.bosch.com:36679/?version=2&amp;prodID=0&amp;view=00000015&amp;urn=urn:telelogic::1-52394082008461e6-O-8314-00059142","BSW_SWS_AR4_0_R2_DIODriver-8314")</f>
        <v>BSW_SWS_AR4_0_R2_DIODriver-8314</v>
      </c>
    </row>
    <row r="904" spans="1:20" x14ac:dyDescent="0.2">
      <c r="A904" t="s">
        <v>2565</v>
      </c>
      <c r="B904" t="s">
        <v>1617</v>
      </c>
      <c r="C904" t="s">
        <v>2566</v>
      </c>
      <c r="D904" s="5" t="s">
        <v>2340</v>
      </c>
      <c r="K904" t="s">
        <v>618</v>
      </c>
      <c r="P904" t="s">
        <v>619</v>
      </c>
      <c r="Q904" t="s">
        <v>620</v>
      </c>
      <c r="R904" t="s">
        <v>1860</v>
      </c>
      <c r="T904" s="3" t="str">
        <f>HYPERLINK("doors://fe-dorapcm3.de.bosch.com:36679/?version=2&amp;prodID=0&amp;view=00000015&amp;urn=urn:telelogic::1-52394082008461e6-O-8316-00059142","BSW_SWS_AR4_0_R2_DIODriver-8316")</f>
        <v>BSW_SWS_AR4_0_R2_DIODriver-8316</v>
      </c>
    </row>
    <row r="905" spans="1:20" x14ac:dyDescent="0.2">
      <c r="A905" t="s">
        <v>2567</v>
      </c>
      <c r="B905" t="s">
        <v>21</v>
      </c>
      <c r="C905" t="s">
        <v>2568</v>
      </c>
      <c r="D905" t="s">
        <v>2343</v>
      </c>
      <c r="T905" s="3" t="str">
        <f>HYPERLINK("doors://fe-dorapcm3.de.bosch.com:36679/?version=2&amp;prodID=0&amp;view=00000015&amp;urn=urn:telelogic::1-52394082008461e6-O-8317-00059142","BSW_SWS_AR4_0_R2_DIODriver-8317")</f>
        <v>BSW_SWS_AR4_0_R2_DIODriver-8317</v>
      </c>
    </row>
    <row r="906" spans="1:20" x14ac:dyDescent="0.2">
      <c r="A906" t="s">
        <v>2569</v>
      </c>
      <c r="B906" t="s">
        <v>1617</v>
      </c>
      <c r="C906" t="s">
        <v>2570</v>
      </c>
      <c r="D906" s="5" t="s">
        <v>2346</v>
      </c>
      <c r="K906" t="s">
        <v>618</v>
      </c>
      <c r="P906" t="s">
        <v>619</v>
      </c>
      <c r="Q906" t="s">
        <v>620</v>
      </c>
      <c r="R906" t="s">
        <v>1860</v>
      </c>
      <c r="T906" s="3" t="str">
        <f>HYPERLINK("doors://fe-dorapcm3.de.bosch.com:36679/?version=2&amp;prodID=0&amp;view=00000015&amp;urn=urn:telelogic::1-52394082008461e6-O-8319-00059142","BSW_SWS_AR4_0_R2_DIODriver-8319")</f>
        <v>BSW_SWS_AR4_0_R2_DIODriver-8319</v>
      </c>
    </row>
    <row r="907" spans="1:20" x14ac:dyDescent="0.2">
      <c r="A907" t="s">
        <v>2571</v>
      </c>
      <c r="B907" t="s">
        <v>21</v>
      </c>
      <c r="C907" t="s">
        <v>2572</v>
      </c>
      <c r="D907" t="s">
        <v>2343</v>
      </c>
      <c r="T907" s="3" t="str">
        <f>HYPERLINK("doors://fe-dorapcm3.de.bosch.com:36679/?version=2&amp;prodID=0&amp;view=00000015&amp;urn=urn:telelogic::1-52394082008461e6-O-8320-00059142","BSW_SWS_AR4_0_R2_DIODriver-8320")</f>
        <v>BSW_SWS_AR4_0_R2_DIODriver-8320</v>
      </c>
    </row>
    <row r="908" spans="1:20" x14ac:dyDescent="0.2">
      <c r="A908" t="s">
        <v>2573</v>
      </c>
      <c r="B908" t="s">
        <v>1617</v>
      </c>
      <c r="C908" t="s">
        <v>2574</v>
      </c>
      <c r="D908" s="5" t="s">
        <v>2351</v>
      </c>
      <c r="K908" t="s">
        <v>618</v>
      </c>
      <c r="P908" t="s">
        <v>619</v>
      </c>
      <c r="Q908" t="s">
        <v>620</v>
      </c>
      <c r="R908" t="s">
        <v>1860</v>
      </c>
      <c r="T908" s="3" t="str">
        <f>HYPERLINK("doors://fe-dorapcm3.de.bosch.com:36679/?version=2&amp;prodID=0&amp;view=00000015&amp;urn=urn:telelogic::1-52394082008461e6-O-8322-00059142","BSW_SWS_AR4_0_R2_DIODriver-8322")</f>
        <v>BSW_SWS_AR4_0_R2_DIODriver-8322</v>
      </c>
    </row>
    <row r="909" spans="1:20" x14ac:dyDescent="0.2">
      <c r="A909" t="s">
        <v>2575</v>
      </c>
      <c r="B909" t="s">
        <v>21</v>
      </c>
      <c r="C909" t="s">
        <v>2576</v>
      </c>
      <c r="D909" t="s">
        <v>2343</v>
      </c>
      <c r="T909" s="3" t="str">
        <f>HYPERLINK("doors://fe-dorapcm3.de.bosch.com:36679/?version=2&amp;prodID=0&amp;view=00000015&amp;urn=urn:telelogic::1-52394082008461e6-O-8323-00059142","BSW_SWS_AR4_0_R2_DIODriver-8323")</f>
        <v>BSW_SWS_AR4_0_R2_DIODriver-8323</v>
      </c>
    </row>
    <row r="910" spans="1:20" x14ac:dyDescent="0.2">
      <c r="A910" t="s">
        <v>2577</v>
      </c>
      <c r="B910" t="s">
        <v>1617</v>
      </c>
      <c r="C910" t="s">
        <v>2578</v>
      </c>
      <c r="D910" s="5" t="s">
        <v>447</v>
      </c>
      <c r="K910" t="s">
        <v>618</v>
      </c>
      <c r="P910" t="s">
        <v>619</v>
      </c>
      <c r="Q910" t="s">
        <v>620</v>
      </c>
      <c r="R910" t="s">
        <v>1860</v>
      </c>
      <c r="T910" s="3" t="str">
        <f>HYPERLINK("doors://fe-dorapcm3.de.bosch.com:36679/?version=2&amp;prodID=0&amp;view=00000015&amp;urn=urn:telelogic::1-52394082008461e6-O-8325-00059142","BSW_SWS_AR4_0_R2_DIODriver-8325")</f>
        <v>BSW_SWS_AR4_0_R2_DIODriver-8325</v>
      </c>
    </row>
    <row r="911" spans="1:20" x14ac:dyDescent="0.2">
      <c r="A911" t="s">
        <v>2579</v>
      </c>
      <c r="B911" t="s">
        <v>21</v>
      </c>
      <c r="C911" t="s">
        <v>2580</v>
      </c>
      <c r="D911" t="s">
        <v>2581</v>
      </c>
      <c r="T911" s="3" t="str">
        <f>HYPERLINK("doors://fe-dorapcm3.de.bosch.com:36679/?version=2&amp;prodID=0&amp;view=00000015&amp;urn=urn:telelogic::1-52394082008461e6-O-8326-00059142","BSW_SWS_AR4_0_R2_DIODriver-8326")</f>
        <v>BSW_SWS_AR4_0_R2_DIODriver-8326</v>
      </c>
    </row>
    <row r="912" spans="1:20" ht="89.25" x14ac:dyDescent="0.2">
      <c r="A912" t="s">
        <v>2582</v>
      </c>
      <c r="B912" t="s">
        <v>1617</v>
      </c>
      <c r="C912" t="s">
        <v>2583</v>
      </c>
      <c r="D912" t="s">
        <v>2584</v>
      </c>
      <c r="E912" s="4" t="s">
        <v>2585</v>
      </c>
      <c r="K912" t="s">
        <v>618</v>
      </c>
      <c r="P912" t="s">
        <v>619</v>
      </c>
      <c r="R912" t="s">
        <v>1783</v>
      </c>
      <c r="T912" s="3" t="str">
        <f>HYPERLINK("doors://fe-dorapcm3.de.bosch.com:36679/?version=2&amp;prodID=0&amp;view=00000015&amp;urn=urn:telelogic::1-52394082008461e6-O-8327-00059142","BSW_SWS_AR4_0_R2_DIODriver-8327")</f>
        <v>BSW_SWS_AR4_0_R2_DIODriver-8327</v>
      </c>
    </row>
    <row r="913" spans="1:20" ht="127.5" x14ac:dyDescent="0.2">
      <c r="A913" t="s">
        <v>2586</v>
      </c>
      <c r="B913" t="s">
        <v>1617</v>
      </c>
      <c r="C913" t="s">
        <v>2587</v>
      </c>
      <c r="D913" t="s">
        <v>2588</v>
      </c>
      <c r="E913" s="4" t="s">
        <v>2589</v>
      </c>
      <c r="K913" t="s">
        <v>618</v>
      </c>
      <c r="P913" t="s">
        <v>619</v>
      </c>
      <c r="R913" t="s">
        <v>1783</v>
      </c>
      <c r="T913" s="3" t="str">
        <f>HYPERLINK("doors://fe-dorapcm3.de.bosch.com:36679/?version=2&amp;prodID=0&amp;view=00000015&amp;urn=urn:telelogic::1-52394082008461e6-O-8328-00059142","BSW_SWS_AR4_0_R2_DIODriver-8328")</f>
        <v>BSW_SWS_AR4_0_R2_DIODriver-8328</v>
      </c>
    </row>
    <row r="914" spans="1:20" ht="127.5" x14ac:dyDescent="0.2">
      <c r="A914" t="s">
        <v>2590</v>
      </c>
      <c r="B914" t="s">
        <v>1617</v>
      </c>
      <c r="C914" t="s">
        <v>2591</v>
      </c>
      <c r="D914" t="s">
        <v>2592</v>
      </c>
      <c r="E914" s="4" t="s">
        <v>2593</v>
      </c>
      <c r="K914" t="s">
        <v>618</v>
      </c>
      <c r="P914" t="s">
        <v>619</v>
      </c>
      <c r="R914" t="s">
        <v>1783</v>
      </c>
      <c r="T914" s="3" t="str">
        <f>HYPERLINK("doors://fe-dorapcm3.de.bosch.com:36679/?version=2&amp;prodID=0&amp;view=00000015&amp;urn=urn:telelogic::1-52394082008461e6-O-8329-00059142","BSW_SWS_AR4_0_R2_DIODriver-8329")</f>
        <v>BSW_SWS_AR4_0_R2_DIODriver-8329</v>
      </c>
    </row>
    <row r="915" spans="1:20" ht="127.5" x14ac:dyDescent="0.2">
      <c r="A915" t="s">
        <v>2594</v>
      </c>
      <c r="B915" t="s">
        <v>1617</v>
      </c>
      <c r="C915" t="s">
        <v>2595</v>
      </c>
      <c r="D915" t="s">
        <v>2596</v>
      </c>
      <c r="E915" s="4" t="s">
        <v>2597</v>
      </c>
      <c r="K915" t="s">
        <v>618</v>
      </c>
      <c r="P915" t="s">
        <v>619</v>
      </c>
      <c r="R915" t="s">
        <v>1783</v>
      </c>
      <c r="T915" s="3" t="str">
        <f>HYPERLINK("doors://fe-dorapcm3.de.bosch.com:36679/?version=2&amp;prodID=0&amp;view=00000015&amp;urn=urn:telelogic::1-52394082008461e6-O-8330-00059142","BSW_SWS_AR4_0_R2_DIODriver-8330")</f>
        <v>BSW_SWS_AR4_0_R2_DIODriver-8330</v>
      </c>
    </row>
    <row r="916" spans="1:20" x14ac:dyDescent="0.2">
      <c r="A916" t="s">
        <v>2598</v>
      </c>
      <c r="B916" t="s">
        <v>76</v>
      </c>
      <c r="C916" t="s">
        <v>2599</v>
      </c>
      <c r="D916" t="s">
        <v>2600</v>
      </c>
      <c r="T916" s="3" t="str">
        <f>HYPERLINK("doors://fe-dorapcm3.de.bosch.com:36679/?version=2&amp;prodID=0&amp;view=00000015&amp;urn=urn:telelogic::1-52394082008461e6-O-8331-00059142","BSW_SWS_AR4_0_R2_DIODriver-8331")</f>
        <v>BSW_SWS_AR4_0_R2_DIODriver-8331</v>
      </c>
    </row>
    <row r="917" spans="1:20" x14ac:dyDescent="0.2">
      <c r="A917" t="s">
        <v>2601</v>
      </c>
      <c r="B917" t="s">
        <v>21</v>
      </c>
      <c r="C917" t="s">
        <v>2602</v>
      </c>
      <c r="D917" s="2" t="s">
        <v>2603</v>
      </c>
      <c r="T917" s="3" t="str">
        <f>HYPERLINK("doors://fe-dorapcm3.de.bosch.com:36679/?version=2&amp;prodID=0&amp;view=00000015&amp;urn=urn:telelogic::1-52394082008461e6-O-8332-00059142","BSW_SWS_AR4_0_R2_DIODriver-8332")</f>
        <v>BSW_SWS_AR4_0_R2_DIODriver-8332</v>
      </c>
    </row>
    <row r="918" spans="1:20" x14ac:dyDescent="0.2">
      <c r="A918" t="s">
        <v>2604</v>
      </c>
      <c r="B918" t="s">
        <v>1771</v>
      </c>
      <c r="C918" t="s">
        <v>2605</v>
      </c>
      <c r="D918" s="2" t="s">
        <v>2606</v>
      </c>
      <c r="K918" t="s">
        <v>618</v>
      </c>
      <c r="P918" t="s">
        <v>619</v>
      </c>
      <c r="Q918" t="s">
        <v>651</v>
      </c>
      <c r="R918" t="s">
        <v>621</v>
      </c>
      <c r="S918" t="s">
        <v>622</v>
      </c>
      <c r="T918" s="3" t="str">
        <f>HYPERLINK("doors://fe-dorapcm3.de.bosch.com:36679/?version=2&amp;prodID=0&amp;view=00000015&amp;urn=urn:telelogic::1-52394082008461e6-O-8333-00059142","BSW_SWS_AR4_0_R2_DIODriver-8333")</f>
        <v>BSW_SWS_AR4_0_R2_DIODriver-8333</v>
      </c>
    </row>
    <row r="919" spans="1:20" x14ac:dyDescent="0.2">
      <c r="A919" t="s">
        <v>2607</v>
      </c>
      <c r="B919" t="s">
        <v>1617</v>
      </c>
      <c r="C919" t="s">
        <v>2608</v>
      </c>
      <c r="D919" s="5" t="s">
        <v>2302</v>
      </c>
      <c r="K919" t="s">
        <v>618</v>
      </c>
      <c r="P919" t="s">
        <v>619</v>
      </c>
      <c r="Q919" t="s">
        <v>620</v>
      </c>
      <c r="R919" t="s">
        <v>1860</v>
      </c>
      <c r="T919" s="3" t="str">
        <f>HYPERLINK("doors://fe-dorapcm3.de.bosch.com:36679/?version=2&amp;prodID=0&amp;view=00000015&amp;urn=urn:telelogic::1-52394082008461e6-O-8336-00059142","BSW_SWS_AR4_0_R2_DIODriver-8336")</f>
        <v>BSW_SWS_AR4_0_R2_DIODriver-8336</v>
      </c>
    </row>
    <row r="920" spans="1:20" x14ac:dyDescent="0.2">
      <c r="A920" t="s">
        <v>2609</v>
      </c>
      <c r="B920" t="s">
        <v>21</v>
      </c>
      <c r="C920" t="s">
        <v>2610</v>
      </c>
      <c r="D920" t="s">
        <v>2611</v>
      </c>
      <c r="T920" s="3" t="str">
        <f>HYPERLINK("doors://fe-dorapcm3.de.bosch.com:36679/?version=2&amp;prodID=0&amp;view=00000015&amp;urn=urn:telelogic::1-52394082008461e6-O-8337-00059142","BSW_SWS_AR4_0_R2_DIODriver-8337")</f>
        <v>BSW_SWS_AR4_0_R2_DIODriver-8337</v>
      </c>
    </row>
    <row r="921" spans="1:20" x14ac:dyDescent="0.2">
      <c r="A921" t="s">
        <v>2612</v>
      </c>
      <c r="B921" t="s">
        <v>1617</v>
      </c>
      <c r="C921" t="s">
        <v>2613</v>
      </c>
      <c r="D921" s="5" t="s">
        <v>2308</v>
      </c>
      <c r="K921" t="s">
        <v>618</v>
      </c>
      <c r="P921" t="s">
        <v>619</v>
      </c>
      <c r="Q921" t="s">
        <v>620</v>
      </c>
      <c r="R921" t="s">
        <v>1860</v>
      </c>
      <c r="T921" s="3" t="str">
        <f>HYPERLINK("doors://fe-dorapcm3.de.bosch.com:36679/?version=2&amp;prodID=0&amp;view=00000015&amp;urn=urn:telelogic::1-52394082008461e6-O-8339-00059142","BSW_SWS_AR4_0_R2_DIODriver-8339")</f>
        <v>BSW_SWS_AR4_0_R2_DIODriver-8339</v>
      </c>
    </row>
    <row r="922" spans="1:20" ht="38.25" x14ac:dyDescent="0.2">
      <c r="A922" t="s">
        <v>2614</v>
      </c>
      <c r="B922" t="s">
        <v>21</v>
      </c>
      <c r="C922" t="s">
        <v>2615</v>
      </c>
      <c r="D922" s="4" t="s">
        <v>2616</v>
      </c>
      <c r="T922" s="3" t="str">
        <f>HYPERLINK("doors://fe-dorapcm3.de.bosch.com:36679/?version=2&amp;prodID=0&amp;view=00000015&amp;urn=urn:telelogic::1-52394082008461e6-O-8340-00059142","BSW_SWS_AR4_0_R2_DIODriver-8340")</f>
        <v>BSW_SWS_AR4_0_R2_DIODriver-8340</v>
      </c>
    </row>
    <row r="923" spans="1:20" x14ac:dyDescent="0.2">
      <c r="A923" t="s">
        <v>2617</v>
      </c>
      <c r="B923" t="s">
        <v>1617</v>
      </c>
      <c r="C923" t="s">
        <v>2618</v>
      </c>
      <c r="D923" s="5" t="s">
        <v>2314</v>
      </c>
      <c r="K923" t="s">
        <v>618</v>
      </c>
      <c r="P923" t="s">
        <v>619</v>
      </c>
      <c r="Q923" t="s">
        <v>620</v>
      </c>
      <c r="R923" t="s">
        <v>1860</v>
      </c>
      <c r="T923" s="3" t="str">
        <f>HYPERLINK("doors://fe-dorapcm3.de.bosch.com:36679/?version=2&amp;prodID=0&amp;view=00000015&amp;urn=urn:telelogic::1-52394082008461e6-O-8342-00059142","BSW_SWS_AR4_0_R2_DIODriver-8342")</f>
        <v>BSW_SWS_AR4_0_R2_DIODriver-8342</v>
      </c>
    </row>
    <row r="924" spans="1:20" x14ac:dyDescent="0.2">
      <c r="A924" t="s">
        <v>2619</v>
      </c>
      <c r="B924" t="s">
        <v>21</v>
      </c>
      <c r="C924" t="s">
        <v>2620</v>
      </c>
      <c r="D924" t="s">
        <v>2621</v>
      </c>
      <c r="T924" s="3" t="str">
        <f>HYPERLINK("doors://fe-dorapcm3.de.bosch.com:36679/?version=2&amp;prodID=0&amp;view=00000015&amp;urn=urn:telelogic::1-52394082008461e6-O-8343-00059142","BSW_SWS_AR4_0_R2_DIODriver-8343")</f>
        <v>BSW_SWS_AR4_0_R2_DIODriver-8343</v>
      </c>
    </row>
    <row r="925" spans="1:20" x14ac:dyDescent="0.2">
      <c r="A925" t="s">
        <v>2622</v>
      </c>
      <c r="B925" t="s">
        <v>1617</v>
      </c>
      <c r="C925" t="s">
        <v>2623</v>
      </c>
      <c r="D925" s="5" t="s">
        <v>2319</v>
      </c>
      <c r="K925" t="s">
        <v>618</v>
      </c>
      <c r="P925" t="s">
        <v>619</v>
      </c>
      <c r="Q925" t="s">
        <v>620</v>
      </c>
      <c r="R925" t="s">
        <v>1860</v>
      </c>
      <c r="T925" s="3" t="str">
        <f>HYPERLINK("doors://fe-dorapcm3.de.bosch.com:36679/?version=2&amp;prodID=0&amp;view=00000015&amp;urn=urn:telelogic::1-52394082008461e6-O-8345-00059142","BSW_SWS_AR4_0_R2_DIODriver-8345")</f>
        <v>BSW_SWS_AR4_0_R2_DIODriver-8345</v>
      </c>
    </row>
    <row r="926" spans="1:20" x14ac:dyDescent="0.2">
      <c r="A926" t="s">
        <v>2624</v>
      </c>
      <c r="B926" t="s">
        <v>21</v>
      </c>
      <c r="C926" t="s">
        <v>2625</v>
      </c>
      <c r="D926" t="s">
        <v>2322</v>
      </c>
      <c r="T926" s="3" t="str">
        <f>HYPERLINK("doors://fe-dorapcm3.de.bosch.com:36679/?version=2&amp;prodID=0&amp;view=00000015&amp;urn=urn:telelogic::1-52394082008461e6-O-8346-00059142","BSW_SWS_AR4_0_R2_DIODriver-8346")</f>
        <v>BSW_SWS_AR4_0_R2_DIODriver-8346</v>
      </c>
    </row>
    <row r="927" spans="1:20" x14ac:dyDescent="0.2">
      <c r="A927" t="s">
        <v>2626</v>
      </c>
      <c r="B927" t="s">
        <v>1617</v>
      </c>
      <c r="C927" t="s">
        <v>2627</v>
      </c>
      <c r="D927" s="5" t="s">
        <v>2325</v>
      </c>
      <c r="K927" t="s">
        <v>618</v>
      </c>
      <c r="P927" t="s">
        <v>619</v>
      </c>
      <c r="Q927" t="s">
        <v>620</v>
      </c>
      <c r="R927" t="s">
        <v>1860</v>
      </c>
      <c r="T927" s="3" t="str">
        <f>HYPERLINK("doors://fe-dorapcm3.de.bosch.com:36679/?version=2&amp;prodID=0&amp;view=00000015&amp;urn=urn:telelogic::1-52394082008461e6-O-8348-00059142","BSW_SWS_AR4_0_R2_DIODriver-8348")</f>
        <v>BSW_SWS_AR4_0_R2_DIODriver-8348</v>
      </c>
    </row>
    <row r="928" spans="1:20" x14ac:dyDescent="0.2">
      <c r="A928" t="s">
        <v>2628</v>
      </c>
      <c r="B928" t="s">
        <v>21</v>
      </c>
      <c r="C928" t="s">
        <v>2629</v>
      </c>
      <c r="D928" t="s">
        <v>2328</v>
      </c>
      <c r="T928" s="3" t="str">
        <f>HYPERLINK("doors://fe-dorapcm3.de.bosch.com:36679/?version=2&amp;prodID=0&amp;view=00000015&amp;urn=urn:telelogic::1-52394082008461e6-O-8349-00059142","BSW_SWS_AR4_0_R2_DIODriver-8349")</f>
        <v>BSW_SWS_AR4_0_R2_DIODriver-8349</v>
      </c>
    </row>
    <row r="929" spans="1:20" x14ac:dyDescent="0.2">
      <c r="A929" t="s">
        <v>2630</v>
      </c>
      <c r="B929" t="s">
        <v>1617</v>
      </c>
      <c r="C929" t="s">
        <v>2631</v>
      </c>
      <c r="D929" s="5" t="s">
        <v>2331</v>
      </c>
      <c r="K929" t="s">
        <v>618</v>
      </c>
      <c r="P929" t="s">
        <v>619</v>
      </c>
      <c r="Q929" t="s">
        <v>620</v>
      </c>
      <c r="R929" t="s">
        <v>1860</v>
      </c>
      <c r="T929" s="3" t="str">
        <f>HYPERLINK("doors://fe-dorapcm3.de.bosch.com:36679/?version=2&amp;prodID=0&amp;view=00000015&amp;urn=urn:telelogic::1-52394082008461e6-O-8351-00059142","BSW_SWS_AR4_0_R2_DIODriver-8351")</f>
        <v>BSW_SWS_AR4_0_R2_DIODriver-8351</v>
      </c>
    </row>
    <row r="930" spans="1:20" x14ac:dyDescent="0.2">
      <c r="A930" t="s">
        <v>2632</v>
      </c>
      <c r="B930" t="s">
        <v>21</v>
      </c>
      <c r="C930" t="s">
        <v>2633</v>
      </c>
      <c r="D930" t="s">
        <v>2634</v>
      </c>
      <c r="T930" s="3" t="str">
        <f>HYPERLINK("doors://fe-dorapcm3.de.bosch.com:36679/?version=2&amp;prodID=0&amp;view=00000015&amp;urn=urn:telelogic::1-52394082008461e6-O-8352-00059142","BSW_SWS_AR4_0_R2_DIODriver-8352")</f>
        <v>BSW_SWS_AR4_0_R2_DIODriver-8352</v>
      </c>
    </row>
    <row r="931" spans="1:20" x14ac:dyDescent="0.2">
      <c r="A931" t="s">
        <v>2635</v>
      </c>
      <c r="B931" t="s">
        <v>21</v>
      </c>
      <c r="C931" t="s">
        <v>2636</v>
      </c>
      <c r="D931" t="s">
        <v>2637</v>
      </c>
      <c r="T931" s="3" t="str">
        <f>HYPERLINK("doors://fe-dorapcm3.de.bosch.com:36679/?version=2&amp;prodID=0&amp;view=00000015&amp;urn=urn:telelogic::1-52394082008461e6-O-8353-00059142","BSW_SWS_AR4_0_R2_DIODriver-8353")</f>
        <v>BSW_SWS_AR4_0_R2_DIODriver-8353</v>
      </c>
    </row>
    <row r="932" spans="1:20" x14ac:dyDescent="0.2">
      <c r="A932" t="s">
        <v>2638</v>
      </c>
      <c r="B932" t="s">
        <v>1617</v>
      </c>
      <c r="C932" t="s">
        <v>2639</v>
      </c>
      <c r="D932" s="5" t="s">
        <v>2340</v>
      </c>
      <c r="K932" t="s">
        <v>618</v>
      </c>
      <c r="P932" t="s">
        <v>619</v>
      </c>
      <c r="Q932" t="s">
        <v>620</v>
      </c>
      <c r="R932" t="s">
        <v>1860</v>
      </c>
      <c r="T932" s="3" t="str">
        <f>HYPERLINK("doors://fe-dorapcm3.de.bosch.com:36679/?version=2&amp;prodID=0&amp;view=00000015&amp;urn=urn:telelogic::1-52394082008461e6-O-8355-00059142","BSW_SWS_AR4_0_R2_DIODriver-8355")</f>
        <v>BSW_SWS_AR4_0_R2_DIODriver-8355</v>
      </c>
    </row>
    <row r="933" spans="1:20" x14ac:dyDescent="0.2">
      <c r="A933" t="s">
        <v>2640</v>
      </c>
      <c r="B933" t="s">
        <v>21</v>
      </c>
      <c r="C933" t="s">
        <v>2641</v>
      </c>
      <c r="D933" t="s">
        <v>2343</v>
      </c>
      <c r="T933" s="3" t="str">
        <f>HYPERLINK("doors://fe-dorapcm3.de.bosch.com:36679/?version=2&amp;prodID=0&amp;view=00000015&amp;urn=urn:telelogic::1-52394082008461e6-O-8356-00059142","BSW_SWS_AR4_0_R2_DIODriver-8356")</f>
        <v>BSW_SWS_AR4_0_R2_DIODriver-8356</v>
      </c>
    </row>
    <row r="934" spans="1:20" x14ac:dyDescent="0.2">
      <c r="A934" t="s">
        <v>2642</v>
      </c>
      <c r="B934" t="s">
        <v>1617</v>
      </c>
      <c r="C934" t="s">
        <v>2643</v>
      </c>
      <c r="D934" s="5" t="s">
        <v>2346</v>
      </c>
      <c r="K934" t="s">
        <v>618</v>
      </c>
      <c r="P934" t="s">
        <v>619</v>
      </c>
      <c r="Q934" t="s">
        <v>620</v>
      </c>
      <c r="R934" t="s">
        <v>1860</v>
      </c>
      <c r="T934" s="3" t="str">
        <f>HYPERLINK("doors://fe-dorapcm3.de.bosch.com:36679/?version=2&amp;prodID=0&amp;view=00000015&amp;urn=urn:telelogic::1-52394082008461e6-O-8358-00059142","BSW_SWS_AR4_0_R2_DIODriver-8358")</f>
        <v>BSW_SWS_AR4_0_R2_DIODriver-8358</v>
      </c>
    </row>
    <row r="935" spans="1:20" x14ac:dyDescent="0.2">
      <c r="A935" t="s">
        <v>2644</v>
      </c>
      <c r="B935" t="s">
        <v>21</v>
      </c>
      <c r="C935" t="s">
        <v>2645</v>
      </c>
      <c r="D935" t="s">
        <v>2343</v>
      </c>
      <c r="T935" s="3" t="str">
        <f>HYPERLINK("doors://fe-dorapcm3.de.bosch.com:36679/?version=2&amp;prodID=0&amp;view=00000015&amp;urn=urn:telelogic::1-52394082008461e6-O-8359-00059142","BSW_SWS_AR4_0_R2_DIODriver-8359")</f>
        <v>BSW_SWS_AR4_0_R2_DIODriver-8359</v>
      </c>
    </row>
    <row r="936" spans="1:20" x14ac:dyDescent="0.2">
      <c r="A936" t="s">
        <v>2646</v>
      </c>
      <c r="B936" t="s">
        <v>1617</v>
      </c>
      <c r="C936" t="s">
        <v>2647</v>
      </c>
      <c r="D936" s="5" t="s">
        <v>2351</v>
      </c>
      <c r="K936" t="s">
        <v>618</v>
      </c>
      <c r="P936" t="s">
        <v>619</v>
      </c>
      <c r="Q936" t="s">
        <v>620</v>
      </c>
      <c r="R936" t="s">
        <v>1860</v>
      </c>
      <c r="T936" s="3" t="str">
        <f>HYPERLINK("doors://fe-dorapcm3.de.bosch.com:36679/?version=2&amp;prodID=0&amp;view=00000015&amp;urn=urn:telelogic::1-52394082008461e6-O-8361-00059142","BSW_SWS_AR4_0_R2_DIODriver-8361")</f>
        <v>BSW_SWS_AR4_0_R2_DIODriver-8361</v>
      </c>
    </row>
    <row r="937" spans="1:20" x14ac:dyDescent="0.2">
      <c r="A937" t="s">
        <v>2648</v>
      </c>
      <c r="B937" t="s">
        <v>21</v>
      </c>
      <c r="C937" t="s">
        <v>2649</v>
      </c>
      <c r="D937" t="s">
        <v>2233</v>
      </c>
      <c r="T937" s="3" t="str">
        <f>HYPERLINK("doors://fe-dorapcm3.de.bosch.com:36679/?version=2&amp;prodID=0&amp;view=00000015&amp;urn=urn:telelogic::1-52394082008461e6-O-8362-00059142","BSW_SWS_AR4_0_R2_DIODriver-8362")</f>
        <v>BSW_SWS_AR4_0_R2_DIODriver-8362</v>
      </c>
    </row>
    <row r="938" spans="1:20" x14ac:dyDescent="0.2">
      <c r="A938" t="s">
        <v>2650</v>
      </c>
      <c r="B938" t="s">
        <v>21</v>
      </c>
      <c r="C938" t="s">
        <v>2651</v>
      </c>
      <c r="D938" t="s">
        <v>2652</v>
      </c>
      <c r="T938" s="3" t="str">
        <f>HYPERLINK("doors://fe-dorapcm3.de.bosch.com:36679/?version=2&amp;prodID=0&amp;view=00000015&amp;urn=urn:telelogic::1-52394082008461e6-O-8363-00059142","BSW_SWS_AR4_0_R2_DIODriver-8363")</f>
        <v>BSW_SWS_AR4_0_R2_DIODriver-8363</v>
      </c>
    </row>
    <row r="939" spans="1:20" x14ac:dyDescent="0.2">
      <c r="A939" t="s">
        <v>2653</v>
      </c>
      <c r="B939" t="s">
        <v>1617</v>
      </c>
      <c r="C939" t="s">
        <v>2654</v>
      </c>
      <c r="D939" s="5" t="s">
        <v>447</v>
      </c>
      <c r="K939" t="s">
        <v>618</v>
      </c>
      <c r="P939" t="s">
        <v>619</v>
      </c>
      <c r="Q939" t="s">
        <v>620</v>
      </c>
      <c r="R939" t="s">
        <v>1860</v>
      </c>
      <c r="T939" s="3" t="str">
        <f>HYPERLINK("doors://fe-dorapcm3.de.bosch.com:36679/?version=2&amp;prodID=0&amp;view=00000015&amp;urn=urn:telelogic::1-52394082008461e6-O-8365-00059142","BSW_SWS_AR4_0_R2_DIODriver-8365")</f>
        <v>BSW_SWS_AR4_0_R2_DIODriver-8365</v>
      </c>
    </row>
    <row r="940" spans="1:20" x14ac:dyDescent="0.2">
      <c r="A940" t="s">
        <v>2655</v>
      </c>
      <c r="B940" t="s">
        <v>21</v>
      </c>
      <c r="C940" t="s">
        <v>2656</v>
      </c>
      <c r="D940" t="s">
        <v>2657</v>
      </c>
      <c r="T940" s="3" t="str">
        <f>HYPERLINK("doors://fe-dorapcm3.de.bosch.com:36679/?version=2&amp;prodID=0&amp;view=00000015&amp;urn=urn:telelogic::1-52394082008461e6-O-8366-00059142","BSW_SWS_AR4_0_R2_DIODriver-8366")</f>
        <v>BSW_SWS_AR4_0_R2_DIODriver-8366</v>
      </c>
    </row>
    <row r="941" spans="1:20" ht="102" x14ac:dyDescent="0.2">
      <c r="A941" t="s">
        <v>2658</v>
      </c>
      <c r="B941" t="s">
        <v>1617</v>
      </c>
      <c r="C941" t="s">
        <v>2659</v>
      </c>
      <c r="D941" t="s">
        <v>2660</v>
      </c>
      <c r="E941" s="4" t="s">
        <v>2661</v>
      </c>
      <c r="K941" t="s">
        <v>618</v>
      </c>
      <c r="P941" t="s">
        <v>619</v>
      </c>
      <c r="R941" t="s">
        <v>1783</v>
      </c>
      <c r="T941" s="3" t="str">
        <f>HYPERLINK("doors://fe-dorapcm3.de.bosch.com:36679/?version=2&amp;prodID=0&amp;view=00000015&amp;urn=urn:telelogic::1-52394082008461e6-O-8367-00059142","BSW_SWS_AR4_0_R2_DIODriver-8367")</f>
        <v>BSW_SWS_AR4_0_R2_DIODriver-8367</v>
      </c>
    </row>
    <row r="942" spans="1:20" ht="89.25" x14ac:dyDescent="0.2">
      <c r="A942" t="s">
        <v>2662</v>
      </c>
      <c r="B942" t="s">
        <v>1617</v>
      </c>
      <c r="C942" t="s">
        <v>2663</v>
      </c>
      <c r="D942" t="s">
        <v>2664</v>
      </c>
      <c r="E942" s="4" t="s">
        <v>2665</v>
      </c>
      <c r="K942" t="s">
        <v>618</v>
      </c>
      <c r="P942" t="s">
        <v>619</v>
      </c>
      <c r="R942" t="s">
        <v>1783</v>
      </c>
      <c r="T942" s="3" t="str">
        <f>HYPERLINK("doors://fe-dorapcm3.de.bosch.com:36679/?version=2&amp;prodID=0&amp;view=00000015&amp;urn=urn:telelogic::1-52394082008461e6-O-8368-00059142","BSW_SWS_AR4_0_R2_DIODriver-8368")</f>
        <v>BSW_SWS_AR4_0_R2_DIODriver-8368</v>
      </c>
    </row>
    <row r="943" spans="1:20" ht="114.75" x14ac:dyDescent="0.2">
      <c r="A943" t="s">
        <v>2666</v>
      </c>
      <c r="B943" t="s">
        <v>1617</v>
      </c>
      <c r="C943" t="s">
        <v>2667</v>
      </c>
      <c r="D943" t="s">
        <v>2668</v>
      </c>
      <c r="E943" s="4" t="s">
        <v>2669</v>
      </c>
      <c r="K943" t="s">
        <v>618</v>
      </c>
      <c r="P943" t="s">
        <v>619</v>
      </c>
      <c r="R943" t="s">
        <v>1783</v>
      </c>
      <c r="T943" s="3" t="str">
        <f>HYPERLINK("doors://fe-dorapcm3.de.bosch.com:36679/?version=2&amp;prodID=0&amp;view=00000015&amp;urn=urn:telelogic::1-52394082008461e6-O-8369-00059142","BSW_SWS_AR4_0_R2_DIODriver-8369")</f>
        <v>BSW_SWS_AR4_0_R2_DIODriver-8369</v>
      </c>
    </row>
    <row r="944" spans="1:20" x14ac:dyDescent="0.2">
      <c r="A944" t="s">
        <v>2670</v>
      </c>
      <c r="B944" t="s">
        <v>76</v>
      </c>
      <c r="C944" t="s">
        <v>2671</v>
      </c>
      <c r="D944" t="s">
        <v>2672</v>
      </c>
      <c r="T944" s="3" t="str">
        <f>HYPERLINK("doors://fe-dorapcm3.de.bosch.com:36679/?version=2&amp;prodID=0&amp;view=00000015&amp;urn=urn:telelogic::1-52394082008461e6-O-8370-00059142","BSW_SWS_AR4_0_R2_DIODriver-8370")</f>
        <v>BSW_SWS_AR4_0_R2_DIODriver-8370</v>
      </c>
    </row>
    <row r="945" spans="1:20" x14ac:dyDescent="0.2">
      <c r="A945" t="s">
        <v>2673</v>
      </c>
      <c r="B945" t="s">
        <v>21</v>
      </c>
      <c r="C945" t="s">
        <v>2674</v>
      </c>
      <c r="D945" s="2" t="s">
        <v>2675</v>
      </c>
      <c r="T945" s="3" t="str">
        <f>HYPERLINK("doors://fe-dorapcm3.de.bosch.com:36679/?version=2&amp;prodID=0&amp;view=00000015&amp;urn=urn:telelogic::1-52394082008461e6-O-8371-00059142","BSW_SWS_AR4_0_R2_DIODriver-8371")</f>
        <v>BSW_SWS_AR4_0_R2_DIODriver-8371</v>
      </c>
    </row>
    <row r="946" spans="1:20" x14ac:dyDescent="0.2">
      <c r="A946" t="s">
        <v>2676</v>
      </c>
      <c r="B946" t="s">
        <v>1771</v>
      </c>
      <c r="C946" t="s">
        <v>2677</v>
      </c>
      <c r="D946" s="2" t="s">
        <v>2678</v>
      </c>
      <c r="K946" t="s">
        <v>618</v>
      </c>
      <c r="P946" t="s">
        <v>619</v>
      </c>
      <c r="Q946" t="s">
        <v>651</v>
      </c>
      <c r="R946" t="s">
        <v>621</v>
      </c>
      <c r="S946" t="s">
        <v>622</v>
      </c>
      <c r="T946" s="3" t="str">
        <f>HYPERLINK("doors://fe-dorapcm3.de.bosch.com:36679/?version=2&amp;prodID=0&amp;view=00000015&amp;urn=urn:telelogic::1-52394082008461e6-O-8372-00059142","BSW_SWS_AR4_0_R2_DIODriver-8372")</f>
        <v>BSW_SWS_AR4_0_R2_DIODriver-8372</v>
      </c>
    </row>
    <row r="947" spans="1:20" x14ac:dyDescent="0.2">
      <c r="A947" t="s">
        <v>2679</v>
      </c>
      <c r="B947" t="s">
        <v>1617</v>
      </c>
      <c r="C947" t="s">
        <v>2680</v>
      </c>
      <c r="D947" s="5" t="s">
        <v>2302</v>
      </c>
      <c r="K947" t="s">
        <v>618</v>
      </c>
      <c r="P947" t="s">
        <v>619</v>
      </c>
      <c r="Q947" t="s">
        <v>620</v>
      </c>
      <c r="R947" t="s">
        <v>1860</v>
      </c>
      <c r="T947" s="3" t="str">
        <f>HYPERLINK("doors://fe-dorapcm3.de.bosch.com:36679/?version=2&amp;prodID=0&amp;view=00000015&amp;urn=urn:telelogic::1-52394082008461e6-O-8375-00059142","BSW_SWS_AR4_0_R2_DIODriver-8375")</f>
        <v>BSW_SWS_AR4_0_R2_DIODriver-8375</v>
      </c>
    </row>
    <row r="948" spans="1:20" x14ac:dyDescent="0.2">
      <c r="A948" t="s">
        <v>2681</v>
      </c>
      <c r="B948" t="s">
        <v>21</v>
      </c>
      <c r="C948" t="s">
        <v>2682</v>
      </c>
      <c r="D948" t="s">
        <v>2683</v>
      </c>
      <c r="T948" s="3" t="str">
        <f>HYPERLINK("doors://fe-dorapcm3.de.bosch.com:36679/?version=2&amp;prodID=0&amp;view=00000015&amp;urn=urn:telelogic::1-52394082008461e6-O-8376-00059142","BSW_SWS_AR4_0_R2_DIODriver-8376")</f>
        <v>BSW_SWS_AR4_0_R2_DIODriver-8376</v>
      </c>
    </row>
    <row r="949" spans="1:20" x14ac:dyDescent="0.2">
      <c r="A949" t="s">
        <v>2684</v>
      </c>
      <c r="B949" t="s">
        <v>1617</v>
      </c>
      <c r="C949" t="s">
        <v>2685</v>
      </c>
      <c r="D949" s="5" t="s">
        <v>2308</v>
      </c>
      <c r="K949" t="s">
        <v>618</v>
      </c>
      <c r="P949" t="s">
        <v>619</v>
      </c>
      <c r="Q949" t="s">
        <v>620</v>
      </c>
      <c r="R949" t="s">
        <v>1860</v>
      </c>
      <c r="T949" s="3" t="str">
        <f>HYPERLINK("doors://fe-dorapcm3.de.bosch.com:36679/?version=2&amp;prodID=0&amp;view=00000015&amp;urn=urn:telelogic::1-52394082008461e6-O-8378-00059142","BSW_SWS_AR4_0_R2_DIODriver-8378")</f>
        <v>BSW_SWS_AR4_0_R2_DIODriver-8378</v>
      </c>
    </row>
    <row r="950" spans="1:20" ht="51" x14ac:dyDescent="0.2">
      <c r="A950" t="s">
        <v>2686</v>
      </c>
      <c r="B950" t="s">
        <v>21</v>
      </c>
      <c r="C950" t="s">
        <v>2687</v>
      </c>
      <c r="D950" s="4" t="s">
        <v>2688</v>
      </c>
      <c r="T950" s="3" t="str">
        <f>HYPERLINK("doors://fe-dorapcm3.de.bosch.com:36679/?version=2&amp;prodID=0&amp;view=00000015&amp;urn=urn:telelogic::1-52394082008461e6-O-8379-00059142","BSW_SWS_AR4_0_R2_DIODriver-8379")</f>
        <v>BSW_SWS_AR4_0_R2_DIODriver-8379</v>
      </c>
    </row>
    <row r="951" spans="1:20" x14ac:dyDescent="0.2">
      <c r="A951" t="s">
        <v>2689</v>
      </c>
      <c r="B951" t="s">
        <v>1617</v>
      </c>
      <c r="C951" t="s">
        <v>2690</v>
      </c>
      <c r="D951" s="5" t="s">
        <v>2314</v>
      </c>
      <c r="K951" t="s">
        <v>618</v>
      </c>
      <c r="P951" t="s">
        <v>619</v>
      </c>
      <c r="Q951" t="s">
        <v>620</v>
      </c>
      <c r="R951" t="s">
        <v>1860</v>
      </c>
      <c r="T951" s="3" t="str">
        <f>HYPERLINK("doors://fe-dorapcm3.de.bosch.com:36679/?version=2&amp;prodID=0&amp;view=00000015&amp;urn=urn:telelogic::1-52394082008461e6-O-8381-00059142","BSW_SWS_AR4_0_R2_DIODriver-8381")</f>
        <v>BSW_SWS_AR4_0_R2_DIODriver-8381</v>
      </c>
    </row>
    <row r="952" spans="1:20" x14ac:dyDescent="0.2">
      <c r="A952" t="s">
        <v>2691</v>
      </c>
      <c r="B952" t="s">
        <v>21</v>
      </c>
      <c r="C952" t="s">
        <v>2692</v>
      </c>
      <c r="D952" t="s">
        <v>2693</v>
      </c>
      <c r="T952" s="3" t="str">
        <f>HYPERLINK("doors://fe-dorapcm3.de.bosch.com:36679/?version=2&amp;prodID=0&amp;view=00000015&amp;urn=urn:telelogic::1-52394082008461e6-O-8382-00059142","BSW_SWS_AR4_0_R2_DIODriver-8382")</f>
        <v>BSW_SWS_AR4_0_R2_DIODriver-8382</v>
      </c>
    </row>
    <row r="953" spans="1:20" x14ac:dyDescent="0.2">
      <c r="A953" t="s">
        <v>2694</v>
      </c>
      <c r="B953" t="s">
        <v>1617</v>
      </c>
      <c r="C953" t="s">
        <v>2695</v>
      </c>
      <c r="D953" s="5" t="s">
        <v>2319</v>
      </c>
      <c r="K953" t="s">
        <v>618</v>
      </c>
      <c r="P953" t="s">
        <v>619</v>
      </c>
      <c r="Q953" t="s">
        <v>620</v>
      </c>
      <c r="R953" t="s">
        <v>1860</v>
      </c>
      <c r="T953" s="3" t="str">
        <f>HYPERLINK("doors://fe-dorapcm3.de.bosch.com:36679/?version=2&amp;prodID=0&amp;view=00000015&amp;urn=urn:telelogic::1-52394082008461e6-O-8384-00059142","BSW_SWS_AR4_0_R2_DIODriver-8384")</f>
        <v>BSW_SWS_AR4_0_R2_DIODriver-8384</v>
      </c>
    </row>
    <row r="954" spans="1:20" x14ac:dyDescent="0.2">
      <c r="A954" t="s">
        <v>2696</v>
      </c>
      <c r="B954" t="s">
        <v>21</v>
      </c>
      <c r="C954" t="s">
        <v>2697</v>
      </c>
      <c r="D954" t="s">
        <v>2322</v>
      </c>
      <c r="T954" s="3" t="str">
        <f>HYPERLINK("doors://fe-dorapcm3.de.bosch.com:36679/?version=2&amp;prodID=0&amp;view=00000015&amp;urn=urn:telelogic::1-52394082008461e6-O-8385-00059142","BSW_SWS_AR4_0_R2_DIODriver-8385")</f>
        <v>BSW_SWS_AR4_0_R2_DIODriver-8385</v>
      </c>
    </row>
    <row r="955" spans="1:20" x14ac:dyDescent="0.2">
      <c r="A955" t="s">
        <v>2698</v>
      </c>
      <c r="B955" t="s">
        <v>1617</v>
      </c>
      <c r="C955" t="s">
        <v>2699</v>
      </c>
      <c r="D955" s="5" t="s">
        <v>2325</v>
      </c>
      <c r="K955" t="s">
        <v>618</v>
      </c>
      <c r="P955" t="s">
        <v>619</v>
      </c>
      <c r="Q955" t="s">
        <v>620</v>
      </c>
      <c r="R955" t="s">
        <v>1860</v>
      </c>
      <c r="T955" s="3" t="str">
        <f>HYPERLINK("doors://fe-dorapcm3.de.bosch.com:36679/?version=2&amp;prodID=0&amp;view=00000015&amp;urn=urn:telelogic::1-52394082008461e6-O-8387-00059142","BSW_SWS_AR4_0_R2_DIODriver-8387")</f>
        <v>BSW_SWS_AR4_0_R2_DIODriver-8387</v>
      </c>
    </row>
    <row r="956" spans="1:20" x14ac:dyDescent="0.2">
      <c r="A956" t="s">
        <v>2700</v>
      </c>
      <c r="B956" t="s">
        <v>21</v>
      </c>
      <c r="C956" t="s">
        <v>2701</v>
      </c>
      <c r="D956" t="s">
        <v>2328</v>
      </c>
      <c r="T956" s="3" t="str">
        <f>HYPERLINK("doors://fe-dorapcm3.de.bosch.com:36679/?version=2&amp;prodID=0&amp;view=00000015&amp;urn=urn:telelogic::1-52394082008461e6-O-8388-00059142","BSW_SWS_AR4_0_R2_DIODriver-8388")</f>
        <v>BSW_SWS_AR4_0_R2_DIODriver-8388</v>
      </c>
    </row>
    <row r="957" spans="1:20" x14ac:dyDescent="0.2">
      <c r="A957" t="s">
        <v>2702</v>
      </c>
      <c r="B957" t="s">
        <v>1617</v>
      </c>
      <c r="C957" t="s">
        <v>2703</v>
      </c>
      <c r="D957" s="5" t="s">
        <v>2331</v>
      </c>
      <c r="K957" t="s">
        <v>618</v>
      </c>
      <c r="P957" t="s">
        <v>619</v>
      </c>
      <c r="Q957" t="s">
        <v>620</v>
      </c>
      <c r="R957" t="s">
        <v>1860</v>
      </c>
      <c r="T957" s="3" t="str">
        <f>HYPERLINK("doors://fe-dorapcm3.de.bosch.com:36679/?version=2&amp;prodID=0&amp;view=00000015&amp;urn=urn:telelogic::1-52394082008461e6-O-8390-00059142","BSW_SWS_AR4_0_R2_DIODriver-8390")</f>
        <v>BSW_SWS_AR4_0_R2_DIODriver-8390</v>
      </c>
    </row>
    <row r="958" spans="1:20" x14ac:dyDescent="0.2">
      <c r="A958" t="s">
        <v>2704</v>
      </c>
      <c r="B958" t="s">
        <v>21</v>
      </c>
      <c r="C958" t="s">
        <v>2705</v>
      </c>
      <c r="D958" t="s">
        <v>2634</v>
      </c>
      <c r="T958" s="3" t="str">
        <f>HYPERLINK("doors://fe-dorapcm3.de.bosch.com:36679/?version=2&amp;prodID=0&amp;view=00000015&amp;urn=urn:telelogic::1-52394082008461e6-O-8391-00059142","BSW_SWS_AR4_0_R2_DIODriver-8391")</f>
        <v>BSW_SWS_AR4_0_R2_DIODriver-8391</v>
      </c>
    </row>
    <row r="959" spans="1:20" x14ac:dyDescent="0.2">
      <c r="A959" t="s">
        <v>2706</v>
      </c>
      <c r="B959" t="s">
        <v>21</v>
      </c>
      <c r="C959" t="s">
        <v>2707</v>
      </c>
      <c r="D959" t="s">
        <v>2637</v>
      </c>
      <c r="T959" s="3" t="str">
        <f>HYPERLINK("doors://fe-dorapcm3.de.bosch.com:36679/?version=2&amp;prodID=0&amp;view=00000015&amp;urn=urn:telelogic::1-52394082008461e6-O-8392-00059142","BSW_SWS_AR4_0_R2_DIODriver-8392")</f>
        <v>BSW_SWS_AR4_0_R2_DIODriver-8392</v>
      </c>
    </row>
    <row r="960" spans="1:20" x14ac:dyDescent="0.2">
      <c r="A960" t="s">
        <v>2708</v>
      </c>
      <c r="B960" t="s">
        <v>1617</v>
      </c>
      <c r="C960" t="s">
        <v>2709</v>
      </c>
      <c r="K960" t="s">
        <v>618</v>
      </c>
      <c r="P960" t="s">
        <v>619</v>
      </c>
      <c r="Q960" t="s">
        <v>620</v>
      </c>
      <c r="R960" t="s">
        <v>1860</v>
      </c>
      <c r="T960" s="3" t="str">
        <f>HYPERLINK("doors://fe-dorapcm3.de.bosch.com:36679/?version=2&amp;prodID=0&amp;view=00000015&amp;urn=urn:telelogic::1-52394082008461e6-O-8394-00059142","BSW_SWS_AR4_0_R2_DIODriver-8394")</f>
        <v>BSW_SWS_AR4_0_R2_DIODriver-8394</v>
      </c>
    </row>
    <row r="961" spans="1:20" x14ac:dyDescent="0.2">
      <c r="A961" t="s">
        <v>2710</v>
      </c>
      <c r="B961" t="s">
        <v>21</v>
      </c>
      <c r="C961" t="s">
        <v>2711</v>
      </c>
      <c r="D961" t="s">
        <v>2411</v>
      </c>
      <c r="T961" s="3" t="str">
        <f>HYPERLINK("doors://fe-dorapcm3.de.bosch.com:36679/?version=2&amp;prodID=0&amp;view=00000015&amp;urn=urn:telelogic::1-52394082008461e6-O-8395-00059142","BSW_SWS_AR4_0_R2_DIODriver-8395")</f>
        <v>BSW_SWS_AR4_0_R2_DIODriver-8395</v>
      </c>
    </row>
    <row r="962" spans="1:20" x14ac:dyDescent="0.2">
      <c r="A962" t="s">
        <v>2712</v>
      </c>
      <c r="B962" t="s">
        <v>21</v>
      </c>
      <c r="C962" t="s">
        <v>2713</v>
      </c>
      <c r="D962" t="s">
        <v>2414</v>
      </c>
      <c r="T962" s="3" t="str">
        <f>HYPERLINK("doors://fe-dorapcm3.de.bosch.com:36679/?version=2&amp;prodID=0&amp;view=00000015&amp;urn=urn:telelogic::1-52394082008461e6-O-8396-00059142","BSW_SWS_AR4_0_R2_DIODriver-8396")</f>
        <v>BSW_SWS_AR4_0_R2_DIODriver-8396</v>
      </c>
    </row>
    <row r="963" spans="1:20" x14ac:dyDescent="0.2">
      <c r="A963" t="s">
        <v>2714</v>
      </c>
      <c r="B963" t="s">
        <v>1617</v>
      </c>
      <c r="C963" t="s">
        <v>2715</v>
      </c>
      <c r="D963" s="5" t="s">
        <v>2340</v>
      </c>
      <c r="K963" t="s">
        <v>618</v>
      </c>
      <c r="P963" t="s">
        <v>619</v>
      </c>
      <c r="Q963" t="s">
        <v>620</v>
      </c>
      <c r="R963" t="s">
        <v>1860</v>
      </c>
      <c r="T963" s="3" t="str">
        <f>HYPERLINK("doors://fe-dorapcm3.de.bosch.com:36679/?version=2&amp;prodID=0&amp;view=00000015&amp;urn=urn:telelogic::1-52394082008461e6-O-8398-00059142","BSW_SWS_AR4_0_R2_DIODriver-8398")</f>
        <v>BSW_SWS_AR4_0_R2_DIODriver-8398</v>
      </c>
    </row>
    <row r="964" spans="1:20" x14ac:dyDescent="0.2">
      <c r="A964" t="s">
        <v>2716</v>
      </c>
      <c r="B964" t="s">
        <v>21</v>
      </c>
      <c r="C964" t="s">
        <v>2717</v>
      </c>
      <c r="D964" t="s">
        <v>2343</v>
      </c>
      <c r="T964" s="3" t="str">
        <f>HYPERLINK("doors://fe-dorapcm3.de.bosch.com:36679/?version=2&amp;prodID=0&amp;view=00000015&amp;urn=urn:telelogic::1-52394082008461e6-O-8399-00059142","BSW_SWS_AR4_0_R2_DIODriver-8399")</f>
        <v>BSW_SWS_AR4_0_R2_DIODriver-8399</v>
      </c>
    </row>
    <row r="965" spans="1:20" x14ac:dyDescent="0.2">
      <c r="A965" t="s">
        <v>2718</v>
      </c>
      <c r="B965" t="s">
        <v>1617</v>
      </c>
      <c r="C965" t="s">
        <v>2719</v>
      </c>
      <c r="D965" s="5" t="s">
        <v>2346</v>
      </c>
      <c r="K965" t="s">
        <v>618</v>
      </c>
      <c r="P965" t="s">
        <v>619</v>
      </c>
      <c r="Q965" t="s">
        <v>620</v>
      </c>
      <c r="R965" t="s">
        <v>1860</v>
      </c>
      <c r="T965" s="3" t="str">
        <f>HYPERLINK("doors://fe-dorapcm3.de.bosch.com:36679/?version=2&amp;prodID=0&amp;view=00000015&amp;urn=urn:telelogic::1-52394082008461e6-O-8401-00059142","BSW_SWS_AR4_0_R2_DIODriver-8401")</f>
        <v>BSW_SWS_AR4_0_R2_DIODriver-8401</v>
      </c>
    </row>
    <row r="966" spans="1:20" x14ac:dyDescent="0.2">
      <c r="A966" t="s">
        <v>2720</v>
      </c>
      <c r="B966" t="s">
        <v>21</v>
      </c>
      <c r="C966" t="s">
        <v>2721</v>
      </c>
      <c r="D966" t="s">
        <v>2343</v>
      </c>
      <c r="T966" s="3" t="str">
        <f>HYPERLINK("doors://fe-dorapcm3.de.bosch.com:36679/?version=2&amp;prodID=0&amp;view=00000015&amp;urn=urn:telelogic::1-52394082008461e6-O-8402-00059142","BSW_SWS_AR4_0_R2_DIODriver-8402")</f>
        <v>BSW_SWS_AR4_0_R2_DIODriver-8402</v>
      </c>
    </row>
    <row r="967" spans="1:20" x14ac:dyDescent="0.2">
      <c r="A967" t="s">
        <v>2722</v>
      </c>
      <c r="B967" t="s">
        <v>1617</v>
      </c>
      <c r="C967" t="s">
        <v>2723</v>
      </c>
      <c r="D967" s="5" t="s">
        <v>2351</v>
      </c>
      <c r="K967" t="s">
        <v>618</v>
      </c>
      <c r="P967" t="s">
        <v>619</v>
      </c>
      <c r="Q967" t="s">
        <v>620</v>
      </c>
      <c r="R967" t="s">
        <v>1860</v>
      </c>
      <c r="T967" s="3" t="str">
        <f>HYPERLINK("doors://fe-dorapcm3.de.bosch.com:36679/?version=2&amp;prodID=0&amp;view=00000015&amp;urn=urn:telelogic::1-52394082008461e6-O-8404-00059142","BSW_SWS_AR4_0_R2_DIODriver-8404")</f>
        <v>BSW_SWS_AR4_0_R2_DIODriver-8404</v>
      </c>
    </row>
    <row r="968" spans="1:20" x14ac:dyDescent="0.2">
      <c r="A968" t="s">
        <v>2724</v>
      </c>
      <c r="B968" t="s">
        <v>21</v>
      </c>
      <c r="C968" t="s">
        <v>2725</v>
      </c>
      <c r="D968" t="s">
        <v>2343</v>
      </c>
      <c r="T968" s="3" t="str">
        <f>HYPERLINK("doors://fe-dorapcm3.de.bosch.com:36679/?version=2&amp;prodID=0&amp;view=00000015&amp;urn=urn:telelogic::1-52394082008461e6-O-8405-00059142","BSW_SWS_AR4_0_R2_DIODriver-8405")</f>
        <v>BSW_SWS_AR4_0_R2_DIODriver-8405</v>
      </c>
    </row>
    <row r="969" spans="1:20" x14ac:dyDescent="0.2">
      <c r="A969" t="s">
        <v>2726</v>
      </c>
      <c r="B969" t="s">
        <v>1617</v>
      </c>
      <c r="C969" t="s">
        <v>2727</v>
      </c>
      <c r="D969" s="5" t="s">
        <v>447</v>
      </c>
      <c r="K969" t="s">
        <v>618</v>
      </c>
      <c r="P969" t="s">
        <v>619</v>
      </c>
      <c r="Q969" t="s">
        <v>620</v>
      </c>
      <c r="R969" t="s">
        <v>1860</v>
      </c>
      <c r="T969" s="3" t="str">
        <f>HYPERLINK("doors://fe-dorapcm3.de.bosch.com:36679/?version=2&amp;prodID=0&amp;view=00000015&amp;urn=urn:telelogic::1-52394082008461e6-O-8407-00059142","BSW_SWS_AR4_0_R2_DIODriver-8407")</f>
        <v>BSW_SWS_AR4_0_R2_DIODriver-8407</v>
      </c>
    </row>
    <row r="970" spans="1:20" x14ac:dyDescent="0.2">
      <c r="A970" t="s">
        <v>2728</v>
      </c>
      <c r="B970" t="s">
        <v>21</v>
      </c>
      <c r="C970" t="s">
        <v>2729</v>
      </c>
      <c r="D970" t="s">
        <v>2730</v>
      </c>
      <c r="T970" s="3" t="str">
        <f>HYPERLINK("doors://fe-dorapcm3.de.bosch.com:36679/?version=2&amp;prodID=0&amp;view=00000015&amp;urn=urn:telelogic::1-52394082008461e6-O-8408-00059142","BSW_SWS_AR4_0_R2_DIODriver-8408")</f>
        <v>BSW_SWS_AR4_0_R2_DIODriver-8408</v>
      </c>
    </row>
    <row r="971" spans="1:20" ht="89.25" x14ac:dyDescent="0.2">
      <c r="A971" t="s">
        <v>2731</v>
      </c>
      <c r="B971" t="s">
        <v>1617</v>
      </c>
      <c r="C971" t="s">
        <v>2732</v>
      </c>
      <c r="D971" t="s">
        <v>2733</v>
      </c>
      <c r="E971" s="4" t="s">
        <v>2734</v>
      </c>
      <c r="K971" t="s">
        <v>618</v>
      </c>
      <c r="P971" t="s">
        <v>619</v>
      </c>
      <c r="R971" t="s">
        <v>1783</v>
      </c>
      <c r="T971" s="3" t="str">
        <f>HYPERLINK("doors://fe-dorapcm3.de.bosch.com:36679/?version=2&amp;prodID=0&amp;view=00000015&amp;urn=urn:telelogic::1-52394082008461e6-O-8409-00059142","BSW_SWS_AR4_0_R2_DIODriver-8409")</f>
        <v>BSW_SWS_AR4_0_R2_DIODriver-8409</v>
      </c>
    </row>
    <row r="972" spans="1:20" ht="127.5" x14ac:dyDescent="0.2">
      <c r="A972" t="s">
        <v>2735</v>
      </c>
      <c r="B972" t="s">
        <v>1617</v>
      </c>
      <c r="C972" t="s">
        <v>2736</v>
      </c>
      <c r="D972" t="s">
        <v>2737</v>
      </c>
      <c r="E972" s="4" t="s">
        <v>2738</v>
      </c>
      <c r="K972" t="s">
        <v>618</v>
      </c>
      <c r="P972" t="s">
        <v>619</v>
      </c>
      <c r="R972" t="s">
        <v>1783</v>
      </c>
      <c r="T972" s="3" t="str">
        <f>HYPERLINK("doors://fe-dorapcm3.de.bosch.com:36679/?version=2&amp;prodID=0&amp;view=00000015&amp;urn=urn:telelogic::1-52394082008461e6-O-8410-00059142","BSW_SWS_AR4_0_R2_DIODriver-8410")</f>
        <v>BSW_SWS_AR4_0_R2_DIODriver-8410</v>
      </c>
    </row>
    <row r="973" spans="1:20" ht="89.25" x14ac:dyDescent="0.2">
      <c r="A973" t="s">
        <v>2739</v>
      </c>
      <c r="B973" t="s">
        <v>1617</v>
      </c>
      <c r="C973" t="s">
        <v>2740</v>
      </c>
      <c r="D973" t="s">
        <v>2741</v>
      </c>
      <c r="E973" s="4" t="s">
        <v>2742</v>
      </c>
      <c r="K973" t="s">
        <v>618</v>
      </c>
      <c r="P973" t="s">
        <v>619</v>
      </c>
      <c r="R973" t="s">
        <v>1783</v>
      </c>
      <c r="T973" s="3" t="str">
        <f>HYPERLINK("doors://fe-dorapcm3.de.bosch.com:36679/?version=2&amp;prodID=0&amp;view=00000015&amp;urn=urn:telelogic::1-52394082008461e6-O-8411-00059142","BSW_SWS_AR4_0_R2_DIODriver-8411")</f>
        <v>BSW_SWS_AR4_0_R2_DIODriver-8411</v>
      </c>
    </row>
    <row r="974" spans="1:20" ht="114.75" x14ac:dyDescent="0.2">
      <c r="A974" t="s">
        <v>2743</v>
      </c>
      <c r="B974" t="s">
        <v>1617</v>
      </c>
      <c r="C974" t="s">
        <v>2744</v>
      </c>
      <c r="D974" t="s">
        <v>2745</v>
      </c>
      <c r="E974" s="4" t="s">
        <v>2746</v>
      </c>
      <c r="K974" t="s">
        <v>618</v>
      </c>
      <c r="P974" t="s">
        <v>619</v>
      </c>
      <c r="R974" t="s">
        <v>1783</v>
      </c>
      <c r="T974" s="3" t="str">
        <f>HYPERLINK("doors://fe-dorapcm3.de.bosch.com:36679/?version=2&amp;prodID=0&amp;view=00000015&amp;urn=urn:telelogic::1-52394082008461e6-O-8412-00059142","BSW_SWS_AR4_0_R2_DIODriver-8412")</f>
        <v>BSW_SWS_AR4_0_R2_DIODriver-8412</v>
      </c>
    </row>
    <row r="975" spans="1:20" x14ac:dyDescent="0.2">
      <c r="A975" t="s">
        <v>2747</v>
      </c>
      <c r="B975" t="s">
        <v>76</v>
      </c>
      <c r="C975" t="s">
        <v>2748</v>
      </c>
      <c r="D975" t="s">
        <v>2749</v>
      </c>
      <c r="T975" s="3" t="str">
        <f>HYPERLINK("doors://fe-dorapcm3.de.bosch.com:36679/?version=2&amp;prodID=0&amp;view=00000015&amp;urn=urn:telelogic::1-52394082008461e6-O-8413-00059142","BSW_SWS_AR4_0_R2_DIODriver-8413")</f>
        <v>BSW_SWS_AR4_0_R2_DIODriver-8413</v>
      </c>
    </row>
    <row r="976" spans="1:20" x14ac:dyDescent="0.2">
      <c r="A976" t="s">
        <v>2750</v>
      </c>
      <c r="B976" t="s">
        <v>21</v>
      </c>
      <c r="C976" t="s">
        <v>2751</v>
      </c>
      <c r="D976" s="2" t="s">
        <v>2752</v>
      </c>
      <c r="T976" s="3" t="str">
        <f>HYPERLINK("doors://fe-dorapcm3.de.bosch.com:36679/?version=2&amp;prodID=0&amp;view=00000015&amp;urn=urn:telelogic::1-52394082008461e6-O-8414-00059142","BSW_SWS_AR4_0_R2_DIODriver-8414")</f>
        <v>BSW_SWS_AR4_0_R2_DIODriver-8414</v>
      </c>
    </row>
    <row r="977" spans="1:20" x14ac:dyDescent="0.2">
      <c r="A977" t="s">
        <v>2753</v>
      </c>
      <c r="B977" t="s">
        <v>76</v>
      </c>
      <c r="C977" t="s">
        <v>2754</v>
      </c>
      <c r="D977" t="s">
        <v>2755</v>
      </c>
      <c r="T977" s="3" t="str">
        <f>HYPERLINK("doors://fe-dorapcm3.de.bosch.com:36679/?version=2&amp;prodID=0&amp;view=00000015&amp;urn=urn:telelogic::1-52394082008461e6-O-8415-00059142","BSW_SWS_AR4_0_R2_DIODriver-8415")</f>
        <v>BSW_SWS_AR4_0_R2_DIODriver-8415</v>
      </c>
    </row>
    <row r="978" spans="1:20" x14ac:dyDescent="0.2">
      <c r="A978" t="s">
        <v>2756</v>
      </c>
      <c r="B978" t="s">
        <v>1771</v>
      </c>
      <c r="C978" t="s">
        <v>2757</v>
      </c>
      <c r="D978" s="2" t="s">
        <v>2758</v>
      </c>
      <c r="J978" t="s">
        <v>2759</v>
      </c>
      <c r="K978" t="s">
        <v>618</v>
      </c>
      <c r="P978" t="s">
        <v>619</v>
      </c>
      <c r="Q978" t="s">
        <v>620</v>
      </c>
      <c r="R978" t="s">
        <v>621</v>
      </c>
      <c r="S978" t="s">
        <v>622</v>
      </c>
      <c r="T978" s="3" t="str">
        <f>HYPERLINK("doors://fe-dorapcm3.de.bosch.com:36679/?version=2&amp;prodID=0&amp;view=00000015&amp;urn=urn:telelogic::1-52394082008461e6-O-8416-00059142","BSW_SWS_AR4_0_R2_DIODriver-8416")</f>
        <v>BSW_SWS_AR4_0_R2_DIODriver-8416</v>
      </c>
    </row>
    <row r="979" spans="1:20" x14ac:dyDescent="0.2">
      <c r="A979" t="s">
        <v>2760</v>
      </c>
      <c r="B979" t="s">
        <v>1617</v>
      </c>
      <c r="C979" t="s">
        <v>2761</v>
      </c>
      <c r="D979" s="5" t="s">
        <v>2302</v>
      </c>
      <c r="K979" t="s">
        <v>618</v>
      </c>
      <c r="P979" t="s">
        <v>619</v>
      </c>
      <c r="Q979" t="s">
        <v>620</v>
      </c>
      <c r="R979" t="s">
        <v>1860</v>
      </c>
      <c r="T979" s="3" t="str">
        <f>HYPERLINK("doors://fe-dorapcm3.de.bosch.com:36679/?version=2&amp;prodID=0&amp;view=00000015&amp;urn=urn:telelogic::1-52394082008461e6-O-8419-00059142","BSW_SWS_AR4_0_R2_DIODriver-8419")</f>
        <v>BSW_SWS_AR4_0_R2_DIODriver-8419</v>
      </c>
    </row>
    <row r="980" spans="1:20" x14ac:dyDescent="0.2">
      <c r="A980" t="s">
        <v>2762</v>
      </c>
      <c r="B980" t="s">
        <v>21</v>
      </c>
      <c r="C980" t="s">
        <v>2763</v>
      </c>
      <c r="D980" t="s">
        <v>2764</v>
      </c>
      <c r="T980" s="3" t="str">
        <f>HYPERLINK("doors://fe-dorapcm3.de.bosch.com:36679/?version=2&amp;prodID=0&amp;view=00000015&amp;urn=urn:telelogic::1-52394082008461e6-O-8420-00059142","BSW_SWS_AR4_0_R2_DIODriver-8420")</f>
        <v>BSW_SWS_AR4_0_R2_DIODriver-8420</v>
      </c>
    </row>
    <row r="981" spans="1:20" x14ac:dyDescent="0.2">
      <c r="A981" t="s">
        <v>2765</v>
      </c>
      <c r="B981" t="s">
        <v>1617</v>
      </c>
      <c r="C981" t="s">
        <v>2766</v>
      </c>
      <c r="D981" s="5" t="s">
        <v>2308</v>
      </c>
      <c r="K981" t="s">
        <v>618</v>
      </c>
      <c r="P981" t="s">
        <v>619</v>
      </c>
      <c r="Q981" t="s">
        <v>620</v>
      </c>
      <c r="R981" t="s">
        <v>1860</v>
      </c>
      <c r="T981" s="3" t="str">
        <f>HYPERLINK("doors://fe-dorapcm3.de.bosch.com:36679/?version=2&amp;prodID=0&amp;view=00000015&amp;urn=urn:telelogic::1-52394082008461e6-O-8422-00059142","BSW_SWS_AR4_0_R2_DIODriver-8422")</f>
        <v>BSW_SWS_AR4_0_R2_DIODriver-8422</v>
      </c>
    </row>
    <row r="982" spans="1:20" ht="38.25" x14ac:dyDescent="0.2">
      <c r="A982" t="s">
        <v>2767</v>
      </c>
      <c r="B982" t="s">
        <v>21</v>
      </c>
      <c r="C982" t="s">
        <v>2768</v>
      </c>
      <c r="D982" s="4" t="s">
        <v>2769</v>
      </c>
      <c r="T982" s="3" t="str">
        <f>HYPERLINK("doors://fe-dorapcm3.de.bosch.com:36679/?version=2&amp;prodID=0&amp;view=00000015&amp;urn=urn:telelogic::1-52394082008461e6-O-8423-00059142","BSW_SWS_AR4_0_R2_DIODriver-8423")</f>
        <v>BSW_SWS_AR4_0_R2_DIODriver-8423</v>
      </c>
    </row>
    <row r="983" spans="1:20" x14ac:dyDescent="0.2">
      <c r="A983" t="s">
        <v>2770</v>
      </c>
      <c r="B983" t="s">
        <v>1617</v>
      </c>
      <c r="C983" t="s">
        <v>2771</v>
      </c>
      <c r="D983" s="5" t="s">
        <v>2314</v>
      </c>
      <c r="K983" t="s">
        <v>618</v>
      </c>
      <c r="P983" t="s">
        <v>619</v>
      </c>
      <c r="Q983" t="s">
        <v>620</v>
      </c>
      <c r="R983" t="s">
        <v>1860</v>
      </c>
      <c r="T983" s="3" t="str">
        <f>HYPERLINK("doors://fe-dorapcm3.de.bosch.com:36679/?version=2&amp;prodID=0&amp;view=00000015&amp;urn=urn:telelogic::1-52394082008461e6-O-8425-00059142","BSW_SWS_AR4_0_R2_DIODriver-8425")</f>
        <v>BSW_SWS_AR4_0_R2_DIODriver-8425</v>
      </c>
    </row>
    <row r="984" spans="1:20" x14ac:dyDescent="0.2">
      <c r="A984" t="s">
        <v>2772</v>
      </c>
      <c r="B984" t="s">
        <v>21</v>
      </c>
      <c r="C984" t="s">
        <v>2773</v>
      </c>
      <c r="D984" t="s">
        <v>2774</v>
      </c>
      <c r="T984" s="3" t="str">
        <f>HYPERLINK("doors://fe-dorapcm3.de.bosch.com:36679/?version=2&amp;prodID=0&amp;view=00000015&amp;urn=urn:telelogic::1-52394082008461e6-O-8426-00059142","BSW_SWS_AR4_0_R2_DIODriver-8426")</f>
        <v>BSW_SWS_AR4_0_R2_DIODriver-8426</v>
      </c>
    </row>
    <row r="985" spans="1:20" x14ac:dyDescent="0.2">
      <c r="A985" t="s">
        <v>2775</v>
      </c>
      <c r="B985" t="s">
        <v>1617</v>
      </c>
      <c r="C985" t="s">
        <v>2776</v>
      </c>
      <c r="D985" s="5" t="s">
        <v>2319</v>
      </c>
      <c r="K985" t="s">
        <v>618</v>
      </c>
      <c r="P985" t="s">
        <v>619</v>
      </c>
      <c r="Q985" t="s">
        <v>620</v>
      </c>
      <c r="R985" t="s">
        <v>1860</v>
      </c>
      <c r="T985" s="3" t="str">
        <f>HYPERLINK("doors://fe-dorapcm3.de.bosch.com:36679/?version=2&amp;prodID=0&amp;view=00000015&amp;urn=urn:telelogic::1-52394082008461e6-O-8428-00059142","BSW_SWS_AR4_0_R2_DIODriver-8428")</f>
        <v>BSW_SWS_AR4_0_R2_DIODriver-8428</v>
      </c>
    </row>
    <row r="986" spans="1:20" x14ac:dyDescent="0.2">
      <c r="A986" t="s">
        <v>2777</v>
      </c>
      <c r="B986" t="s">
        <v>21</v>
      </c>
      <c r="C986" t="s">
        <v>2778</v>
      </c>
      <c r="D986" t="s">
        <v>2322</v>
      </c>
      <c r="T986" s="3" t="str">
        <f>HYPERLINK("doors://fe-dorapcm3.de.bosch.com:36679/?version=2&amp;prodID=0&amp;view=00000015&amp;urn=urn:telelogic::1-52394082008461e6-O-8429-00059142","BSW_SWS_AR4_0_R2_DIODriver-8429")</f>
        <v>BSW_SWS_AR4_0_R2_DIODriver-8429</v>
      </c>
    </row>
    <row r="987" spans="1:20" x14ac:dyDescent="0.2">
      <c r="A987" t="s">
        <v>2779</v>
      </c>
      <c r="B987" t="s">
        <v>1617</v>
      </c>
      <c r="C987" t="s">
        <v>2780</v>
      </c>
      <c r="D987" s="5" t="s">
        <v>2325</v>
      </c>
      <c r="K987" t="s">
        <v>618</v>
      </c>
      <c r="P987" t="s">
        <v>619</v>
      </c>
      <c r="Q987" t="s">
        <v>620</v>
      </c>
      <c r="R987" t="s">
        <v>1860</v>
      </c>
      <c r="T987" s="3" t="str">
        <f>HYPERLINK("doors://fe-dorapcm3.de.bosch.com:36679/?version=2&amp;prodID=0&amp;view=00000015&amp;urn=urn:telelogic::1-52394082008461e6-O-8431-00059142","BSW_SWS_AR4_0_R2_DIODriver-8431")</f>
        <v>BSW_SWS_AR4_0_R2_DIODriver-8431</v>
      </c>
    </row>
    <row r="988" spans="1:20" x14ac:dyDescent="0.2">
      <c r="A988" t="s">
        <v>2781</v>
      </c>
      <c r="B988" t="s">
        <v>21</v>
      </c>
      <c r="C988" t="s">
        <v>2782</v>
      </c>
      <c r="D988" t="s">
        <v>2783</v>
      </c>
      <c r="T988" s="3" t="str">
        <f>HYPERLINK("doors://fe-dorapcm3.de.bosch.com:36679/?version=2&amp;prodID=0&amp;view=00000015&amp;urn=urn:telelogic::1-52394082008461e6-O-8432-00059142","BSW_SWS_AR4_0_R2_DIODriver-8432")</f>
        <v>BSW_SWS_AR4_0_R2_DIODriver-8432</v>
      </c>
    </row>
    <row r="989" spans="1:20" x14ac:dyDescent="0.2">
      <c r="A989" t="s">
        <v>2784</v>
      </c>
      <c r="B989" t="s">
        <v>1617</v>
      </c>
      <c r="C989" t="s">
        <v>2785</v>
      </c>
      <c r="D989" s="5" t="s">
        <v>2331</v>
      </c>
      <c r="K989" t="s">
        <v>618</v>
      </c>
      <c r="P989" t="s">
        <v>619</v>
      </c>
      <c r="Q989" t="s">
        <v>620</v>
      </c>
      <c r="R989" t="s">
        <v>1860</v>
      </c>
      <c r="T989" s="3" t="str">
        <f>HYPERLINK("doors://fe-dorapcm3.de.bosch.com:36679/?version=2&amp;prodID=0&amp;view=00000015&amp;urn=urn:telelogic::1-52394082008461e6-O-8434-00059142","BSW_SWS_AR4_0_R2_DIODriver-8434")</f>
        <v>BSW_SWS_AR4_0_R2_DIODriver-8434</v>
      </c>
    </row>
    <row r="990" spans="1:20" x14ac:dyDescent="0.2">
      <c r="A990" t="s">
        <v>2786</v>
      </c>
      <c r="B990" t="s">
        <v>21</v>
      </c>
      <c r="C990" t="s">
        <v>2787</v>
      </c>
      <c r="D990" t="s">
        <v>2343</v>
      </c>
      <c r="T990" s="3" t="str">
        <f>HYPERLINK("doors://fe-dorapcm3.de.bosch.com:36679/?version=2&amp;prodID=0&amp;view=00000015&amp;urn=urn:telelogic::1-52394082008461e6-O-8435-00059142","BSW_SWS_AR4_0_R2_DIODriver-8435")</f>
        <v>BSW_SWS_AR4_0_R2_DIODriver-8435</v>
      </c>
    </row>
    <row r="991" spans="1:20" x14ac:dyDescent="0.2">
      <c r="A991" t="s">
        <v>2788</v>
      </c>
      <c r="B991" t="s">
        <v>1617</v>
      </c>
      <c r="C991" t="s">
        <v>2789</v>
      </c>
      <c r="D991" s="5" t="s">
        <v>2340</v>
      </c>
      <c r="K991" t="s">
        <v>618</v>
      </c>
      <c r="P991" t="s">
        <v>619</v>
      </c>
      <c r="Q991" t="s">
        <v>620</v>
      </c>
      <c r="R991" t="s">
        <v>1860</v>
      </c>
      <c r="T991" s="3" t="str">
        <f>HYPERLINK("doors://fe-dorapcm3.de.bosch.com:36679/?version=2&amp;prodID=0&amp;view=00000015&amp;urn=urn:telelogic::1-52394082008461e6-O-8437-00059142","BSW_SWS_AR4_0_R2_DIODriver-8437")</f>
        <v>BSW_SWS_AR4_0_R2_DIODriver-8437</v>
      </c>
    </row>
    <row r="992" spans="1:20" x14ac:dyDescent="0.2">
      <c r="A992" t="s">
        <v>2790</v>
      </c>
      <c r="B992" t="s">
        <v>21</v>
      </c>
      <c r="C992" t="s">
        <v>2791</v>
      </c>
      <c r="D992" t="s">
        <v>2343</v>
      </c>
      <c r="T992" s="3" t="str">
        <f>HYPERLINK("doors://fe-dorapcm3.de.bosch.com:36679/?version=2&amp;prodID=0&amp;view=00000015&amp;urn=urn:telelogic::1-52394082008461e6-O-8438-00059142","BSW_SWS_AR4_0_R2_DIODriver-8438")</f>
        <v>BSW_SWS_AR4_0_R2_DIODriver-8438</v>
      </c>
    </row>
    <row r="993" spans="1:20" x14ac:dyDescent="0.2">
      <c r="A993" t="s">
        <v>2792</v>
      </c>
      <c r="B993" t="s">
        <v>1617</v>
      </c>
      <c r="C993" t="s">
        <v>2793</v>
      </c>
      <c r="D993" s="5" t="s">
        <v>2346</v>
      </c>
      <c r="K993" t="s">
        <v>618</v>
      </c>
      <c r="P993" t="s">
        <v>619</v>
      </c>
      <c r="Q993" t="s">
        <v>620</v>
      </c>
      <c r="R993" t="s">
        <v>1860</v>
      </c>
      <c r="T993" s="3" t="str">
        <f>HYPERLINK("doors://fe-dorapcm3.de.bosch.com:36679/?version=2&amp;prodID=0&amp;view=00000015&amp;urn=urn:telelogic::1-52394082008461e6-O-8440-00059142","BSW_SWS_AR4_0_R2_DIODriver-8440")</f>
        <v>BSW_SWS_AR4_0_R2_DIODriver-8440</v>
      </c>
    </row>
    <row r="994" spans="1:20" x14ac:dyDescent="0.2">
      <c r="A994" t="s">
        <v>2794</v>
      </c>
      <c r="B994" t="s">
        <v>21</v>
      </c>
      <c r="C994" t="s">
        <v>2795</v>
      </c>
      <c r="D994" t="s">
        <v>2796</v>
      </c>
      <c r="T994" s="3" t="str">
        <f>HYPERLINK("doors://fe-dorapcm3.de.bosch.com:36679/?version=2&amp;prodID=0&amp;view=00000015&amp;urn=urn:telelogic::1-52394082008461e6-O-8441-00059142","BSW_SWS_AR4_0_R2_DIODriver-8441")</f>
        <v>BSW_SWS_AR4_0_R2_DIODriver-8441</v>
      </c>
    </row>
    <row r="995" spans="1:20" x14ac:dyDescent="0.2">
      <c r="A995" t="s">
        <v>2797</v>
      </c>
      <c r="B995" t="s">
        <v>21</v>
      </c>
      <c r="C995" t="s">
        <v>2798</v>
      </c>
      <c r="D995" t="s">
        <v>2799</v>
      </c>
      <c r="T995" s="3" t="str">
        <f>HYPERLINK("doors://fe-dorapcm3.de.bosch.com:36679/?version=2&amp;prodID=0&amp;view=00000015&amp;urn=urn:telelogic::1-52394082008461e6-O-8442-00059142","BSW_SWS_AR4_0_R2_DIODriver-8442")</f>
        <v>BSW_SWS_AR4_0_R2_DIODriver-8442</v>
      </c>
    </row>
    <row r="996" spans="1:20" x14ac:dyDescent="0.2">
      <c r="A996" t="s">
        <v>2800</v>
      </c>
      <c r="B996" t="s">
        <v>1617</v>
      </c>
      <c r="C996" t="s">
        <v>2801</v>
      </c>
      <c r="D996" s="5" t="s">
        <v>2351</v>
      </c>
      <c r="K996" t="s">
        <v>618</v>
      </c>
      <c r="P996" t="s">
        <v>619</v>
      </c>
      <c r="Q996" t="s">
        <v>620</v>
      </c>
      <c r="R996" t="s">
        <v>1860</v>
      </c>
      <c r="T996" s="3" t="str">
        <f>HYPERLINK("doors://fe-dorapcm3.de.bosch.com:36679/?version=2&amp;prodID=0&amp;view=00000015&amp;urn=urn:telelogic::1-52394082008461e6-O-8444-00059142","BSW_SWS_AR4_0_R2_DIODriver-8444")</f>
        <v>BSW_SWS_AR4_0_R2_DIODriver-8444</v>
      </c>
    </row>
    <row r="997" spans="1:20" x14ac:dyDescent="0.2">
      <c r="A997" t="s">
        <v>2802</v>
      </c>
      <c r="B997" t="s">
        <v>21</v>
      </c>
      <c r="C997" t="s">
        <v>2803</v>
      </c>
      <c r="D997" t="s">
        <v>2343</v>
      </c>
      <c r="T997" s="3" t="str">
        <f>HYPERLINK("doors://fe-dorapcm3.de.bosch.com:36679/?version=2&amp;prodID=0&amp;view=00000015&amp;urn=urn:telelogic::1-52394082008461e6-O-8445-00059142","BSW_SWS_AR4_0_R2_DIODriver-8445")</f>
        <v>BSW_SWS_AR4_0_R2_DIODriver-8445</v>
      </c>
    </row>
    <row r="998" spans="1:20" x14ac:dyDescent="0.2">
      <c r="A998" t="s">
        <v>2804</v>
      </c>
      <c r="B998" t="s">
        <v>1617</v>
      </c>
      <c r="C998" t="s">
        <v>2805</v>
      </c>
      <c r="D998" s="5" t="s">
        <v>447</v>
      </c>
      <c r="K998" t="s">
        <v>618</v>
      </c>
      <c r="P998" t="s">
        <v>619</v>
      </c>
      <c r="Q998" t="s">
        <v>620</v>
      </c>
      <c r="R998" t="s">
        <v>1860</v>
      </c>
      <c r="T998" s="3" t="str">
        <f>HYPERLINK("doors://fe-dorapcm3.de.bosch.com:36679/?version=2&amp;prodID=0&amp;view=00000015&amp;urn=urn:telelogic::1-52394082008461e6-O-8447-00059142","BSW_SWS_AR4_0_R2_DIODriver-8447")</f>
        <v>BSW_SWS_AR4_0_R2_DIODriver-8447</v>
      </c>
    </row>
    <row r="999" spans="1:20" x14ac:dyDescent="0.2">
      <c r="A999" t="s">
        <v>2806</v>
      </c>
      <c r="B999" t="s">
        <v>21</v>
      </c>
      <c r="C999" t="s">
        <v>2807</v>
      </c>
      <c r="D999" t="s">
        <v>2808</v>
      </c>
      <c r="T999" s="3" t="str">
        <f>HYPERLINK("doors://fe-dorapcm3.de.bosch.com:36679/?version=2&amp;prodID=0&amp;view=00000015&amp;urn=urn:telelogic::1-52394082008461e6-O-8448-00059142","BSW_SWS_AR4_0_R2_DIODriver-8448")</f>
        <v>BSW_SWS_AR4_0_R2_DIODriver-8448</v>
      </c>
    </row>
    <row r="1000" spans="1:20" ht="89.25" x14ac:dyDescent="0.2">
      <c r="A1000" t="s">
        <v>2809</v>
      </c>
      <c r="B1000" t="s">
        <v>1771</v>
      </c>
      <c r="C1000" t="s">
        <v>2810</v>
      </c>
      <c r="D1000" s="2" t="s">
        <v>2811</v>
      </c>
      <c r="E1000" s="4" t="s">
        <v>2812</v>
      </c>
      <c r="F1000" t="s">
        <v>1621</v>
      </c>
      <c r="G1000" t="s">
        <v>2813</v>
      </c>
      <c r="J1000" t="s">
        <v>2759</v>
      </c>
      <c r="K1000" t="s">
        <v>618</v>
      </c>
      <c r="P1000" t="s">
        <v>619</v>
      </c>
      <c r="Q1000" t="s">
        <v>620</v>
      </c>
      <c r="R1000" t="s">
        <v>621</v>
      </c>
      <c r="S1000" t="s">
        <v>622</v>
      </c>
      <c r="T1000" s="3" t="str">
        <f>HYPERLINK("doors://fe-dorapcm3.de.bosch.com:36679/?version=2&amp;prodID=0&amp;view=00000015&amp;urn=urn:telelogic::1-52394082008461e6-O-8449-00059142","BSW_SWS_AR4_0_R2_DIODriver-8449")</f>
        <v>BSW_SWS_AR4_0_R2_DIODriver-8449</v>
      </c>
    </row>
    <row r="1001" spans="1:20" x14ac:dyDescent="0.2">
      <c r="A1001" t="s">
        <v>2814</v>
      </c>
      <c r="B1001" t="s">
        <v>76</v>
      </c>
      <c r="C1001" t="s">
        <v>2815</v>
      </c>
      <c r="D1001" t="s">
        <v>2816</v>
      </c>
      <c r="T1001" s="3" t="str">
        <f>HYPERLINK("doors://fe-dorapcm3.de.bosch.com:36679/?version=2&amp;prodID=0&amp;view=00000015&amp;urn=urn:telelogic::1-52394082008461e6-O-8450-00059142","BSW_SWS_AR4_0_R2_DIODriver-8450")</f>
        <v>BSW_SWS_AR4_0_R2_DIODriver-8450</v>
      </c>
    </row>
    <row r="1002" spans="1:20" x14ac:dyDescent="0.2">
      <c r="A1002" t="s">
        <v>2817</v>
      </c>
      <c r="B1002" t="s">
        <v>76</v>
      </c>
      <c r="C1002" t="s">
        <v>2818</v>
      </c>
      <c r="D1002" t="s">
        <v>2819</v>
      </c>
      <c r="T1002" s="3" t="str">
        <f>HYPERLINK("doors://fe-dorapcm3.de.bosch.com:36679/?version=2&amp;prodID=0&amp;view=00000015&amp;urn=urn:telelogic::1-52394082008461e6-O-8451-00059142","BSW_SWS_AR4_0_R2_DIODriver-8451")</f>
        <v>BSW_SWS_AR4_0_R2_DIODriver-8451</v>
      </c>
    </row>
    <row r="1003" spans="1:20" x14ac:dyDescent="0.2">
      <c r="A1003" t="s">
        <v>2820</v>
      </c>
      <c r="B1003" t="s">
        <v>76</v>
      </c>
      <c r="C1003" t="s">
        <v>2821</v>
      </c>
      <c r="D1003" t="s">
        <v>2822</v>
      </c>
      <c r="T1003" s="3" t="str">
        <f>HYPERLINK("doors://fe-dorapcm3.de.bosch.com:36679/?version=2&amp;prodID=0&amp;view=00000015&amp;urn=urn:telelogic::1-52394082008461e6-O-8452-00059142","BSW_SWS_AR4_0_R2_DIODriver-8452")</f>
        <v>BSW_SWS_AR4_0_R2_DIODriver-8452</v>
      </c>
    </row>
    <row r="1004" spans="1:20" x14ac:dyDescent="0.2">
      <c r="A1004" t="s">
        <v>2823</v>
      </c>
      <c r="B1004" t="s">
        <v>614</v>
      </c>
      <c r="C1004" t="s">
        <v>2824</v>
      </c>
      <c r="D1004" t="s">
        <v>2825</v>
      </c>
      <c r="K1004" t="s">
        <v>618</v>
      </c>
      <c r="P1004" t="s">
        <v>619</v>
      </c>
      <c r="Q1004" t="s">
        <v>651</v>
      </c>
      <c r="R1004" t="s">
        <v>621</v>
      </c>
      <c r="S1004" t="s">
        <v>622</v>
      </c>
      <c r="T1004" s="3" t="str">
        <f>HYPERLINK("doors://fe-dorapcm3.de.bosch.com:36679/?version=2&amp;prodID=0&amp;view=00000015&amp;urn=urn:telelogic::1-52394082008461e6-O-8453-00059142","BSW_SWS_AR4_0_R2_DIODriver-8453")</f>
        <v>BSW_SWS_AR4_0_R2_DIODriver-8453</v>
      </c>
    </row>
    <row r="1005" spans="1:20" ht="140.25" x14ac:dyDescent="0.2">
      <c r="A1005" t="s">
        <v>2826</v>
      </c>
      <c r="B1005" t="s">
        <v>1617</v>
      </c>
      <c r="C1005" t="s">
        <v>2827</v>
      </c>
      <c r="D1005" t="s">
        <v>2828</v>
      </c>
      <c r="E1005" s="4" t="s">
        <v>2829</v>
      </c>
      <c r="F1005" t="s">
        <v>1621</v>
      </c>
      <c r="G1005" t="s">
        <v>2830</v>
      </c>
      <c r="J1005" t="s">
        <v>2831</v>
      </c>
      <c r="K1005" t="s">
        <v>618</v>
      </c>
      <c r="P1005" t="s">
        <v>619</v>
      </c>
      <c r="Q1005" t="s">
        <v>620</v>
      </c>
      <c r="R1005" t="s">
        <v>621</v>
      </c>
      <c r="S1005" t="s">
        <v>622</v>
      </c>
      <c r="T1005" s="3" t="str">
        <f>HYPERLINK("doors://fe-dorapcm3.de.bosch.com:36679/?version=2&amp;prodID=0&amp;view=00000015&amp;urn=urn:telelogic::1-52394082008461e6-O-8454-00059142","BSW_SWS_AR4_0_R2_DIODriver-8454")</f>
        <v>BSW_SWS_AR4_0_R2_DIODriver-8454</v>
      </c>
    </row>
    <row r="1006" spans="1:20" ht="127.5" x14ac:dyDescent="0.2">
      <c r="A1006" t="s">
        <v>2832</v>
      </c>
      <c r="B1006" t="s">
        <v>1617</v>
      </c>
      <c r="C1006" t="s">
        <v>2833</v>
      </c>
      <c r="D1006" t="s">
        <v>2834</v>
      </c>
      <c r="E1006" s="4" t="s">
        <v>2835</v>
      </c>
      <c r="F1006" t="s">
        <v>1621</v>
      </c>
      <c r="G1006" s="4" t="s">
        <v>2836</v>
      </c>
      <c r="J1006" t="s">
        <v>2837</v>
      </c>
      <c r="K1006" t="s">
        <v>618</v>
      </c>
      <c r="P1006" t="s">
        <v>619</v>
      </c>
      <c r="Q1006" t="s">
        <v>620</v>
      </c>
      <c r="R1006" t="s">
        <v>621</v>
      </c>
      <c r="S1006" t="s">
        <v>622</v>
      </c>
      <c r="T1006" s="3" t="str">
        <f>HYPERLINK("doors://fe-dorapcm3.de.bosch.com:36679/?version=2&amp;prodID=0&amp;view=00000015&amp;urn=urn:telelogic::1-52394082008461e6-O-8455-00059142","BSW_SWS_AR4_0_R2_DIODriver-8455")</f>
        <v>BSW_SWS_AR4_0_R2_DIODriver-8455</v>
      </c>
    </row>
    <row r="1007" spans="1:20" x14ac:dyDescent="0.2">
      <c r="A1007" t="s">
        <v>2838</v>
      </c>
      <c r="B1007" t="s">
        <v>76</v>
      </c>
      <c r="C1007" t="s">
        <v>2839</v>
      </c>
      <c r="D1007" t="s">
        <v>2840</v>
      </c>
      <c r="T1007" s="3" t="str">
        <f>HYPERLINK("doors://fe-dorapcm3.de.bosch.com:36679/?version=2&amp;prodID=0&amp;view=00000015&amp;urn=urn:telelogic::1-52394082008461e6-O-8456-00059142","BSW_SWS_AR4_0_R2_DIODriver-8456")</f>
        <v>BSW_SWS_AR4_0_R2_DIODriver-8456</v>
      </c>
    </row>
    <row r="1008" spans="1:20" x14ac:dyDescent="0.2">
      <c r="A1008" t="s">
        <v>2841</v>
      </c>
      <c r="B1008" t="s">
        <v>21</v>
      </c>
      <c r="C1008" t="s">
        <v>2842</v>
      </c>
      <c r="D1008" s="2" t="s">
        <v>2843</v>
      </c>
      <c r="T1008" s="3" t="str">
        <f>HYPERLINK("doors://fe-dorapcm3.de.bosch.com:36679/?version=2&amp;prodID=0&amp;view=00000015&amp;urn=urn:telelogic::1-52394082008461e6-O-8457-00059142","BSW_SWS_AR4_0_R2_DIODriver-8457")</f>
        <v>BSW_SWS_AR4_0_R2_DIODriver-8457</v>
      </c>
    </row>
    <row r="1009" spans="1:20" x14ac:dyDescent="0.2">
      <c r="A1009" t="s">
        <v>2844</v>
      </c>
      <c r="B1009" t="s">
        <v>1771</v>
      </c>
      <c r="C1009" t="s">
        <v>2845</v>
      </c>
      <c r="D1009" s="2" t="s">
        <v>2846</v>
      </c>
      <c r="J1009" t="s">
        <v>2847</v>
      </c>
      <c r="K1009" t="s">
        <v>618</v>
      </c>
      <c r="P1009" t="s">
        <v>619</v>
      </c>
      <c r="Q1009" t="s">
        <v>620</v>
      </c>
      <c r="R1009" t="s">
        <v>621</v>
      </c>
      <c r="S1009" t="s">
        <v>622</v>
      </c>
      <c r="T1009" s="3" t="str">
        <f>HYPERLINK("doors://fe-dorapcm3.de.bosch.com:36679/?version=2&amp;prodID=0&amp;view=00000015&amp;urn=urn:telelogic::1-52394082008461e6-O-8458-00059142","BSW_SWS_AR4_0_R2_DIODriver-8458")</f>
        <v>BSW_SWS_AR4_0_R2_DIODriver-8458</v>
      </c>
    </row>
    <row r="1010" spans="1:20" x14ac:dyDescent="0.2">
      <c r="A1010" t="s">
        <v>2848</v>
      </c>
      <c r="B1010" t="s">
        <v>1617</v>
      </c>
      <c r="C1010" t="s">
        <v>2849</v>
      </c>
      <c r="D1010" s="5" t="s">
        <v>2302</v>
      </c>
      <c r="K1010" t="s">
        <v>618</v>
      </c>
      <c r="P1010" t="s">
        <v>619</v>
      </c>
      <c r="Q1010" t="s">
        <v>620</v>
      </c>
      <c r="R1010" t="s">
        <v>1860</v>
      </c>
      <c r="T1010" s="3" t="str">
        <f>HYPERLINK("doors://fe-dorapcm3.de.bosch.com:36679/?version=2&amp;prodID=0&amp;view=00000015&amp;urn=urn:telelogic::1-52394082008461e6-O-8461-00059142","BSW_SWS_AR4_0_R2_DIODriver-8461")</f>
        <v>BSW_SWS_AR4_0_R2_DIODriver-8461</v>
      </c>
    </row>
    <row r="1011" spans="1:20" x14ac:dyDescent="0.2">
      <c r="A1011" t="s">
        <v>2850</v>
      </c>
      <c r="B1011" t="s">
        <v>21</v>
      </c>
      <c r="C1011" t="s">
        <v>2851</v>
      </c>
      <c r="D1011" t="s">
        <v>2852</v>
      </c>
      <c r="T1011" s="3" t="str">
        <f>HYPERLINK("doors://fe-dorapcm3.de.bosch.com:36679/?version=2&amp;prodID=0&amp;view=00000015&amp;urn=urn:telelogic::1-52394082008461e6-O-8462-00059142","BSW_SWS_AR4_0_R2_DIODriver-8462")</f>
        <v>BSW_SWS_AR4_0_R2_DIODriver-8462</v>
      </c>
    </row>
    <row r="1012" spans="1:20" x14ac:dyDescent="0.2">
      <c r="A1012" t="s">
        <v>2853</v>
      </c>
      <c r="B1012" t="s">
        <v>1617</v>
      </c>
      <c r="C1012" t="s">
        <v>2854</v>
      </c>
      <c r="D1012" s="5" t="s">
        <v>2308</v>
      </c>
      <c r="K1012" t="s">
        <v>618</v>
      </c>
      <c r="P1012" t="s">
        <v>619</v>
      </c>
      <c r="Q1012" t="s">
        <v>620</v>
      </c>
      <c r="R1012" t="s">
        <v>1860</v>
      </c>
      <c r="T1012" s="3" t="str">
        <f>HYPERLINK("doors://fe-dorapcm3.de.bosch.com:36679/?version=2&amp;prodID=0&amp;view=00000015&amp;urn=urn:telelogic::1-52394082008461e6-O-8464-00059142","BSW_SWS_AR4_0_R2_DIODriver-8464")</f>
        <v>BSW_SWS_AR4_0_R2_DIODriver-8464</v>
      </c>
    </row>
    <row r="1013" spans="1:20" ht="38.25" x14ac:dyDescent="0.2">
      <c r="A1013" t="s">
        <v>2855</v>
      </c>
      <c r="B1013" t="s">
        <v>21</v>
      </c>
      <c r="C1013" t="s">
        <v>2856</v>
      </c>
      <c r="D1013" s="4" t="s">
        <v>2857</v>
      </c>
      <c r="T1013" s="3" t="str">
        <f>HYPERLINK("doors://fe-dorapcm3.de.bosch.com:36679/?version=2&amp;prodID=0&amp;view=00000015&amp;urn=urn:telelogic::1-52394082008461e6-O-8465-00059142","BSW_SWS_AR4_0_R2_DIODriver-8465")</f>
        <v>BSW_SWS_AR4_0_R2_DIODriver-8465</v>
      </c>
    </row>
    <row r="1014" spans="1:20" x14ac:dyDescent="0.2">
      <c r="A1014" t="s">
        <v>2858</v>
      </c>
      <c r="B1014" t="s">
        <v>1617</v>
      </c>
      <c r="C1014" t="s">
        <v>2859</v>
      </c>
      <c r="D1014" s="5" t="s">
        <v>2314</v>
      </c>
      <c r="K1014" t="s">
        <v>618</v>
      </c>
      <c r="P1014" t="s">
        <v>619</v>
      </c>
      <c r="Q1014" t="s">
        <v>620</v>
      </c>
      <c r="R1014" t="s">
        <v>1860</v>
      </c>
      <c r="T1014" s="3" t="str">
        <f>HYPERLINK("doors://fe-dorapcm3.de.bosch.com:36679/?version=2&amp;prodID=0&amp;view=00000015&amp;urn=urn:telelogic::1-52394082008461e6-O-8467-00059142","BSW_SWS_AR4_0_R2_DIODriver-8467")</f>
        <v>BSW_SWS_AR4_0_R2_DIODriver-8467</v>
      </c>
    </row>
    <row r="1015" spans="1:20" x14ac:dyDescent="0.2">
      <c r="A1015" t="s">
        <v>2860</v>
      </c>
      <c r="B1015" t="s">
        <v>21</v>
      </c>
      <c r="C1015" t="s">
        <v>2861</v>
      </c>
      <c r="D1015" t="s">
        <v>1892</v>
      </c>
      <c r="T1015" s="3" t="str">
        <f>HYPERLINK("doors://fe-dorapcm3.de.bosch.com:36679/?version=2&amp;prodID=0&amp;view=00000015&amp;urn=urn:telelogic::1-52394082008461e6-O-8468-00059142","BSW_SWS_AR4_0_R2_DIODriver-8468")</f>
        <v>BSW_SWS_AR4_0_R2_DIODriver-8468</v>
      </c>
    </row>
    <row r="1016" spans="1:20" x14ac:dyDescent="0.2">
      <c r="A1016" t="s">
        <v>2862</v>
      </c>
      <c r="B1016" t="s">
        <v>1617</v>
      </c>
      <c r="C1016" t="s">
        <v>2863</v>
      </c>
      <c r="D1016" s="5" t="s">
        <v>2319</v>
      </c>
      <c r="K1016" t="s">
        <v>618</v>
      </c>
      <c r="P1016" t="s">
        <v>619</v>
      </c>
      <c r="Q1016" t="s">
        <v>620</v>
      </c>
      <c r="R1016" t="s">
        <v>1860</v>
      </c>
      <c r="T1016" s="3" t="str">
        <f>HYPERLINK("doors://fe-dorapcm3.de.bosch.com:36679/?version=2&amp;prodID=0&amp;view=00000015&amp;urn=urn:telelogic::1-52394082008461e6-O-8470-00059142","BSW_SWS_AR4_0_R2_DIODriver-8470")</f>
        <v>BSW_SWS_AR4_0_R2_DIODriver-8470</v>
      </c>
    </row>
    <row r="1017" spans="1:20" x14ac:dyDescent="0.2">
      <c r="A1017" t="s">
        <v>2864</v>
      </c>
      <c r="B1017" t="s">
        <v>21</v>
      </c>
      <c r="C1017" t="s">
        <v>2865</v>
      </c>
      <c r="D1017" t="s">
        <v>2322</v>
      </c>
      <c r="T1017" s="3" t="str">
        <f>HYPERLINK("doors://fe-dorapcm3.de.bosch.com:36679/?version=2&amp;prodID=0&amp;view=00000015&amp;urn=urn:telelogic::1-52394082008461e6-O-8471-00059142","BSW_SWS_AR4_0_R2_DIODriver-8471")</f>
        <v>BSW_SWS_AR4_0_R2_DIODriver-8471</v>
      </c>
    </row>
    <row r="1018" spans="1:20" x14ac:dyDescent="0.2">
      <c r="A1018" t="s">
        <v>2866</v>
      </c>
      <c r="B1018" t="s">
        <v>1617</v>
      </c>
      <c r="C1018" t="s">
        <v>2867</v>
      </c>
      <c r="D1018" s="5" t="s">
        <v>2325</v>
      </c>
      <c r="K1018" t="s">
        <v>618</v>
      </c>
      <c r="P1018" t="s">
        <v>619</v>
      </c>
      <c r="Q1018" t="s">
        <v>620</v>
      </c>
      <c r="R1018" t="s">
        <v>1860</v>
      </c>
      <c r="T1018" s="3" t="str">
        <f>HYPERLINK("doors://fe-dorapcm3.de.bosch.com:36679/?version=2&amp;prodID=0&amp;view=00000015&amp;urn=urn:telelogic::1-52394082008461e6-O-8473-00059142","BSW_SWS_AR4_0_R2_DIODriver-8473")</f>
        <v>BSW_SWS_AR4_0_R2_DIODriver-8473</v>
      </c>
    </row>
    <row r="1019" spans="1:20" x14ac:dyDescent="0.2">
      <c r="A1019" t="s">
        <v>2868</v>
      </c>
      <c r="B1019" t="s">
        <v>21</v>
      </c>
      <c r="C1019" t="s">
        <v>2869</v>
      </c>
      <c r="D1019" t="s">
        <v>2783</v>
      </c>
      <c r="T1019" s="3" t="str">
        <f>HYPERLINK("doors://fe-dorapcm3.de.bosch.com:36679/?version=2&amp;prodID=0&amp;view=00000015&amp;urn=urn:telelogic::1-52394082008461e6-O-8474-00059142","BSW_SWS_AR4_0_R2_DIODriver-8474")</f>
        <v>BSW_SWS_AR4_0_R2_DIODriver-8474</v>
      </c>
    </row>
    <row r="1020" spans="1:20" x14ac:dyDescent="0.2">
      <c r="A1020" t="s">
        <v>2870</v>
      </c>
      <c r="B1020" t="s">
        <v>1617</v>
      </c>
      <c r="C1020" t="s">
        <v>2871</v>
      </c>
      <c r="D1020" s="5" t="s">
        <v>2331</v>
      </c>
      <c r="K1020" t="s">
        <v>618</v>
      </c>
      <c r="P1020" t="s">
        <v>619</v>
      </c>
      <c r="Q1020" t="s">
        <v>620</v>
      </c>
      <c r="R1020" t="s">
        <v>1860</v>
      </c>
      <c r="T1020" s="3" t="str">
        <f>HYPERLINK("doors://fe-dorapcm3.de.bosch.com:36679/?version=2&amp;prodID=0&amp;view=00000015&amp;urn=urn:telelogic::1-52394082008461e6-O-8476-00059142","BSW_SWS_AR4_0_R2_DIODriver-8476")</f>
        <v>BSW_SWS_AR4_0_R2_DIODriver-8476</v>
      </c>
    </row>
    <row r="1021" spans="1:20" x14ac:dyDescent="0.2">
      <c r="A1021" t="s">
        <v>2872</v>
      </c>
      <c r="B1021" t="s">
        <v>21</v>
      </c>
      <c r="C1021" t="s">
        <v>2873</v>
      </c>
      <c r="D1021" t="s">
        <v>2874</v>
      </c>
      <c r="T1021" s="3" t="str">
        <f>HYPERLINK("doors://fe-dorapcm3.de.bosch.com:36679/?version=2&amp;prodID=0&amp;view=00000015&amp;urn=urn:telelogic::1-52394082008461e6-O-8477-00059142","BSW_SWS_AR4_0_R2_DIODriver-8477")</f>
        <v>BSW_SWS_AR4_0_R2_DIODriver-8477</v>
      </c>
    </row>
    <row r="1022" spans="1:20" x14ac:dyDescent="0.2">
      <c r="A1022" t="s">
        <v>2875</v>
      </c>
      <c r="B1022" t="s">
        <v>21</v>
      </c>
      <c r="C1022" t="s">
        <v>2876</v>
      </c>
      <c r="D1022" t="s">
        <v>2877</v>
      </c>
      <c r="T1022" s="3" t="str">
        <f>HYPERLINK("doors://fe-dorapcm3.de.bosch.com:36679/?version=2&amp;prodID=0&amp;view=00000015&amp;urn=urn:telelogic::1-52394082008461e6-O-8478-00059142","BSW_SWS_AR4_0_R2_DIODriver-8478")</f>
        <v>BSW_SWS_AR4_0_R2_DIODriver-8478</v>
      </c>
    </row>
    <row r="1023" spans="1:20" x14ac:dyDescent="0.2">
      <c r="A1023" t="s">
        <v>2878</v>
      </c>
      <c r="B1023" t="s">
        <v>1617</v>
      </c>
      <c r="C1023" t="s">
        <v>2879</v>
      </c>
      <c r="D1023" s="5" t="s">
        <v>2340</v>
      </c>
      <c r="K1023" t="s">
        <v>618</v>
      </c>
      <c r="P1023" t="s">
        <v>619</v>
      </c>
      <c r="Q1023" t="s">
        <v>620</v>
      </c>
      <c r="R1023" t="s">
        <v>1860</v>
      </c>
      <c r="T1023" s="3" t="str">
        <f>HYPERLINK("doors://fe-dorapcm3.de.bosch.com:36679/?version=2&amp;prodID=0&amp;view=00000015&amp;urn=urn:telelogic::1-52394082008461e6-O-8480-00059142","BSW_SWS_AR4_0_R2_DIODriver-8480")</f>
        <v>BSW_SWS_AR4_0_R2_DIODriver-8480</v>
      </c>
    </row>
    <row r="1024" spans="1:20" x14ac:dyDescent="0.2">
      <c r="A1024" t="s">
        <v>2880</v>
      </c>
      <c r="B1024" t="s">
        <v>21</v>
      </c>
      <c r="C1024" t="s">
        <v>2881</v>
      </c>
      <c r="D1024" t="s">
        <v>2343</v>
      </c>
      <c r="T1024" s="3" t="str">
        <f>HYPERLINK("doors://fe-dorapcm3.de.bosch.com:36679/?version=2&amp;prodID=0&amp;view=00000015&amp;urn=urn:telelogic::1-52394082008461e6-O-8481-00059142","BSW_SWS_AR4_0_R2_DIODriver-8481")</f>
        <v>BSW_SWS_AR4_0_R2_DIODriver-8481</v>
      </c>
    </row>
    <row r="1025" spans="1:20" x14ac:dyDescent="0.2">
      <c r="A1025" t="s">
        <v>2882</v>
      </c>
      <c r="B1025" t="s">
        <v>1617</v>
      </c>
      <c r="C1025" t="s">
        <v>2883</v>
      </c>
      <c r="D1025" s="5" t="s">
        <v>2346</v>
      </c>
      <c r="K1025" t="s">
        <v>618</v>
      </c>
      <c r="P1025" t="s">
        <v>619</v>
      </c>
      <c r="Q1025" t="s">
        <v>620</v>
      </c>
      <c r="R1025" t="s">
        <v>1860</v>
      </c>
      <c r="T1025" s="3" t="str">
        <f>HYPERLINK("doors://fe-dorapcm3.de.bosch.com:36679/?version=2&amp;prodID=0&amp;view=00000015&amp;urn=urn:telelogic::1-52394082008461e6-O-8483-00059142","BSW_SWS_AR4_0_R2_DIODriver-8483")</f>
        <v>BSW_SWS_AR4_0_R2_DIODriver-8483</v>
      </c>
    </row>
    <row r="1026" spans="1:20" x14ac:dyDescent="0.2">
      <c r="A1026" t="s">
        <v>2884</v>
      </c>
      <c r="B1026" t="s">
        <v>21</v>
      </c>
      <c r="C1026" t="s">
        <v>2885</v>
      </c>
      <c r="D1026" t="s">
        <v>2343</v>
      </c>
      <c r="T1026" s="3" t="str">
        <f>HYPERLINK("doors://fe-dorapcm3.de.bosch.com:36679/?version=2&amp;prodID=0&amp;view=00000015&amp;urn=urn:telelogic::1-52394082008461e6-O-8484-00059142","BSW_SWS_AR4_0_R2_DIODriver-8484")</f>
        <v>BSW_SWS_AR4_0_R2_DIODriver-8484</v>
      </c>
    </row>
    <row r="1027" spans="1:20" x14ac:dyDescent="0.2">
      <c r="A1027" t="s">
        <v>2886</v>
      </c>
      <c r="B1027" t="s">
        <v>1617</v>
      </c>
      <c r="C1027" t="s">
        <v>2887</v>
      </c>
      <c r="D1027" s="5" t="s">
        <v>2351</v>
      </c>
      <c r="K1027" t="s">
        <v>618</v>
      </c>
      <c r="P1027" t="s">
        <v>619</v>
      </c>
      <c r="Q1027" t="s">
        <v>620</v>
      </c>
      <c r="R1027" t="s">
        <v>1860</v>
      </c>
      <c r="T1027" s="3" t="str">
        <f>HYPERLINK("doors://fe-dorapcm3.de.bosch.com:36679/?version=2&amp;prodID=0&amp;view=00000015&amp;urn=urn:telelogic::1-52394082008461e6-O-8486-00059142","BSW_SWS_AR4_0_R2_DIODriver-8486")</f>
        <v>BSW_SWS_AR4_0_R2_DIODriver-8486</v>
      </c>
    </row>
    <row r="1028" spans="1:20" x14ac:dyDescent="0.2">
      <c r="A1028" t="s">
        <v>2888</v>
      </c>
      <c r="B1028" t="s">
        <v>21</v>
      </c>
      <c r="C1028" t="s">
        <v>2889</v>
      </c>
      <c r="D1028" t="s">
        <v>2343</v>
      </c>
      <c r="T1028" s="3" t="str">
        <f>HYPERLINK("doors://fe-dorapcm3.de.bosch.com:36679/?version=2&amp;prodID=0&amp;view=00000015&amp;urn=urn:telelogic::1-52394082008461e6-O-8487-00059142","BSW_SWS_AR4_0_R2_DIODriver-8487")</f>
        <v>BSW_SWS_AR4_0_R2_DIODriver-8487</v>
      </c>
    </row>
    <row r="1029" spans="1:20" x14ac:dyDescent="0.2">
      <c r="A1029" t="s">
        <v>2890</v>
      </c>
      <c r="B1029" t="s">
        <v>1617</v>
      </c>
      <c r="C1029" t="s">
        <v>2891</v>
      </c>
      <c r="D1029" s="5" t="s">
        <v>447</v>
      </c>
      <c r="K1029" t="s">
        <v>618</v>
      </c>
      <c r="P1029" t="s">
        <v>619</v>
      </c>
      <c r="Q1029" t="s">
        <v>620</v>
      </c>
      <c r="R1029" t="s">
        <v>1860</v>
      </c>
      <c r="T1029" s="3" t="str">
        <f>HYPERLINK("doors://fe-dorapcm3.de.bosch.com:36679/?version=2&amp;prodID=0&amp;view=00000015&amp;urn=urn:telelogic::1-52394082008461e6-O-8489-00059142","BSW_SWS_AR4_0_R2_DIODriver-8489")</f>
        <v>BSW_SWS_AR4_0_R2_DIODriver-8489</v>
      </c>
    </row>
    <row r="1030" spans="1:20" x14ac:dyDescent="0.2">
      <c r="A1030" t="s">
        <v>2892</v>
      </c>
      <c r="B1030" t="s">
        <v>21</v>
      </c>
      <c r="C1030" t="s">
        <v>2893</v>
      </c>
      <c r="D1030" t="s">
        <v>2894</v>
      </c>
      <c r="T1030" s="3" t="str">
        <f>HYPERLINK("doors://fe-dorapcm3.de.bosch.com:36679/?version=2&amp;prodID=0&amp;view=00000015&amp;urn=urn:telelogic::1-52394082008461e6-O-8490-00059142","BSW_SWS_AR4_0_R2_DIODriver-8490")</f>
        <v>BSW_SWS_AR4_0_R2_DIODriver-8490</v>
      </c>
    </row>
    <row r="1031" spans="1:20" ht="76.5" x14ac:dyDescent="0.2">
      <c r="A1031" t="s">
        <v>2895</v>
      </c>
      <c r="B1031" t="s">
        <v>1617</v>
      </c>
      <c r="C1031" t="s">
        <v>2896</v>
      </c>
      <c r="D1031" t="s">
        <v>2897</v>
      </c>
      <c r="E1031" s="4" t="s">
        <v>2898</v>
      </c>
      <c r="F1031" t="s">
        <v>1621</v>
      </c>
      <c r="G1031" s="4" t="s">
        <v>2899</v>
      </c>
      <c r="J1031" t="s">
        <v>1673</v>
      </c>
      <c r="K1031" t="s">
        <v>618</v>
      </c>
      <c r="P1031" t="s">
        <v>619</v>
      </c>
      <c r="Q1031" t="s">
        <v>620</v>
      </c>
      <c r="R1031" t="s">
        <v>621</v>
      </c>
      <c r="S1031" t="s">
        <v>622</v>
      </c>
      <c r="T1031" s="3" t="str">
        <f>HYPERLINK("doors://fe-dorapcm3.de.bosch.com:36679/?version=2&amp;prodID=0&amp;view=00000015&amp;urn=urn:telelogic::1-52394082008461e6-O-8491-00059142","BSW_SWS_AR4_0_R2_DIODriver-8491")</f>
        <v>BSW_SWS_AR4_0_R2_DIODriver-8491</v>
      </c>
    </row>
    <row r="1032" spans="1:20" ht="102" x14ac:dyDescent="0.2">
      <c r="A1032" t="s">
        <v>2900</v>
      </c>
      <c r="B1032" t="s">
        <v>1617</v>
      </c>
      <c r="C1032" t="s">
        <v>2901</v>
      </c>
      <c r="D1032" t="s">
        <v>2902</v>
      </c>
      <c r="E1032" s="4" t="s">
        <v>2903</v>
      </c>
      <c r="F1032" t="s">
        <v>1621</v>
      </c>
      <c r="G1032" s="4" t="s">
        <v>2904</v>
      </c>
      <c r="J1032" t="s">
        <v>2847</v>
      </c>
      <c r="K1032" t="s">
        <v>618</v>
      </c>
      <c r="P1032" t="s">
        <v>619</v>
      </c>
      <c r="Q1032" t="s">
        <v>620</v>
      </c>
      <c r="R1032" t="s">
        <v>621</v>
      </c>
      <c r="S1032" t="s">
        <v>622</v>
      </c>
      <c r="T1032" s="3" t="str">
        <f>HYPERLINK("doors://fe-dorapcm3.de.bosch.com:36679/?version=2&amp;prodID=0&amp;view=00000015&amp;urn=urn:telelogic::1-52394082008461e6-O-8492-00059142","BSW_SWS_AR4_0_R2_DIODriver-8492")</f>
        <v>BSW_SWS_AR4_0_R2_DIODriver-8492</v>
      </c>
    </row>
    <row r="1033" spans="1:20" x14ac:dyDescent="0.2">
      <c r="A1033" t="s">
        <v>2905</v>
      </c>
      <c r="B1033" t="s">
        <v>21</v>
      </c>
      <c r="C1033" t="s">
        <v>2906</v>
      </c>
      <c r="D1033" s="2" t="s">
        <v>2907</v>
      </c>
      <c r="T1033" s="3" t="str">
        <f>HYPERLINK("doors://fe-dorapcm3.de.bosch.com:36679/?version=2&amp;prodID=0&amp;view=00000015&amp;urn=urn:telelogic::1-52394082008461e6-O-8493-00059142","BSW_SWS_AR4_0_R2_DIODriver-8493")</f>
        <v>BSW_SWS_AR4_0_R2_DIODriver-8493</v>
      </c>
    </row>
    <row r="1034" spans="1:20" x14ac:dyDescent="0.2">
      <c r="A1034" t="s">
        <v>2908</v>
      </c>
      <c r="B1034" t="s">
        <v>1771</v>
      </c>
      <c r="C1034" t="s">
        <v>2909</v>
      </c>
      <c r="D1034" s="2" t="s">
        <v>2910</v>
      </c>
      <c r="K1034" t="s">
        <v>618</v>
      </c>
      <c r="P1034" t="s">
        <v>619</v>
      </c>
      <c r="Q1034" t="s">
        <v>651</v>
      </c>
      <c r="R1034" t="s">
        <v>621</v>
      </c>
      <c r="S1034" t="s">
        <v>622</v>
      </c>
      <c r="T1034" s="3" t="str">
        <f>HYPERLINK("doors://fe-dorapcm3.de.bosch.com:36679/?version=2&amp;prodID=0&amp;view=00000015&amp;urn=urn:telelogic::1-52394082008461e6-O-8494-00059142","BSW_SWS_AR4_0_R2_DIODriver-8494")</f>
        <v>BSW_SWS_AR4_0_R2_DIODriver-8494</v>
      </c>
    </row>
    <row r="1035" spans="1:20" x14ac:dyDescent="0.2">
      <c r="A1035" t="s">
        <v>2911</v>
      </c>
      <c r="B1035" t="s">
        <v>1617</v>
      </c>
      <c r="C1035" t="s">
        <v>2912</v>
      </c>
      <c r="D1035" s="5" t="s">
        <v>2302</v>
      </c>
      <c r="K1035" t="s">
        <v>618</v>
      </c>
      <c r="P1035" t="s">
        <v>619</v>
      </c>
      <c r="Q1035" t="s">
        <v>620</v>
      </c>
      <c r="R1035" t="s">
        <v>1860</v>
      </c>
      <c r="T1035" s="3" t="str">
        <f>HYPERLINK("doors://fe-dorapcm3.de.bosch.com:36679/?version=2&amp;prodID=0&amp;view=00000015&amp;urn=urn:telelogic::1-52394082008461e6-O-8497-00059142","BSW_SWS_AR4_0_R2_DIODriver-8497")</f>
        <v>BSW_SWS_AR4_0_R2_DIODriver-8497</v>
      </c>
    </row>
    <row r="1036" spans="1:20" x14ac:dyDescent="0.2">
      <c r="A1036" t="s">
        <v>2913</v>
      </c>
      <c r="B1036" t="s">
        <v>21</v>
      </c>
      <c r="C1036" t="s">
        <v>2914</v>
      </c>
      <c r="D1036" t="s">
        <v>2915</v>
      </c>
      <c r="T1036" s="3" t="str">
        <f>HYPERLINK("doors://fe-dorapcm3.de.bosch.com:36679/?version=2&amp;prodID=0&amp;view=00000015&amp;urn=urn:telelogic::1-52394082008461e6-O-8498-00059142","BSW_SWS_AR4_0_R2_DIODriver-8498")</f>
        <v>BSW_SWS_AR4_0_R2_DIODriver-8498</v>
      </c>
    </row>
    <row r="1037" spans="1:20" x14ac:dyDescent="0.2">
      <c r="A1037" t="s">
        <v>2916</v>
      </c>
      <c r="B1037" t="s">
        <v>1617</v>
      </c>
      <c r="C1037" t="s">
        <v>2917</v>
      </c>
      <c r="D1037" s="5" t="s">
        <v>2308</v>
      </c>
      <c r="K1037" t="s">
        <v>618</v>
      </c>
      <c r="P1037" t="s">
        <v>619</v>
      </c>
      <c r="Q1037" t="s">
        <v>620</v>
      </c>
      <c r="R1037" t="s">
        <v>1860</v>
      </c>
      <c r="T1037" s="3" t="str">
        <f>HYPERLINK("doors://fe-dorapcm3.de.bosch.com:36679/?version=2&amp;prodID=0&amp;view=00000015&amp;urn=urn:telelogic::1-52394082008461e6-O-8500-00059142","BSW_SWS_AR4_0_R2_DIODriver-8500")</f>
        <v>BSW_SWS_AR4_0_R2_DIODriver-8500</v>
      </c>
    </row>
    <row r="1038" spans="1:20" ht="38.25" x14ac:dyDescent="0.2">
      <c r="A1038" t="s">
        <v>2918</v>
      </c>
      <c r="B1038" t="s">
        <v>21</v>
      </c>
      <c r="C1038" t="s">
        <v>2919</v>
      </c>
      <c r="D1038" s="4" t="s">
        <v>2920</v>
      </c>
      <c r="T1038" s="3" t="str">
        <f>HYPERLINK("doors://fe-dorapcm3.de.bosch.com:36679/?version=2&amp;prodID=0&amp;view=00000015&amp;urn=urn:telelogic::1-52394082008461e6-O-8501-00059142","BSW_SWS_AR4_0_R2_DIODriver-8501")</f>
        <v>BSW_SWS_AR4_0_R2_DIODriver-8501</v>
      </c>
    </row>
    <row r="1039" spans="1:20" x14ac:dyDescent="0.2">
      <c r="A1039" t="s">
        <v>2921</v>
      </c>
      <c r="B1039" t="s">
        <v>1617</v>
      </c>
      <c r="C1039" t="s">
        <v>2922</v>
      </c>
      <c r="D1039" s="5" t="s">
        <v>2314</v>
      </c>
      <c r="K1039" t="s">
        <v>618</v>
      </c>
      <c r="P1039" t="s">
        <v>619</v>
      </c>
      <c r="Q1039" t="s">
        <v>620</v>
      </c>
      <c r="R1039" t="s">
        <v>1860</v>
      </c>
      <c r="T1039" s="3" t="str">
        <f>HYPERLINK("doors://fe-dorapcm3.de.bosch.com:36679/?version=2&amp;prodID=0&amp;view=00000015&amp;urn=urn:telelogic::1-52394082008461e6-O-8503-00059142","BSW_SWS_AR4_0_R2_DIODriver-8503")</f>
        <v>BSW_SWS_AR4_0_R2_DIODriver-8503</v>
      </c>
    </row>
    <row r="1040" spans="1:20" x14ac:dyDescent="0.2">
      <c r="A1040" t="s">
        <v>2923</v>
      </c>
      <c r="B1040" t="s">
        <v>21</v>
      </c>
      <c r="C1040" t="s">
        <v>2924</v>
      </c>
      <c r="D1040" t="s">
        <v>2925</v>
      </c>
      <c r="T1040" s="3" t="str">
        <f>HYPERLINK("doors://fe-dorapcm3.de.bosch.com:36679/?version=2&amp;prodID=0&amp;view=00000015&amp;urn=urn:telelogic::1-52394082008461e6-O-8504-00059142","BSW_SWS_AR4_0_R2_DIODriver-8504")</f>
        <v>BSW_SWS_AR4_0_R2_DIODriver-8504</v>
      </c>
    </row>
    <row r="1041" spans="1:20" x14ac:dyDescent="0.2">
      <c r="A1041" t="s">
        <v>2926</v>
      </c>
      <c r="B1041" t="s">
        <v>1617</v>
      </c>
      <c r="C1041" t="s">
        <v>2927</v>
      </c>
      <c r="D1041" s="5" t="s">
        <v>2319</v>
      </c>
      <c r="K1041" t="s">
        <v>618</v>
      </c>
      <c r="P1041" t="s">
        <v>619</v>
      </c>
      <c r="Q1041" t="s">
        <v>620</v>
      </c>
      <c r="R1041" t="s">
        <v>1860</v>
      </c>
      <c r="T1041" s="3" t="str">
        <f>HYPERLINK("doors://fe-dorapcm3.de.bosch.com:36679/?version=2&amp;prodID=0&amp;view=00000015&amp;urn=urn:telelogic::1-52394082008461e6-O-8506-00059142","BSW_SWS_AR4_0_R2_DIODriver-8506")</f>
        <v>BSW_SWS_AR4_0_R2_DIODriver-8506</v>
      </c>
    </row>
    <row r="1042" spans="1:20" x14ac:dyDescent="0.2">
      <c r="A1042" t="s">
        <v>2928</v>
      </c>
      <c r="B1042" t="s">
        <v>21</v>
      </c>
      <c r="C1042" t="s">
        <v>2929</v>
      </c>
      <c r="D1042" t="s">
        <v>2322</v>
      </c>
      <c r="T1042" s="3" t="str">
        <f>HYPERLINK("doors://fe-dorapcm3.de.bosch.com:36679/?version=2&amp;prodID=0&amp;view=00000015&amp;urn=urn:telelogic::1-52394082008461e6-O-8507-00059142","BSW_SWS_AR4_0_R2_DIODriver-8507")</f>
        <v>BSW_SWS_AR4_0_R2_DIODriver-8507</v>
      </c>
    </row>
    <row r="1043" spans="1:20" x14ac:dyDescent="0.2">
      <c r="A1043" t="s">
        <v>2930</v>
      </c>
      <c r="B1043" t="s">
        <v>1617</v>
      </c>
      <c r="C1043" t="s">
        <v>2931</v>
      </c>
      <c r="D1043" s="5" t="s">
        <v>2325</v>
      </c>
      <c r="K1043" t="s">
        <v>618</v>
      </c>
      <c r="P1043" t="s">
        <v>619</v>
      </c>
      <c r="Q1043" t="s">
        <v>620</v>
      </c>
      <c r="R1043" t="s">
        <v>1860</v>
      </c>
      <c r="T1043" s="3" t="str">
        <f>HYPERLINK("doors://fe-dorapcm3.de.bosch.com:36679/?version=2&amp;prodID=0&amp;view=00000015&amp;urn=urn:telelogic::1-52394082008461e6-O-8509-00059142","BSW_SWS_AR4_0_R2_DIODriver-8509")</f>
        <v>BSW_SWS_AR4_0_R2_DIODriver-8509</v>
      </c>
    </row>
    <row r="1044" spans="1:20" x14ac:dyDescent="0.2">
      <c r="A1044" t="s">
        <v>2932</v>
      </c>
      <c r="B1044" t="s">
        <v>21</v>
      </c>
      <c r="C1044" t="s">
        <v>2933</v>
      </c>
      <c r="D1044" t="s">
        <v>2328</v>
      </c>
      <c r="T1044" s="3" t="str">
        <f>HYPERLINK("doors://fe-dorapcm3.de.bosch.com:36679/?version=2&amp;prodID=0&amp;view=00000015&amp;urn=urn:telelogic::1-52394082008461e6-O-8510-00059142","BSW_SWS_AR4_0_R2_DIODriver-8510")</f>
        <v>BSW_SWS_AR4_0_R2_DIODriver-8510</v>
      </c>
    </row>
    <row r="1045" spans="1:20" x14ac:dyDescent="0.2">
      <c r="A1045" t="s">
        <v>2934</v>
      </c>
      <c r="B1045" t="s">
        <v>1617</v>
      </c>
      <c r="C1045" t="s">
        <v>2935</v>
      </c>
      <c r="D1045" s="5" t="s">
        <v>2331</v>
      </c>
      <c r="K1045" t="s">
        <v>618</v>
      </c>
      <c r="P1045" t="s">
        <v>619</v>
      </c>
      <c r="Q1045" t="s">
        <v>620</v>
      </c>
      <c r="R1045" t="s">
        <v>1860</v>
      </c>
      <c r="T1045" s="3" t="str">
        <f>HYPERLINK("doors://fe-dorapcm3.de.bosch.com:36679/?version=2&amp;prodID=0&amp;view=00000015&amp;urn=urn:telelogic::1-52394082008461e6-O-8512-00059142","BSW_SWS_AR4_0_R2_DIODriver-8512")</f>
        <v>BSW_SWS_AR4_0_R2_DIODriver-8512</v>
      </c>
    </row>
    <row r="1046" spans="1:20" x14ac:dyDescent="0.2">
      <c r="A1046" t="s">
        <v>2936</v>
      </c>
      <c r="B1046" t="s">
        <v>21</v>
      </c>
      <c r="C1046" t="s">
        <v>2937</v>
      </c>
      <c r="D1046" t="s">
        <v>2334</v>
      </c>
      <c r="T1046" s="3" t="str">
        <f>HYPERLINK("doors://fe-dorapcm3.de.bosch.com:36679/?version=2&amp;prodID=0&amp;view=00000015&amp;urn=urn:telelogic::1-52394082008461e6-O-8513-00059142","BSW_SWS_AR4_0_R2_DIODriver-8513")</f>
        <v>BSW_SWS_AR4_0_R2_DIODriver-8513</v>
      </c>
    </row>
    <row r="1047" spans="1:20" x14ac:dyDescent="0.2">
      <c r="A1047" t="s">
        <v>2938</v>
      </c>
      <c r="B1047" t="s">
        <v>21</v>
      </c>
      <c r="C1047" t="s">
        <v>2939</v>
      </c>
      <c r="D1047" t="s">
        <v>2337</v>
      </c>
      <c r="T1047" s="3" t="str">
        <f>HYPERLINK("doors://fe-dorapcm3.de.bosch.com:36679/?version=2&amp;prodID=0&amp;view=00000015&amp;urn=urn:telelogic::1-52394082008461e6-O-8514-00059142","BSW_SWS_AR4_0_R2_DIODriver-8514")</f>
        <v>BSW_SWS_AR4_0_R2_DIODriver-8514</v>
      </c>
    </row>
    <row r="1048" spans="1:20" x14ac:dyDescent="0.2">
      <c r="A1048" t="s">
        <v>2940</v>
      </c>
      <c r="B1048" t="s">
        <v>1617</v>
      </c>
      <c r="C1048" t="s">
        <v>2941</v>
      </c>
      <c r="D1048" s="5" t="s">
        <v>2340</v>
      </c>
      <c r="K1048" t="s">
        <v>618</v>
      </c>
      <c r="P1048" t="s">
        <v>619</v>
      </c>
      <c r="Q1048" t="s">
        <v>620</v>
      </c>
      <c r="R1048" t="s">
        <v>1860</v>
      </c>
      <c r="T1048" s="3" t="str">
        <f>HYPERLINK("doors://fe-dorapcm3.de.bosch.com:36679/?version=2&amp;prodID=0&amp;view=00000015&amp;urn=urn:telelogic::1-52394082008461e6-O-8516-00059142","BSW_SWS_AR4_0_R2_DIODriver-8516")</f>
        <v>BSW_SWS_AR4_0_R2_DIODriver-8516</v>
      </c>
    </row>
    <row r="1049" spans="1:20" x14ac:dyDescent="0.2">
      <c r="A1049" t="s">
        <v>2942</v>
      </c>
      <c r="B1049" t="s">
        <v>21</v>
      </c>
      <c r="C1049" t="s">
        <v>2943</v>
      </c>
      <c r="D1049" t="s">
        <v>2343</v>
      </c>
      <c r="T1049" s="3" t="str">
        <f>HYPERLINK("doors://fe-dorapcm3.de.bosch.com:36679/?version=2&amp;prodID=0&amp;view=00000015&amp;urn=urn:telelogic::1-52394082008461e6-O-8517-00059142","BSW_SWS_AR4_0_R2_DIODriver-8517")</f>
        <v>BSW_SWS_AR4_0_R2_DIODriver-8517</v>
      </c>
    </row>
    <row r="1050" spans="1:20" x14ac:dyDescent="0.2">
      <c r="A1050" t="s">
        <v>2944</v>
      </c>
      <c r="B1050" t="s">
        <v>1617</v>
      </c>
      <c r="C1050" t="s">
        <v>2945</v>
      </c>
      <c r="D1050" s="5" t="s">
        <v>2346</v>
      </c>
      <c r="K1050" t="s">
        <v>618</v>
      </c>
      <c r="P1050" t="s">
        <v>619</v>
      </c>
      <c r="Q1050" t="s">
        <v>620</v>
      </c>
      <c r="R1050" t="s">
        <v>1860</v>
      </c>
      <c r="T1050" s="3" t="str">
        <f>HYPERLINK("doors://fe-dorapcm3.de.bosch.com:36679/?version=2&amp;prodID=0&amp;view=00000015&amp;urn=urn:telelogic::1-52394082008461e6-O-8519-00059142","BSW_SWS_AR4_0_R2_DIODriver-8519")</f>
        <v>BSW_SWS_AR4_0_R2_DIODriver-8519</v>
      </c>
    </row>
    <row r="1051" spans="1:20" x14ac:dyDescent="0.2">
      <c r="A1051" t="s">
        <v>2946</v>
      </c>
      <c r="B1051" t="s">
        <v>21</v>
      </c>
      <c r="C1051" t="s">
        <v>2947</v>
      </c>
      <c r="D1051" t="s">
        <v>2343</v>
      </c>
      <c r="T1051" s="3" t="str">
        <f>HYPERLINK("doors://fe-dorapcm3.de.bosch.com:36679/?version=2&amp;prodID=0&amp;view=00000015&amp;urn=urn:telelogic::1-52394082008461e6-O-8520-00059142","BSW_SWS_AR4_0_R2_DIODriver-8520")</f>
        <v>BSW_SWS_AR4_0_R2_DIODriver-8520</v>
      </c>
    </row>
    <row r="1052" spans="1:20" x14ac:dyDescent="0.2">
      <c r="A1052" t="s">
        <v>2948</v>
      </c>
      <c r="B1052" t="s">
        <v>1617</v>
      </c>
      <c r="C1052" t="s">
        <v>2949</v>
      </c>
      <c r="D1052" s="5" t="s">
        <v>2351</v>
      </c>
      <c r="K1052" t="s">
        <v>618</v>
      </c>
      <c r="P1052" t="s">
        <v>619</v>
      </c>
      <c r="Q1052" t="s">
        <v>620</v>
      </c>
      <c r="R1052" t="s">
        <v>1860</v>
      </c>
      <c r="T1052" s="3" t="str">
        <f>HYPERLINK("doors://fe-dorapcm3.de.bosch.com:36679/?version=2&amp;prodID=0&amp;view=00000015&amp;urn=urn:telelogic::1-52394082008461e6-O-8522-00059142","BSW_SWS_AR4_0_R2_DIODriver-8522")</f>
        <v>BSW_SWS_AR4_0_R2_DIODriver-8522</v>
      </c>
    </row>
    <row r="1053" spans="1:20" x14ac:dyDescent="0.2">
      <c r="A1053" t="s">
        <v>2950</v>
      </c>
      <c r="B1053" t="s">
        <v>21</v>
      </c>
      <c r="C1053" t="s">
        <v>2951</v>
      </c>
      <c r="D1053" t="s">
        <v>2188</v>
      </c>
      <c r="T1053" s="3" t="str">
        <f>HYPERLINK("doors://fe-dorapcm3.de.bosch.com:36679/?version=2&amp;prodID=0&amp;view=00000015&amp;urn=urn:telelogic::1-52394082008461e6-O-8523-00059142","BSW_SWS_AR4_0_R2_DIODriver-8523")</f>
        <v>BSW_SWS_AR4_0_R2_DIODriver-8523</v>
      </c>
    </row>
    <row r="1054" spans="1:20" ht="25.5" x14ac:dyDescent="0.2">
      <c r="A1054" t="s">
        <v>2952</v>
      </c>
      <c r="B1054" t="s">
        <v>21</v>
      </c>
      <c r="C1054" t="s">
        <v>2953</v>
      </c>
      <c r="D1054" s="4" t="s">
        <v>2954</v>
      </c>
      <c r="T1054" s="3" t="str">
        <f>HYPERLINK("doors://fe-dorapcm3.de.bosch.com:36679/?version=2&amp;prodID=0&amp;view=00000015&amp;urn=urn:telelogic::1-52394082008461e6-O-8524-00059142","BSW_SWS_AR4_0_R2_DIODriver-8524")</f>
        <v>BSW_SWS_AR4_0_R2_DIODriver-8524</v>
      </c>
    </row>
    <row r="1055" spans="1:20" x14ac:dyDescent="0.2">
      <c r="A1055" t="s">
        <v>2955</v>
      </c>
      <c r="B1055" t="s">
        <v>1617</v>
      </c>
      <c r="C1055" t="s">
        <v>2956</v>
      </c>
      <c r="D1055" s="5" t="s">
        <v>447</v>
      </c>
      <c r="K1055" t="s">
        <v>618</v>
      </c>
      <c r="P1055" t="s">
        <v>619</v>
      </c>
      <c r="Q1055" t="s">
        <v>620</v>
      </c>
      <c r="R1055" t="s">
        <v>1860</v>
      </c>
      <c r="T1055" s="3" t="str">
        <f>HYPERLINK("doors://fe-dorapcm3.de.bosch.com:36679/?version=2&amp;prodID=0&amp;view=00000015&amp;urn=urn:telelogic::1-52394082008461e6-O-8526-00059142","BSW_SWS_AR4_0_R2_DIODriver-8526")</f>
        <v>BSW_SWS_AR4_0_R2_DIODriver-8526</v>
      </c>
    </row>
    <row r="1056" spans="1:20" x14ac:dyDescent="0.2">
      <c r="A1056" t="s">
        <v>2957</v>
      </c>
      <c r="B1056" t="s">
        <v>21</v>
      </c>
      <c r="C1056" t="s">
        <v>2958</v>
      </c>
      <c r="D1056" t="s">
        <v>2959</v>
      </c>
      <c r="T1056" s="3" t="str">
        <f>HYPERLINK("doors://fe-dorapcm3.de.bosch.com:36679/?version=2&amp;prodID=0&amp;view=00000015&amp;urn=urn:telelogic::1-52394082008461e6-O-8527-00059142","BSW_SWS_AR4_0_R2_DIODriver-8527")</f>
        <v>BSW_SWS_AR4_0_R2_DIODriver-8527</v>
      </c>
    </row>
    <row r="1057" spans="1:20" ht="153" x14ac:dyDescent="0.2">
      <c r="A1057" t="s">
        <v>2960</v>
      </c>
      <c r="B1057" t="s">
        <v>1617</v>
      </c>
      <c r="C1057" t="s">
        <v>2961</v>
      </c>
      <c r="D1057" t="s">
        <v>2962</v>
      </c>
      <c r="E1057" s="4" t="s">
        <v>2963</v>
      </c>
      <c r="K1057" t="s">
        <v>618</v>
      </c>
      <c r="P1057" t="s">
        <v>619</v>
      </c>
      <c r="R1057" t="s">
        <v>1783</v>
      </c>
      <c r="T1057" s="3" t="str">
        <f>HYPERLINK("doors://fe-dorapcm3.de.bosch.com:36679/?version=2&amp;prodID=0&amp;view=00000015&amp;urn=urn:telelogic::1-52394082008461e6-O-8528-00059142","BSW_SWS_AR4_0_R2_DIODriver-8528")</f>
        <v>BSW_SWS_AR4_0_R2_DIODriver-8528</v>
      </c>
    </row>
    <row r="1058" spans="1:20" ht="140.25" x14ac:dyDescent="0.2">
      <c r="A1058" t="s">
        <v>2964</v>
      </c>
      <c r="B1058" t="s">
        <v>1617</v>
      </c>
      <c r="C1058" t="s">
        <v>2965</v>
      </c>
      <c r="D1058" t="s">
        <v>2966</v>
      </c>
      <c r="E1058" s="4" t="s">
        <v>2967</v>
      </c>
      <c r="K1058" t="s">
        <v>618</v>
      </c>
      <c r="P1058" t="s">
        <v>619</v>
      </c>
      <c r="R1058" t="s">
        <v>1783</v>
      </c>
      <c r="T1058" s="3" t="str">
        <f>HYPERLINK("doors://fe-dorapcm3.de.bosch.com:36679/?version=2&amp;prodID=0&amp;view=00000015&amp;urn=urn:telelogic::1-52394082008461e6-O-8529-00059142","BSW_SWS_AR4_0_R2_DIODriver-8529")</f>
        <v>BSW_SWS_AR4_0_R2_DIODriver-8529</v>
      </c>
    </row>
    <row r="1059" spans="1:20" x14ac:dyDescent="0.2">
      <c r="A1059" t="s">
        <v>2968</v>
      </c>
      <c r="B1059" t="s">
        <v>76</v>
      </c>
      <c r="C1059" t="s">
        <v>2969</v>
      </c>
      <c r="D1059" t="s">
        <v>2970</v>
      </c>
      <c r="T1059" s="3" t="str">
        <f>HYPERLINK("doors://fe-dorapcm3.de.bosch.com:36679/?version=2&amp;prodID=0&amp;view=00000015&amp;urn=urn:telelogic::1-52394082008461e6-O-8530-00059142","BSW_SWS_AR4_0_R2_DIODriver-8530")</f>
        <v>BSW_SWS_AR4_0_R2_DIODriver-8530</v>
      </c>
    </row>
    <row r="1060" spans="1:20" ht="140.25" x14ac:dyDescent="0.2">
      <c r="A1060" t="s">
        <v>2971</v>
      </c>
      <c r="B1060" t="s">
        <v>1617</v>
      </c>
      <c r="C1060" t="s">
        <v>2972</v>
      </c>
      <c r="D1060" t="s">
        <v>2973</v>
      </c>
      <c r="E1060" s="4" t="s">
        <v>2974</v>
      </c>
      <c r="K1060" t="s">
        <v>618</v>
      </c>
      <c r="P1060" t="s">
        <v>619</v>
      </c>
      <c r="R1060" t="s">
        <v>1783</v>
      </c>
      <c r="T1060" s="3" t="str">
        <f>HYPERLINK("doors://fe-dorapcm3.de.bosch.com:36679/?version=2&amp;prodID=0&amp;view=00000015&amp;urn=urn:telelogic::1-52394082008461e6-O-8531-00059142","BSW_SWS_AR4_0_R2_DIODriver-8531")</f>
        <v>BSW_SWS_AR4_0_R2_DIODriver-8531</v>
      </c>
    </row>
    <row r="1061" spans="1:20" x14ac:dyDescent="0.2">
      <c r="A1061" t="s">
        <v>2975</v>
      </c>
      <c r="B1061" t="s">
        <v>76</v>
      </c>
      <c r="C1061" t="s">
        <v>2976</v>
      </c>
      <c r="D1061" t="s">
        <v>2977</v>
      </c>
      <c r="T1061" s="3" t="str">
        <f>HYPERLINK("doors://fe-dorapcm3.de.bosch.com:36679/?version=2&amp;prodID=0&amp;view=00000015&amp;urn=urn:telelogic::1-52394082008461e6-O-8532-00059142","BSW_SWS_AR4_0_R2_DIODriver-8532")</f>
        <v>BSW_SWS_AR4_0_R2_DIODriver-8532</v>
      </c>
    </row>
    <row r="1062" spans="1:20" x14ac:dyDescent="0.2">
      <c r="A1062" t="s">
        <v>2978</v>
      </c>
      <c r="B1062" t="s">
        <v>76</v>
      </c>
      <c r="C1062" t="s">
        <v>2979</v>
      </c>
      <c r="D1062" t="s">
        <v>2840</v>
      </c>
      <c r="T1062" s="3" t="str">
        <f>HYPERLINK("doors://fe-dorapcm3.de.bosch.com:36679/?version=2&amp;prodID=0&amp;view=00000015&amp;urn=urn:telelogic::1-52394082008461e6-O-8533-00059142","BSW_SWS_AR4_0_R2_DIODriver-8533")</f>
        <v>BSW_SWS_AR4_0_R2_DIODriver-8533</v>
      </c>
    </row>
    <row r="1063" spans="1:20" x14ac:dyDescent="0.2">
      <c r="A1063" t="s">
        <v>2980</v>
      </c>
      <c r="B1063" t="s">
        <v>21</v>
      </c>
      <c r="C1063">
        <v>8.4</v>
      </c>
      <c r="D1063" s="2" t="s">
        <v>2981</v>
      </c>
      <c r="T1063" s="3" t="str">
        <f>HYPERLINK("doors://fe-dorapcm3.de.bosch.com:36679/?version=2&amp;prodID=0&amp;view=00000015&amp;urn=urn:telelogic::1-52394082008461e6-O-8534-00059142","BSW_SWS_AR4_0_R2_DIODriver-8534")</f>
        <v>BSW_SWS_AR4_0_R2_DIODriver-8534</v>
      </c>
    </row>
    <row r="1064" spans="1:20" x14ac:dyDescent="0.2">
      <c r="A1064" t="s">
        <v>2982</v>
      </c>
      <c r="B1064" t="s">
        <v>76</v>
      </c>
      <c r="C1064" t="s">
        <v>2983</v>
      </c>
      <c r="D1064" t="s">
        <v>2984</v>
      </c>
      <c r="T1064" s="3" t="str">
        <f>HYPERLINK("doors://fe-dorapcm3.de.bosch.com:36679/?version=2&amp;prodID=0&amp;view=00000015&amp;urn=urn:telelogic::1-52394082008461e6-O-8535-00059142","BSW_SWS_AR4_0_R2_DIODriver-8535")</f>
        <v>BSW_SWS_AR4_0_R2_DIODriver-8535</v>
      </c>
    </row>
    <row r="1065" spans="1:20" x14ac:dyDescent="0.2">
      <c r="A1065" t="s">
        <v>2985</v>
      </c>
      <c r="B1065" t="s">
        <v>76</v>
      </c>
      <c r="C1065" t="s">
        <v>2986</v>
      </c>
      <c r="D1065" t="s">
        <v>2987</v>
      </c>
      <c r="T1065" s="3" t="str">
        <f>HYPERLINK("doors://fe-dorapcm3.de.bosch.com:36679/?version=2&amp;prodID=0&amp;view=00000015&amp;urn=urn:telelogic::1-52394082008461e6-O-8536-00059142","BSW_SWS_AR4_0_R2_DIODriver-8536")</f>
        <v>BSW_SWS_AR4_0_R2_DIODriver-8536</v>
      </c>
    </row>
    <row r="1066" spans="1:20" x14ac:dyDescent="0.2">
      <c r="A1066" t="s">
        <v>2988</v>
      </c>
      <c r="B1066" t="s">
        <v>21</v>
      </c>
      <c r="C1066">
        <v>8.5</v>
      </c>
      <c r="D1066" s="2" t="s">
        <v>2989</v>
      </c>
      <c r="T1066" s="3" t="str">
        <f>HYPERLINK("doors://fe-dorapcm3.de.bosch.com:36679/?version=2&amp;prodID=0&amp;view=00000015&amp;urn=urn:telelogic::1-52394082008461e6-O-8537-00059142","BSW_SWS_AR4_0_R2_DIODriver-8537")</f>
        <v>BSW_SWS_AR4_0_R2_DIODriver-8537</v>
      </c>
    </row>
    <row r="1067" spans="1:20" x14ac:dyDescent="0.2">
      <c r="A1067" t="s">
        <v>2990</v>
      </c>
      <c r="B1067" t="s">
        <v>76</v>
      </c>
      <c r="C1067" t="s">
        <v>2991</v>
      </c>
      <c r="D1067" t="s">
        <v>2992</v>
      </c>
      <c r="T1067" s="3" t="str">
        <f>HYPERLINK("doors://fe-dorapcm3.de.bosch.com:36679/?version=2&amp;prodID=0&amp;view=00000015&amp;urn=urn:telelogic::1-52394082008461e6-O-8538-00059142","BSW_SWS_AR4_0_R2_DIODriver-8538")</f>
        <v>BSW_SWS_AR4_0_R2_DIODriver-8538</v>
      </c>
    </row>
    <row r="1068" spans="1:20" x14ac:dyDescent="0.2">
      <c r="A1068" t="s">
        <v>2993</v>
      </c>
      <c r="B1068" t="s">
        <v>76</v>
      </c>
      <c r="C1068" t="s">
        <v>2994</v>
      </c>
      <c r="D1068" t="s">
        <v>2995</v>
      </c>
      <c r="T1068" s="3" t="str">
        <f>HYPERLINK("doors://fe-dorapcm3.de.bosch.com:36679/?version=2&amp;prodID=0&amp;view=00000015&amp;urn=urn:telelogic::1-52394082008461e6-O-8539-00059142","BSW_SWS_AR4_0_R2_DIODriver-8539")</f>
        <v>BSW_SWS_AR4_0_R2_DIODriver-8539</v>
      </c>
    </row>
    <row r="1069" spans="1:20" x14ac:dyDescent="0.2">
      <c r="A1069" t="s">
        <v>2996</v>
      </c>
      <c r="B1069" t="s">
        <v>21</v>
      </c>
      <c r="C1069">
        <v>8.6</v>
      </c>
      <c r="D1069" s="2" t="s">
        <v>2997</v>
      </c>
      <c r="T1069" s="3" t="str">
        <f>HYPERLINK("doors://fe-dorapcm3.de.bosch.com:36679/?version=2&amp;prodID=0&amp;view=00000015&amp;urn=urn:telelogic::1-52394082008461e6-O-8540-00059142","BSW_SWS_AR4_0_R2_DIODriver-8540")</f>
        <v>BSW_SWS_AR4_0_R2_DIODriver-8540</v>
      </c>
    </row>
    <row r="1070" spans="1:20" x14ac:dyDescent="0.2">
      <c r="A1070" t="s">
        <v>2998</v>
      </c>
      <c r="B1070" t="s">
        <v>76</v>
      </c>
      <c r="C1070" t="s">
        <v>2999</v>
      </c>
      <c r="D1070" t="s">
        <v>3000</v>
      </c>
      <c r="T1070" s="3" t="str">
        <f>HYPERLINK("doors://fe-dorapcm3.de.bosch.com:36679/?version=2&amp;prodID=0&amp;view=00000015&amp;urn=urn:telelogic::1-52394082008461e6-O-8541-00059142","BSW_SWS_AR4_0_R2_DIODriver-8541")</f>
        <v>BSW_SWS_AR4_0_R2_DIODriver-8541</v>
      </c>
    </row>
    <row r="1071" spans="1:20" x14ac:dyDescent="0.2">
      <c r="A1071" t="s">
        <v>3001</v>
      </c>
      <c r="B1071" t="s">
        <v>21</v>
      </c>
      <c r="C1071" t="s">
        <v>3002</v>
      </c>
      <c r="D1071" s="2" t="s">
        <v>3003</v>
      </c>
      <c r="T1071" s="3" t="str">
        <f>HYPERLINK("doors://fe-dorapcm3.de.bosch.com:36679/?version=2&amp;prodID=0&amp;view=00000015&amp;urn=urn:telelogic::1-52394082008461e6-O-8542-00059142","BSW_SWS_AR4_0_R2_DIODriver-8542")</f>
        <v>BSW_SWS_AR4_0_R2_DIODriver-8542</v>
      </c>
    </row>
    <row r="1072" spans="1:20" x14ac:dyDescent="0.2">
      <c r="A1072" t="s">
        <v>3004</v>
      </c>
      <c r="B1072" t="s">
        <v>76</v>
      </c>
      <c r="C1072" t="s">
        <v>3005</v>
      </c>
      <c r="D1072" t="s">
        <v>2343</v>
      </c>
      <c r="T1072" s="3" t="str">
        <f>HYPERLINK("doors://fe-dorapcm3.de.bosch.com:36679/?version=2&amp;prodID=0&amp;view=00000015&amp;urn=urn:telelogic::1-52394082008461e6-O-8543-00059142","BSW_SWS_AR4_0_R2_DIODriver-8543")</f>
        <v>BSW_SWS_AR4_0_R2_DIODriver-8543</v>
      </c>
    </row>
    <row r="1073" spans="1:20" x14ac:dyDescent="0.2">
      <c r="A1073" t="s">
        <v>3006</v>
      </c>
      <c r="B1073" t="s">
        <v>21</v>
      </c>
      <c r="C1073" t="s">
        <v>3007</v>
      </c>
      <c r="D1073" s="2" t="s">
        <v>3008</v>
      </c>
      <c r="T1073" s="3" t="str">
        <f>HYPERLINK("doors://fe-dorapcm3.de.bosch.com:36679/?version=2&amp;prodID=0&amp;view=00000015&amp;urn=urn:telelogic::1-52394082008461e6-O-8544-00059142","BSW_SWS_AR4_0_R2_DIODriver-8544")</f>
        <v>BSW_SWS_AR4_0_R2_DIODriver-8544</v>
      </c>
    </row>
    <row r="1074" spans="1:20" x14ac:dyDescent="0.2">
      <c r="A1074" t="s">
        <v>3009</v>
      </c>
      <c r="B1074" t="s">
        <v>76</v>
      </c>
      <c r="C1074" t="s">
        <v>3010</v>
      </c>
      <c r="D1074" t="s">
        <v>3011</v>
      </c>
      <c r="T1074" s="3" t="str">
        <f>HYPERLINK("doors://fe-dorapcm3.de.bosch.com:36679/?version=2&amp;prodID=0&amp;view=00000015&amp;urn=urn:telelogic::1-52394082008461e6-O-8545-00059142","BSW_SWS_AR4_0_R2_DIODriver-8545")</f>
        <v>BSW_SWS_AR4_0_R2_DIODriver-8545</v>
      </c>
    </row>
    <row r="1075" spans="1:20" x14ac:dyDescent="0.2">
      <c r="A1075" t="s">
        <v>3012</v>
      </c>
      <c r="B1075" t="s">
        <v>1617</v>
      </c>
      <c r="C1075" t="s">
        <v>3013</v>
      </c>
      <c r="D1075" t="s">
        <v>3014</v>
      </c>
      <c r="J1075" t="s">
        <v>617</v>
      </c>
      <c r="K1075" t="s">
        <v>618</v>
      </c>
      <c r="P1075" t="s">
        <v>619</v>
      </c>
      <c r="Q1075" t="s">
        <v>620</v>
      </c>
      <c r="R1075" t="s">
        <v>621</v>
      </c>
      <c r="S1075" t="s">
        <v>622</v>
      </c>
      <c r="T1075" s="3" t="str">
        <f>HYPERLINK("doors://fe-dorapcm3.de.bosch.com:36679/?version=2&amp;prodID=0&amp;view=00000015&amp;urn=urn:telelogic::1-52394082008461e6-O-8546-00059142","BSW_SWS_AR4_0_R2_DIODriver-8546")</f>
        <v>BSW_SWS_AR4_0_R2_DIODriver-8546</v>
      </c>
    </row>
    <row r="1076" spans="1:20" x14ac:dyDescent="0.2">
      <c r="A1076" t="s">
        <v>3015</v>
      </c>
      <c r="B1076" t="s">
        <v>1617</v>
      </c>
      <c r="C1076" t="s">
        <v>3016</v>
      </c>
      <c r="D1076" s="5" t="s">
        <v>3017</v>
      </c>
      <c r="K1076" t="s">
        <v>618</v>
      </c>
      <c r="P1076" t="s">
        <v>619</v>
      </c>
      <c r="Q1076" t="s">
        <v>620</v>
      </c>
      <c r="R1076" t="s">
        <v>1860</v>
      </c>
      <c r="T1076" s="3" t="str">
        <f>HYPERLINK("doors://fe-dorapcm3.de.bosch.com:36679/?version=2&amp;prodID=0&amp;view=00000015&amp;urn=urn:telelogic::1-52394082008461e6-O-8549-00059142","BSW_SWS_AR4_0_R2_DIODriver-8549")</f>
        <v>BSW_SWS_AR4_0_R2_DIODriver-8549</v>
      </c>
    </row>
    <row r="1077" spans="1:20" x14ac:dyDescent="0.2">
      <c r="A1077" t="s">
        <v>3018</v>
      </c>
      <c r="B1077" t="s">
        <v>21</v>
      </c>
      <c r="C1077" t="s">
        <v>3019</v>
      </c>
      <c r="D1077" s="5" t="s">
        <v>3020</v>
      </c>
      <c r="T1077" s="3" t="str">
        <f>HYPERLINK("doors://fe-dorapcm3.de.bosch.com:36679/?version=2&amp;prodID=0&amp;view=00000015&amp;urn=urn:telelogic::1-52394082008461e6-O-8550-00059142","BSW_SWS_AR4_0_R2_DIODriver-8550")</f>
        <v>BSW_SWS_AR4_0_R2_DIODriver-8550</v>
      </c>
    </row>
    <row r="1078" spans="1:20" x14ac:dyDescent="0.2">
      <c r="A1078" t="s">
        <v>3021</v>
      </c>
      <c r="B1078" t="s">
        <v>1617</v>
      </c>
      <c r="C1078" t="s">
        <v>3022</v>
      </c>
      <c r="D1078" t="s">
        <v>3023</v>
      </c>
      <c r="K1078" t="s">
        <v>618</v>
      </c>
      <c r="P1078" t="s">
        <v>619</v>
      </c>
      <c r="Q1078" t="s">
        <v>620</v>
      </c>
      <c r="R1078" t="s">
        <v>1860</v>
      </c>
      <c r="T1078" s="3" t="str">
        <f>HYPERLINK("doors://fe-dorapcm3.de.bosch.com:36679/?version=2&amp;prodID=0&amp;view=00000015&amp;urn=urn:telelogic::1-52394082008461e6-O-8552-00059142","BSW_SWS_AR4_0_R2_DIODriver-8552")</f>
        <v>BSW_SWS_AR4_0_R2_DIODriver-8552</v>
      </c>
    </row>
    <row r="1079" spans="1:20" x14ac:dyDescent="0.2">
      <c r="A1079" t="s">
        <v>3024</v>
      </c>
      <c r="B1079" t="s">
        <v>21</v>
      </c>
      <c r="C1079" t="s">
        <v>3025</v>
      </c>
      <c r="D1079" t="s">
        <v>3026</v>
      </c>
      <c r="T1079" s="3" t="str">
        <f>HYPERLINK("doors://fe-dorapcm3.de.bosch.com:36679/?version=2&amp;prodID=0&amp;view=00000015&amp;urn=urn:telelogic::1-52394082008461e6-O-8553-00059142","BSW_SWS_AR4_0_R2_DIODriver-8553")</f>
        <v>BSW_SWS_AR4_0_R2_DIODriver-8553</v>
      </c>
    </row>
    <row r="1080" spans="1:20" x14ac:dyDescent="0.2">
      <c r="A1080" t="s">
        <v>3027</v>
      </c>
      <c r="B1080" t="s">
        <v>1617</v>
      </c>
      <c r="C1080" t="s">
        <v>3028</v>
      </c>
      <c r="D1080" t="s">
        <v>3029</v>
      </c>
      <c r="K1080" t="s">
        <v>618</v>
      </c>
      <c r="P1080" t="s">
        <v>619</v>
      </c>
      <c r="Q1080" t="s">
        <v>620</v>
      </c>
      <c r="R1080" t="s">
        <v>1860</v>
      </c>
      <c r="T1080" s="3" t="str">
        <f>HYPERLINK("doors://fe-dorapcm3.de.bosch.com:36679/?version=2&amp;prodID=0&amp;view=00000015&amp;urn=urn:telelogic::1-52394082008461e6-O-8555-00059142","BSW_SWS_AR4_0_R2_DIODriver-8555")</f>
        <v>BSW_SWS_AR4_0_R2_DIODriver-8555</v>
      </c>
    </row>
    <row r="1081" spans="1:20" x14ac:dyDescent="0.2">
      <c r="A1081" t="s">
        <v>3030</v>
      </c>
      <c r="B1081" t="s">
        <v>21</v>
      </c>
      <c r="C1081" t="s">
        <v>3031</v>
      </c>
      <c r="D1081" t="s">
        <v>3032</v>
      </c>
      <c r="T1081" s="3" t="str">
        <f>HYPERLINK("doors://fe-dorapcm3.de.bosch.com:36679/?version=2&amp;prodID=0&amp;view=00000015&amp;urn=urn:telelogic::1-52394082008461e6-O-8556-00059142","BSW_SWS_AR4_0_R2_DIODriver-8556")</f>
        <v>BSW_SWS_AR4_0_R2_DIODriver-8556</v>
      </c>
    </row>
    <row r="1082" spans="1:20" x14ac:dyDescent="0.2">
      <c r="A1082" t="s">
        <v>3033</v>
      </c>
      <c r="B1082" t="s">
        <v>21</v>
      </c>
      <c r="C1082">
        <v>9</v>
      </c>
      <c r="D1082" s="2" t="s">
        <v>3034</v>
      </c>
      <c r="T1082" s="3" t="str">
        <f>HYPERLINK("doors://fe-dorapcm3.de.bosch.com:36679/?version=2&amp;prodID=0&amp;view=00000015&amp;urn=urn:telelogic::1-52394082008461e6-O-8557-00059142","BSW_SWS_AR4_0_R2_DIODriver-8557")</f>
        <v>BSW_SWS_AR4_0_R2_DIODriver-8557</v>
      </c>
    </row>
    <row r="1083" spans="1:20" x14ac:dyDescent="0.2">
      <c r="A1083" t="s">
        <v>3035</v>
      </c>
      <c r="B1083" t="s">
        <v>76</v>
      </c>
      <c r="C1083" t="s">
        <v>3036</v>
      </c>
      <c r="D1083" t="s">
        <v>3037</v>
      </c>
      <c r="T1083" s="3" t="str">
        <f>HYPERLINK("doors://fe-dorapcm3.de.bosch.com:36679/?version=2&amp;prodID=0&amp;view=00000015&amp;urn=urn:telelogic::1-52394082008461e6-O-8558-00059142","BSW_SWS_AR4_0_R2_DIODriver-8558")</f>
        <v>BSW_SWS_AR4_0_R2_DIODriver-8558</v>
      </c>
    </row>
    <row r="1084" spans="1:20" x14ac:dyDescent="0.2">
      <c r="A1084" t="s">
        <v>3038</v>
      </c>
      <c r="B1084" t="s">
        <v>21</v>
      </c>
      <c r="C1084">
        <v>9.1</v>
      </c>
      <c r="D1084" s="2" t="s">
        <v>3039</v>
      </c>
      <c r="T1084" s="3" t="str">
        <f>HYPERLINK("doors://fe-dorapcm3.de.bosch.com:36679/?version=2&amp;prodID=0&amp;view=00000015&amp;urn=urn:telelogic::1-52394082008461e6-O-8559-00059142","BSW_SWS_AR4_0_R2_DIODriver-8559")</f>
        <v>BSW_SWS_AR4_0_R2_DIODriver-8559</v>
      </c>
    </row>
    <row r="1085" spans="1:20" x14ac:dyDescent="0.2">
      <c r="A1085" t="s">
        <v>3040</v>
      </c>
      <c r="B1085" t="s">
        <v>76</v>
      </c>
      <c r="C1085" t="s">
        <v>3041</v>
      </c>
      <c r="T1085" s="3" t="str">
        <f>HYPERLINK("doors://fe-dorapcm3.de.bosch.com:36679/?version=2&amp;prodID=0&amp;view=00000015&amp;urn=urn:telelogic::1-52394082008461e6-O-8560-00059142","BSW_SWS_AR4_0_R2_DIODriver-8560")</f>
        <v>BSW_SWS_AR4_0_R2_DIODriver-8560</v>
      </c>
    </row>
    <row r="1086" spans="1:20" x14ac:dyDescent="0.2">
      <c r="A1086" t="s">
        <v>3042</v>
      </c>
      <c r="B1086" t="s">
        <v>76</v>
      </c>
      <c r="C1086" t="s">
        <v>3043</v>
      </c>
      <c r="D1086" s="2" t="s">
        <v>3044</v>
      </c>
      <c r="T1086" s="3" t="str">
        <f>HYPERLINK("doors://fe-dorapcm3.de.bosch.com:36679/?version=2&amp;prodID=0&amp;view=00000015&amp;urn=urn:telelogic::1-52394082008461e6-O-8561-00059142","BSW_SWS_AR4_0_R2_DIODriver-8561")</f>
        <v>BSW_SWS_AR4_0_R2_DIODriver-8561</v>
      </c>
    </row>
    <row r="1087" spans="1:20" x14ac:dyDescent="0.2">
      <c r="A1087" t="s">
        <v>3045</v>
      </c>
      <c r="B1087" t="s">
        <v>21</v>
      </c>
      <c r="C1087">
        <v>9.1999999999999993</v>
      </c>
      <c r="D1087" s="2" t="s">
        <v>2523</v>
      </c>
      <c r="T1087" s="3" t="str">
        <f>HYPERLINK("doors://fe-dorapcm3.de.bosch.com:36679/?version=2&amp;prodID=0&amp;view=00000015&amp;urn=urn:telelogic::1-52394082008461e6-O-8562-00059142","BSW_SWS_AR4_0_R2_DIODriver-8562")</f>
        <v>BSW_SWS_AR4_0_R2_DIODriver-8562</v>
      </c>
    </row>
    <row r="1088" spans="1:20" x14ac:dyDescent="0.2">
      <c r="A1088" t="s">
        <v>3046</v>
      </c>
      <c r="B1088" t="s">
        <v>76</v>
      </c>
      <c r="C1088" t="s">
        <v>3047</v>
      </c>
      <c r="T1088" s="3" t="str">
        <f>HYPERLINK("doors://fe-dorapcm3.de.bosch.com:36679/?version=2&amp;prodID=0&amp;view=00000015&amp;urn=urn:telelogic::1-52394082008461e6-O-8563-00059142","BSW_SWS_AR4_0_R2_DIODriver-8563")</f>
        <v>BSW_SWS_AR4_0_R2_DIODriver-8563</v>
      </c>
    </row>
    <row r="1089" spans="1:20" x14ac:dyDescent="0.2">
      <c r="A1089" t="s">
        <v>3048</v>
      </c>
      <c r="B1089" t="s">
        <v>76</v>
      </c>
      <c r="C1089" t="s">
        <v>3049</v>
      </c>
      <c r="D1089" s="2" t="s">
        <v>3050</v>
      </c>
      <c r="T1089" s="3" t="str">
        <f>HYPERLINK("doors://fe-dorapcm3.de.bosch.com:36679/?version=2&amp;prodID=0&amp;view=00000015&amp;urn=urn:telelogic::1-52394082008461e6-O-8564-00059142","BSW_SWS_AR4_0_R2_DIODriver-8564")</f>
        <v>BSW_SWS_AR4_0_R2_DIODriver-8564</v>
      </c>
    </row>
    <row r="1090" spans="1:20" x14ac:dyDescent="0.2">
      <c r="A1090" t="s">
        <v>3051</v>
      </c>
      <c r="B1090" t="s">
        <v>21</v>
      </c>
      <c r="C1090">
        <v>9.3000000000000007</v>
      </c>
      <c r="D1090" s="2" t="s">
        <v>3052</v>
      </c>
      <c r="T1090" s="3" t="str">
        <f>HYPERLINK("doors://fe-dorapcm3.de.bosch.com:36679/?version=2&amp;prodID=0&amp;view=00000015&amp;urn=urn:telelogic::1-52394082008461e6-O-8565-00059142","BSW_SWS_AR4_0_R2_DIODriver-8565")</f>
        <v>BSW_SWS_AR4_0_R2_DIODriver-8565</v>
      </c>
    </row>
    <row r="1091" spans="1:20" x14ac:dyDescent="0.2">
      <c r="A1091" t="s">
        <v>3053</v>
      </c>
      <c r="B1091" t="s">
        <v>76</v>
      </c>
      <c r="C1091" t="s">
        <v>3054</v>
      </c>
      <c r="T1091" s="3" t="str">
        <f>HYPERLINK("doors://fe-dorapcm3.de.bosch.com:36679/?version=2&amp;prodID=0&amp;view=00000015&amp;urn=urn:telelogic::1-52394082008461e6-O-8566-00059142","BSW_SWS_AR4_0_R2_DIODriver-8566")</f>
        <v>BSW_SWS_AR4_0_R2_DIODriver-8566</v>
      </c>
    </row>
    <row r="1092" spans="1:20" x14ac:dyDescent="0.2">
      <c r="A1092" t="s">
        <v>3055</v>
      </c>
      <c r="B1092" t="s">
        <v>76</v>
      </c>
      <c r="C1092" t="s">
        <v>3056</v>
      </c>
      <c r="D1092" s="2" t="s">
        <v>3057</v>
      </c>
      <c r="T1092" s="3" t="str">
        <f>HYPERLINK("doors://fe-dorapcm3.de.bosch.com:36679/?version=2&amp;prodID=0&amp;view=00000015&amp;urn=urn:telelogic::1-52394082008461e6-O-8567-00059142","BSW_SWS_AR4_0_R2_DIODriver-8567")</f>
        <v>BSW_SWS_AR4_0_R2_DIODriver-8567</v>
      </c>
    </row>
    <row r="1093" spans="1:20" x14ac:dyDescent="0.2">
      <c r="A1093" t="s">
        <v>3058</v>
      </c>
      <c r="B1093" t="s">
        <v>21</v>
      </c>
      <c r="C1093">
        <v>9.4</v>
      </c>
      <c r="D1093" s="2" t="s">
        <v>3059</v>
      </c>
      <c r="T1093" s="3" t="str">
        <f>HYPERLINK("doors://fe-dorapcm3.de.bosch.com:36679/?version=2&amp;prodID=0&amp;view=00000015&amp;urn=urn:telelogic::1-52394082008461e6-O-8568-00059142","BSW_SWS_AR4_0_R2_DIODriver-8568")</f>
        <v>BSW_SWS_AR4_0_R2_DIODriver-8568</v>
      </c>
    </row>
    <row r="1094" spans="1:20" x14ac:dyDescent="0.2">
      <c r="A1094" t="s">
        <v>3060</v>
      </c>
      <c r="B1094" t="s">
        <v>76</v>
      </c>
      <c r="C1094" t="s">
        <v>3061</v>
      </c>
      <c r="T1094" s="3" t="str">
        <f>HYPERLINK("doors://fe-dorapcm3.de.bosch.com:36679/?version=2&amp;prodID=0&amp;view=00000015&amp;urn=urn:telelogic::1-52394082008461e6-O-8569-00059142","BSW_SWS_AR4_0_R2_DIODriver-8569")</f>
        <v>BSW_SWS_AR4_0_R2_DIODriver-8569</v>
      </c>
    </row>
    <row r="1095" spans="1:20" x14ac:dyDescent="0.2">
      <c r="A1095" t="s">
        <v>3062</v>
      </c>
      <c r="B1095" t="s">
        <v>76</v>
      </c>
      <c r="C1095" t="s">
        <v>3063</v>
      </c>
      <c r="D1095" s="2" t="s">
        <v>3064</v>
      </c>
      <c r="T1095" s="3" t="str">
        <f>HYPERLINK("doors://fe-dorapcm3.de.bosch.com:36679/?version=2&amp;prodID=0&amp;view=00000015&amp;urn=urn:telelogic::1-52394082008461e6-O-8570-00059142","BSW_SWS_AR4_0_R2_DIODriver-8570")</f>
        <v>BSW_SWS_AR4_0_R2_DIODriver-8570</v>
      </c>
    </row>
    <row r="1096" spans="1:20" x14ac:dyDescent="0.2">
      <c r="A1096" t="s">
        <v>3065</v>
      </c>
      <c r="B1096" t="s">
        <v>21</v>
      </c>
      <c r="C1096">
        <v>10</v>
      </c>
      <c r="D1096" s="2" t="s">
        <v>3066</v>
      </c>
      <c r="T1096" s="3" t="str">
        <f>HYPERLINK("doors://fe-dorapcm3.de.bosch.com:36679/?version=2&amp;prodID=0&amp;view=00000015&amp;urn=urn:telelogic::1-52394082008461e6-O-8571-00059142","BSW_SWS_AR4_0_R2_DIODriver-8571")</f>
        <v>BSW_SWS_AR4_0_R2_DIODriver-8571</v>
      </c>
    </row>
    <row r="1097" spans="1:20" x14ac:dyDescent="0.2">
      <c r="A1097" t="s">
        <v>3067</v>
      </c>
      <c r="B1097" t="s">
        <v>76</v>
      </c>
      <c r="C1097" t="s">
        <v>3068</v>
      </c>
      <c r="D1097" t="s">
        <v>3069</v>
      </c>
      <c r="T1097" s="3" t="str">
        <f>HYPERLINK("doors://fe-dorapcm3.de.bosch.com:36679/?version=2&amp;prodID=0&amp;view=00000015&amp;urn=urn:telelogic::1-52394082008461e6-O-8572-00059142","BSW_SWS_AR4_0_R2_DIODriver-8572")</f>
        <v>BSW_SWS_AR4_0_R2_DIODriver-8572</v>
      </c>
    </row>
    <row r="1098" spans="1:20" x14ac:dyDescent="0.2">
      <c r="A1098" t="s">
        <v>3070</v>
      </c>
      <c r="B1098" t="s">
        <v>614</v>
      </c>
      <c r="C1098">
        <v>10.1</v>
      </c>
      <c r="D1098" s="2" t="s">
        <v>3071</v>
      </c>
      <c r="Q1098" s="2" t="s">
        <v>620</v>
      </c>
      <c r="R1098" t="s">
        <v>621</v>
      </c>
      <c r="S1098" s="2" t="s">
        <v>622</v>
      </c>
      <c r="T1098" s="3" t="str">
        <f>HYPERLINK("doors://fe-dorapcm3.de.bosch.com:36679/?version=2&amp;prodID=0&amp;view=00000015&amp;urn=urn:telelogic::1-52394082008461e6-O-8573-00059142","BSW_SWS_AR4_0_R2_DIODriver-8573")</f>
        <v>BSW_SWS_AR4_0_R2_DIODriver-8573</v>
      </c>
    </row>
    <row r="1099" spans="1:20" x14ac:dyDescent="0.2">
      <c r="A1099" t="s">
        <v>3072</v>
      </c>
      <c r="B1099" t="s">
        <v>76</v>
      </c>
      <c r="C1099" t="s">
        <v>3073</v>
      </c>
      <c r="D1099" t="s">
        <v>3074</v>
      </c>
      <c r="T1099" s="3" t="str">
        <f>HYPERLINK("doors://fe-dorapcm3.de.bosch.com:36679/?version=2&amp;prodID=0&amp;view=00000015&amp;urn=urn:telelogic::1-52394082008461e6-O-8574-00059142","BSW_SWS_AR4_0_R2_DIODriver-8574")</f>
        <v>BSW_SWS_AR4_0_R2_DIODriver-8574</v>
      </c>
    </row>
    <row r="1100" spans="1:20" x14ac:dyDescent="0.2">
      <c r="A1100" t="s">
        <v>3075</v>
      </c>
      <c r="B1100" t="s">
        <v>614</v>
      </c>
      <c r="C1100" t="s">
        <v>3076</v>
      </c>
      <c r="D1100" s="2" t="s">
        <v>3077</v>
      </c>
      <c r="Q1100" s="2" t="s">
        <v>620</v>
      </c>
      <c r="R1100" t="s">
        <v>621</v>
      </c>
      <c r="S1100" s="2" t="s">
        <v>622</v>
      </c>
      <c r="T1100" s="3" t="str">
        <f>HYPERLINK("doors://fe-dorapcm3.de.bosch.com:36679/?version=2&amp;prodID=0&amp;view=00000015&amp;urn=urn:telelogic::1-52394082008461e6-O-8575-00059142","BSW_SWS_AR4_0_R2_DIODriver-8575")</f>
        <v>BSW_SWS_AR4_0_R2_DIODriver-8575</v>
      </c>
    </row>
    <row r="1101" spans="1:20" x14ac:dyDescent="0.2">
      <c r="A1101" t="s">
        <v>3078</v>
      </c>
      <c r="B1101" t="s">
        <v>76</v>
      </c>
      <c r="C1101" t="s">
        <v>3079</v>
      </c>
      <c r="D1101" t="s">
        <v>3080</v>
      </c>
      <c r="T1101" s="3" t="str">
        <f>HYPERLINK("doors://fe-dorapcm3.de.bosch.com:36679/?version=2&amp;prodID=0&amp;view=00000015&amp;urn=urn:telelogic::1-52394082008461e6-O-8576-00059142","BSW_SWS_AR4_0_R2_DIODriver-8576")</f>
        <v>BSW_SWS_AR4_0_R2_DIODriver-8576</v>
      </c>
    </row>
    <row r="1102" spans="1:20" ht="25.5" x14ac:dyDescent="0.2">
      <c r="A1102" t="s">
        <v>3081</v>
      </c>
      <c r="B1102" t="s">
        <v>614</v>
      </c>
      <c r="C1102" t="s">
        <v>3082</v>
      </c>
      <c r="D1102" s="4" t="s">
        <v>3083</v>
      </c>
      <c r="K1102" t="s">
        <v>618</v>
      </c>
      <c r="P1102" t="s">
        <v>619</v>
      </c>
      <c r="Q1102" t="s">
        <v>651</v>
      </c>
      <c r="R1102" t="s">
        <v>621</v>
      </c>
      <c r="S1102" t="s">
        <v>622</v>
      </c>
      <c r="T1102" s="3" t="str">
        <f>HYPERLINK("doors://fe-dorapcm3.de.bosch.com:36679/?version=2&amp;prodID=0&amp;view=00000015&amp;urn=urn:telelogic::1-52394082008461e6-O-8577-00059142","BSW_SWS_AR4_0_R2_DIODriver-8577")</f>
        <v>BSW_SWS_AR4_0_R2_DIODriver-8577</v>
      </c>
    </row>
    <row r="1103" spans="1:20" ht="25.5" x14ac:dyDescent="0.2">
      <c r="A1103" t="s">
        <v>3084</v>
      </c>
      <c r="B1103" t="s">
        <v>614</v>
      </c>
      <c r="C1103" t="s">
        <v>3085</v>
      </c>
      <c r="D1103" s="4" t="s">
        <v>3086</v>
      </c>
      <c r="K1103" t="s">
        <v>618</v>
      </c>
      <c r="P1103" t="s">
        <v>619</v>
      </c>
      <c r="Q1103" t="s">
        <v>651</v>
      </c>
      <c r="R1103" t="s">
        <v>621</v>
      </c>
      <c r="S1103" t="s">
        <v>622</v>
      </c>
      <c r="T1103" s="3" t="str">
        <f>HYPERLINK("doors://fe-dorapcm3.de.bosch.com:36679/?version=2&amp;prodID=0&amp;view=00000015&amp;urn=urn:telelogic::1-52394082008461e6-O-8578-00059142","BSW_SWS_AR4_0_R2_DIODriver-8578")</f>
        <v>BSW_SWS_AR4_0_R2_DIODriver-8578</v>
      </c>
    </row>
    <row r="1104" spans="1:20" ht="25.5" x14ac:dyDescent="0.2">
      <c r="A1104" t="s">
        <v>3087</v>
      </c>
      <c r="B1104" t="s">
        <v>614</v>
      </c>
      <c r="C1104" t="s">
        <v>3088</v>
      </c>
      <c r="D1104" s="4" t="s">
        <v>3089</v>
      </c>
      <c r="J1104" t="s">
        <v>617</v>
      </c>
      <c r="K1104" t="s">
        <v>618</v>
      </c>
      <c r="P1104" t="s">
        <v>619</v>
      </c>
      <c r="Q1104" t="s">
        <v>620</v>
      </c>
      <c r="R1104" t="s">
        <v>621</v>
      </c>
      <c r="S1104" t="s">
        <v>622</v>
      </c>
      <c r="T1104" s="3" t="str">
        <f>HYPERLINK("doors://fe-dorapcm3.de.bosch.com:36679/?version=2&amp;prodID=0&amp;view=00000015&amp;urn=urn:telelogic::1-52394082008461e6-O-8579-00059142","BSW_SWS_AR4_0_R2_DIODriver-8579")</f>
        <v>BSW_SWS_AR4_0_R2_DIODriver-8579</v>
      </c>
    </row>
    <row r="1105" spans="1:20" x14ac:dyDescent="0.2">
      <c r="A1105" t="s">
        <v>3090</v>
      </c>
      <c r="B1105" t="s">
        <v>614</v>
      </c>
      <c r="C1105" t="s">
        <v>3091</v>
      </c>
      <c r="D1105" t="s">
        <v>3092</v>
      </c>
      <c r="J1105" t="s">
        <v>617</v>
      </c>
      <c r="K1105" t="s">
        <v>618</v>
      </c>
      <c r="P1105" t="s">
        <v>619</v>
      </c>
      <c r="Q1105" t="s">
        <v>620</v>
      </c>
      <c r="R1105" t="s">
        <v>621</v>
      </c>
      <c r="S1105" t="s">
        <v>622</v>
      </c>
      <c r="T1105" s="3" t="str">
        <f>HYPERLINK("doors://fe-dorapcm3.de.bosch.com:36679/?version=2&amp;prodID=0&amp;view=00000015&amp;urn=urn:telelogic::1-52394082008461e6-O-8580-00059142","BSW_SWS_AR4_0_R2_DIODriver-8580")</f>
        <v>BSW_SWS_AR4_0_R2_DIODriver-8580</v>
      </c>
    </row>
    <row r="1106" spans="1:20" ht="25.5" x14ac:dyDescent="0.2">
      <c r="A1106" t="s">
        <v>3093</v>
      </c>
      <c r="B1106" t="s">
        <v>614</v>
      </c>
      <c r="C1106" t="s">
        <v>3094</v>
      </c>
      <c r="D1106" s="4" t="s">
        <v>3095</v>
      </c>
      <c r="J1106" t="s">
        <v>617</v>
      </c>
      <c r="K1106" t="s">
        <v>618</v>
      </c>
      <c r="P1106" t="s">
        <v>619</v>
      </c>
      <c r="Q1106" t="s">
        <v>620</v>
      </c>
      <c r="R1106" t="s">
        <v>621</v>
      </c>
      <c r="S1106" t="s">
        <v>622</v>
      </c>
      <c r="T1106" s="3" t="str">
        <f>HYPERLINK("doors://fe-dorapcm3.de.bosch.com:36679/?version=2&amp;prodID=0&amp;view=00000015&amp;urn=urn:telelogic::1-52394082008461e6-O-8581-00059142","BSW_SWS_AR4_0_R2_DIODriver-8581")</f>
        <v>BSW_SWS_AR4_0_R2_DIODriver-8581</v>
      </c>
    </row>
    <row r="1107" spans="1:20" x14ac:dyDescent="0.2">
      <c r="A1107" t="s">
        <v>3096</v>
      </c>
      <c r="B1107" t="s">
        <v>614</v>
      </c>
      <c r="C1107" t="s">
        <v>3097</v>
      </c>
      <c r="D1107" s="2" t="s">
        <v>3098</v>
      </c>
      <c r="J1107" s="2" t="s">
        <v>617</v>
      </c>
      <c r="K1107" t="s">
        <v>618</v>
      </c>
      <c r="P1107" t="s">
        <v>619</v>
      </c>
      <c r="Q1107" s="2" t="s">
        <v>620</v>
      </c>
      <c r="R1107" t="s">
        <v>621</v>
      </c>
      <c r="S1107" s="2" t="s">
        <v>622</v>
      </c>
      <c r="T1107" s="3" t="str">
        <f>HYPERLINK("doors://fe-dorapcm3.de.bosch.com:36679/?version=2&amp;prodID=0&amp;view=00000015&amp;urn=urn:telelogic::1-52394082008461e6-O-8582-00059142","BSW_SWS_AR4_0_R2_DIODriver-8582")</f>
        <v>BSW_SWS_AR4_0_R2_DIODriver-8582</v>
      </c>
    </row>
    <row r="1108" spans="1:20" x14ac:dyDescent="0.2">
      <c r="A1108" t="s">
        <v>3099</v>
      </c>
      <c r="B1108" t="s">
        <v>1617</v>
      </c>
      <c r="C1108" t="s">
        <v>3100</v>
      </c>
      <c r="D1108" s="5" t="s">
        <v>3101</v>
      </c>
      <c r="K1108" t="s">
        <v>618</v>
      </c>
      <c r="P1108" t="s">
        <v>619</v>
      </c>
      <c r="Q1108" t="s">
        <v>620</v>
      </c>
      <c r="R1108" t="s">
        <v>1860</v>
      </c>
      <c r="T1108" s="3" t="str">
        <f>HYPERLINK("doors://fe-dorapcm3.de.bosch.com:36679/?version=2&amp;prodID=0&amp;view=00000015&amp;urn=urn:telelogic::1-52394082008461e6-O-8585-00059142","BSW_SWS_AR4_0_R2_DIODriver-8585")</f>
        <v>BSW_SWS_AR4_0_R2_DIODriver-8585</v>
      </c>
    </row>
    <row r="1109" spans="1:20" x14ac:dyDescent="0.2">
      <c r="A1109" t="s">
        <v>3102</v>
      </c>
      <c r="B1109" t="s">
        <v>1617</v>
      </c>
      <c r="C1109" t="s">
        <v>3103</v>
      </c>
      <c r="D1109" s="7" t="s">
        <v>3104</v>
      </c>
      <c r="K1109" t="s">
        <v>618</v>
      </c>
      <c r="P1109" t="s">
        <v>619</v>
      </c>
      <c r="Q1109" t="s">
        <v>620</v>
      </c>
      <c r="R1109" t="s">
        <v>1860</v>
      </c>
      <c r="T1109" s="3" t="str">
        <f>HYPERLINK("doors://fe-dorapcm3.de.bosch.com:36679/?version=2&amp;prodID=0&amp;view=00000015&amp;urn=urn:telelogic::1-52394082008461e6-O-8586-00059142","BSW_SWS_AR4_0_R2_DIODriver-8586")</f>
        <v>BSW_SWS_AR4_0_R2_DIODriver-8586</v>
      </c>
    </row>
    <row r="1110" spans="1:20" x14ac:dyDescent="0.2">
      <c r="A1110" t="s">
        <v>3105</v>
      </c>
      <c r="B1110" t="s">
        <v>1617</v>
      </c>
      <c r="C1110" t="s">
        <v>3106</v>
      </c>
      <c r="D1110" s="5" t="s">
        <v>3107</v>
      </c>
      <c r="K1110" t="s">
        <v>618</v>
      </c>
      <c r="P1110" t="s">
        <v>619</v>
      </c>
      <c r="Q1110" t="s">
        <v>620</v>
      </c>
      <c r="R1110" t="s">
        <v>1860</v>
      </c>
      <c r="T1110" s="3" t="str">
        <f>HYPERLINK("doors://fe-dorapcm3.de.bosch.com:36679/?version=2&amp;prodID=0&amp;view=00000015&amp;urn=urn:telelogic::1-52394082008461e6-O-8588-00059142","BSW_SWS_AR4_0_R2_DIODriver-8588")</f>
        <v>BSW_SWS_AR4_0_R2_DIODriver-8588</v>
      </c>
    </row>
    <row r="1111" spans="1:20" x14ac:dyDescent="0.2">
      <c r="A1111" t="s">
        <v>3108</v>
      </c>
      <c r="B1111" t="s">
        <v>1617</v>
      </c>
      <c r="C1111" t="s">
        <v>3109</v>
      </c>
      <c r="D1111" t="s">
        <v>3110</v>
      </c>
      <c r="K1111" t="s">
        <v>618</v>
      </c>
      <c r="P1111" t="s">
        <v>619</v>
      </c>
      <c r="Q1111" t="s">
        <v>620</v>
      </c>
      <c r="R1111" t="s">
        <v>1860</v>
      </c>
      <c r="T1111" s="3" t="str">
        <f>HYPERLINK("doors://fe-dorapcm3.de.bosch.com:36679/?version=2&amp;prodID=0&amp;view=00000015&amp;urn=urn:telelogic::1-52394082008461e6-O-8589-00059142","BSW_SWS_AR4_0_R2_DIODriver-8589")</f>
        <v>BSW_SWS_AR4_0_R2_DIODriver-8589</v>
      </c>
    </row>
    <row r="1112" spans="1:20" x14ac:dyDescent="0.2">
      <c r="A1112" t="s">
        <v>3111</v>
      </c>
      <c r="B1112" t="s">
        <v>614</v>
      </c>
      <c r="C1112" t="s">
        <v>3112</v>
      </c>
      <c r="D1112" t="s">
        <v>3113</v>
      </c>
      <c r="J1112" t="s">
        <v>617</v>
      </c>
      <c r="K1112" t="s">
        <v>618</v>
      </c>
      <c r="P1112" t="s">
        <v>619</v>
      </c>
      <c r="Q1112" t="s">
        <v>620</v>
      </c>
      <c r="R1112" t="s">
        <v>621</v>
      </c>
      <c r="S1112" t="s">
        <v>622</v>
      </c>
      <c r="T1112" s="3" t="str">
        <f>HYPERLINK("doors://fe-dorapcm3.de.bosch.com:36679/?version=2&amp;prodID=0&amp;view=00000015&amp;urn=urn:telelogic::1-52394082008461e6-O-8590-00059142","BSW_SWS_AR4_0_R2_DIODriver-8590")</f>
        <v>BSW_SWS_AR4_0_R2_DIODriver-8590</v>
      </c>
    </row>
    <row r="1113" spans="1:20" x14ac:dyDescent="0.2">
      <c r="A1113" t="s">
        <v>3114</v>
      </c>
      <c r="B1113" t="s">
        <v>1617</v>
      </c>
      <c r="C1113" t="s">
        <v>3115</v>
      </c>
      <c r="D1113" s="5" t="s">
        <v>3116</v>
      </c>
      <c r="K1113" t="s">
        <v>618</v>
      </c>
      <c r="P1113" t="s">
        <v>619</v>
      </c>
      <c r="Q1113" t="s">
        <v>620</v>
      </c>
      <c r="R1113" t="s">
        <v>1860</v>
      </c>
      <c r="T1113" s="3" t="str">
        <f>HYPERLINK("doors://fe-dorapcm3.de.bosch.com:36679/?version=2&amp;prodID=0&amp;view=00000015&amp;urn=urn:telelogic::1-52394082008461e6-O-8593-00059142","BSW_SWS_AR4_0_R2_DIODriver-8593")</f>
        <v>BSW_SWS_AR4_0_R2_DIODriver-8593</v>
      </c>
    </row>
    <row r="1114" spans="1:20" x14ac:dyDescent="0.2">
      <c r="A1114" t="s">
        <v>3117</v>
      </c>
      <c r="B1114" t="s">
        <v>1617</v>
      </c>
      <c r="C1114" t="s">
        <v>3118</v>
      </c>
      <c r="D1114" s="5" t="s">
        <v>3119</v>
      </c>
      <c r="K1114" t="s">
        <v>618</v>
      </c>
      <c r="P1114" t="s">
        <v>619</v>
      </c>
      <c r="Q1114" t="s">
        <v>620</v>
      </c>
      <c r="R1114" t="s">
        <v>1860</v>
      </c>
      <c r="T1114" s="3" t="str">
        <f>HYPERLINK("doors://fe-dorapcm3.de.bosch.com:36679/?version=2&amp;prodID=0&amp;view=00000015&amp;urn=urn:telelogic::1-52394082008461e6-O-8595-00059142","BSW_SWS_AR4_0_R2_DIODriver-8595")</f>
        <v>BSW_SWS_AR4_0_R2_DIODriver-8595</v>
      </c>
    </row>
    <row r="1115" spans="1:20" x14ac:dyDescent="0.2">
      <c r="A1115" t="s">
        <v>3120</v>
      </c>
      <c r="B1115" t="s">
        <v>1617</v>
      </c>
      <c r="C1115" t="s">
        <v>3121</v>
      </c>
      <c r="D1115" s="5" t="s">
        <v>3122</v>
      </c>
      <c r="K1115" t="s">
        <v>618</v>
      </c>
      <c r="P1115" t="s">
        <v>619</v>
      </c>
      <c r="Q1115" t="s">
        <v>620</v>
      </c>
      <c r="R1115" t="s">
        <v>1860</v>
      </c>
      <c r="T1115" s="3" t="str">
        <f>HYPERLINK("doors://fe-dorapcm3.de.bosch.com:36679/?version=2&amp;prodID=0&amp;view=00000015&amp;urn=urn:telelogic::1-52394082008461e6-O-8596-00059142","BSW_SWS_AR4_0_R2_DIODriver-8596")</f>
        <v>BSW_SWS_AR4_0_R2_DIODriver-8596</v>
      </c>
    </row>
    <row r="1116" spans="1:20" x14ac:dyDescent="0.2">
      <c r="A1116" t="s">
        <v>3123</v>
      </c>
      <c r="B1116" t="s">
        <v>1617</v>
      </c>
      <c r="C1116" t="s">
        <v>3124</v>
      </c>
      <c r="D1116" s="5" t="s">
        <v>3125</v>
      </c>
      <c r="K1116" t="s">
        <v>618</v>
      </c>
      <c r="P1116" t="s">
        <v>619</v>
      </c>
      <c r="Q1116" t="s">
        <v>620</v>
      </c>
      <c r="R1116" t="s">
        <v>1860</v>
      </c>
      <c r="T1116" s="3" t="str">
        <f>HYPERLINK("doors://fe-dorapcm3.de.bosch.com:36679/?version=2&amp;prodID=0&amp;view=00000015&amp;urn=urn:telelogic::1-52394082008461e6-O-8597-00059142","BSW_SWS_AR4_0_R2_DIODriver-8597")</f>
        <v>BSW_SWS_AR4_0_R2_DIODriver-8597</v>
      </c>
    </row>
    <row r="1117" spans="1:20" x14ac:dyDescent="0.2">
      <c r="A1117" t="s">
        <v>3126</v>
      </c>
      <c r="B1117" t="s">
        <v>1617</v>
      </c>
      <c r="C1117" t="s">
        <v>3127</v>
      </c>
      <c r="D1117" t="s">
        <v>3128</v>
      </c>
      <c r="K1117" t="s">
        <v>618</v>
      </c>
      <c r="P1117" t="s">
        <v>619</v>
      </c>
      <c r="Q1117" t="s">
        <v>620</v>
      </c>
      <c r="R1117" t="s">
        <v>1860</v>
      </c>
      <c r="T1117" s="3" t="str">
        <f>HYPERLINK("doors://fe-dorapcm3.de.bosch.com:36679/?version=2&amp;prodID=0&amp;view=00000015&amp;urn=urn:telelogic::1-52394082008461e6-O-8599-00059142","BSW_SWS_AR4_0_R2_DIODriver-8599")</f>
        <v>BSW_SWS_AR4_0_R2_DIODriver-8599</v>
      </c>
    </row>
    <row r="1118" spans="1:20" x14ac:dyDescent="0.2">
      <c r="A1118" t="s">
        <v>3129</v>
      </c>
      <c r="B1118" t="s">
        <v>1617</v>
      </c>
      <c r="C1118" t="s">
        <v>3130</v>
      </c>
      <c r="D1118">
        <v>1</v>
      </c>
      <c r="K1118" t="s">
        <v>618</v>
      </c>
      <c r="P1118" t="s">
        <v>619</v>
      </c>
      <c r="Q1118" t="s">
        <v>620</v>
      </c>
      <c r="T1118" s="3" t="str">
        <f>HYPERLINK("doors://fe-dorapcm3.de.bosch.com:36679/?version=2&amp;prodID=0&amp;view=00000015&amp;urn=urn:telelogic::1-52394082008461e6-O-8600-00059142","BSW_SWS_AR4_0_R2_DIODriver-8600")</f>
        <v>BSW_SWS_AR4_0_R2_DIODriver-8600</v>
      </c>
    </row>
    <row r="1119" spans="1:20" x14ac:dyDescent="0.2">
      <c r="A1119" t="s">
        <v>3131</v>
      </c>
      <c r="B1119" t="s">
        <v>1617</v>
      </c>
      <c r="C1119" t="s">
        <v>3132</v>
      </c>
      <c r="D1119" t="s">
        <v>3133</v>
      </c>
      <c r="K1119" t="s">
        <v>618</v>
      </c>
      <c r="P1119" t="s">
        <v>619</v>
      </c>
      <c r="Q1119" t="s">
        <v>620</v>
      </c>
      <c r="R1119" t="s">
        <v>1860</v>
      </c>
      <c r="T1119" s="3" t="str">
        <f>HYPERLINK("doors://fe-dorapcm3.de.bosch.com:36679/?version=2&amp;prodID=0&amp;view=00000015&amp;urn=urn:telelogic::1-52394082008461e6-O-8601-00059142","BSW_SWS_AR4_0_R2_DIODriver-8601")</f>
        <v>BSW_SWS_AR4_0_R2_DIODriver-8601</v>
      </c>
    </row>
    <row r="1120" spans="1:20" x14ac:dyDescent="0.2">
      <c r="A1120" t="s">
        <v>3134</v>
      </c>
      <c r="B1120" t="s">
        <v>1617</v>
      </c>
      <c r="C1120" t="s">
        <v>3135</v>
      </c>
      <c r="D1120" t="s">
        <v>3136</v>
      </c>
      <c r="K1120" t="s">
        <v>618</v>
      </c>
      <c r="P1120" t="s">
        <v>619</v>
      </c>
      <c r="Q1120" t="s">
        <v>620</v>
      </c>
      <c r="R1120" t="s">
        <v>1860</v>
      </c>
      <c r="T1120" s="3" t="str">
        <f>HYPERLINK("doors://fe-dorapcm3.de.bosch.com:36679/?version=2&amp;prodID=0&amp;view=00000015&amp;urn=urn:telelogic::1-52394082008461e6-O-8603-00059142","BSW_SWS_AR4_0_R2_DIODriver-8603")</f>
        <v>BSW_SWS_AR4_0_R2_DIODriver-8603</v>
      </c>
    </row>
    <row r="1121" spans="1:20" x14ac:dyDescent="0.2">
      <c r="A1121" t="s">
        <v>3137</v>
      </c>
      <c r="B1121" t="s">
        <v>1617</v>
      </c>
      <c r="C1121" t="s">
        <v>3138</v>
      </c>
      <c r="D1121">
        <v>1</v>
      </c>
      <c r="K1121" t="s">
        <v>618</v>
      </c>
      <c r="P1121" t="s">
        <v>619</v>
      </c>
      <c r="Q1121" t="s">
        <v>620</v>
      </c>
      <c r="R1121" t="s">
        <v>1860</v>
      </c>
      <c r="T1121" s="3" t="str">
        <f>HYPERLINK("doors://fe-dorapcm3.de.bosch.com:36679/?version=2&amp;prodID=0&amp;view=00000015&amp;urn=urn:telelogic::1-52394082008461e6-O-8604-00059142","BSW_SWS_AR4_0_R2_DIODriver-8604")</f>
        <v>BSW_SWS_AR4_0_R2_DIODriver-8604</v>
      </c>
    </row>
    <row r="1122" spans="1:20" x14ac:dyDescent="0.2">
      <c r="A1122" t="s">
        <v>3139</v>
      </c>
      <c r="B1122" t="s">
        <v>1617</v>
      </c>
      <c r="C1122" t="s">
        <v>3140</v>
      </c>
      <c r="D1122" t="s">
        <v>3141</v>
      </c>
      <c r="K1122" t="s">
        <v>618</v>
      </c>
      <c r="P1122" t="s">
        <v>619</v>
      </c>
      <c r="Q1122" t="s">
        <v>620</v>
      </c>
      <c r="R1122" t="s">
        <v>1860</v>
      </c>
      <c r="T1122" s="3" t="str">
        <f>HYPERLINK("doors://fe-dorapcm3.de.bosch.com:36679/?version=2&amp;prodID=0&amp;view=00000015&amp;urn=urn:telelogic::1-52394082008461e6-O-8605-00059142","BSW_SWS_AR4_0_R2_DIODriver-8605")</f>
        <v>BSW_SWS_AR4_0_R2_DIODriver-8605</v>
      </c>
    </row>
    <row r="1123" spans="1:20" x14ac:dyDescent="0.2">
      <c r="A1123" t="s">
        <v>3142</v>
      </c>
      <c r="B1123" t="s">
        <v>76</v>
      </c>
      <c r="C1123" t="s">
        <v>3143</v>
      </c>
      <c r="D1123" t="s">
        <v>3113</v>
      </c>
      <c r="T1123" s="3" t="str">
        <f>HYPERLINK("doors://fe-dorapcm3.de.bosch.com:36679/?version=2&amp;prodID=0&amp;view=00000015&amp;urn=urn:telelogic::1-52394082008461e6-O-8606-00059142","BSW_SWS_AR4_0_R2_DIODriver-8606")</f>
        <v>BSW_SWS_AR4_0_R2_DIODriver-8606</v>
      </c>
    </row>
    <row r="1124" spans="1:20" x14ac:dyDescent="0.2">
      <c r="A1124" t="s">
        <v>3144</v>
      </c>
      <c r="B1124" t="s">
        <v>614</v>
      </c>
      <c r="C1124" t="s">
        <v>3145</v>
      </c>
      <c r="D1124" s="2" t="s">
        <v>3146</v>
      </c>
      <c r="J1124" s="2" t="s">
        <v>617</v>
      </c>
      <c r="K1124" t="s">
        <v>618</v>
      </c>
      <c r="P1124" t="s">
        <v>619</v>
      </c>
      <c r="Q1124" s="2" t="s">
        <v>620</v>
      </c>
      <c r="R1124" t="s">
        <v>621</v>
      </c>
      <c r="S1124" s="2" t="s">
        <v>622</v>
      </c>
      <c r="T1124" s="3" t="str">
        <f>HYPERLINK("doors://fe-dorapcm3.de.bosch.com:36679/?version=2&amp;prodID=0&amp;view=00000015&amp;urn=urn:telelogic::1-52394082008461e6-O-8607-00059142","BSW_SWS_AR4_0_R2_DIODriver-8607")</f>
        <v>BSW_SWS_AR4_0_R2_DIODriver-8607</v>
      </c>
    </row>
    <row r="1125" spans="1:20" x14ac:dyDescent="0.2">
      <c r="A1125" t="s">
        <v>3147</v>
      </c>
      <c r="B1125" t="s">
        <v>1617</v>
      </c>
      <c r="C1125" t="s">
        <v>3148</v>
      </c>
      <c r="D1125" s="5" t="s">
        <v>3149</v>
      </c>
      <c r="K1125" t="s">
        <v>618</v>
      </c>
      <c r="P1125" t="s">
        <v>619</v>
      </c>
      <c r="Q1125" t="s">
        <v>620</v>
      </c>
      <c r="R1125" t="s">
        <v>1860</v>
      </c>
      <c r="T1125" s="3" t="str">
        <f>HYPERLINK("doors://fe-dorapcm3.de.bosch.com:36679/?version=2&amp;prodID=0&amp;view=00000015&amp;urn=urn:telelogic::1-52394082008461e6-O-8610-00059142","BSW_SWS_AR4_0_R2_DIODriver-8610")</f>
        <v>BSW_SWS_AR4_0_R2_DIODriver-8610</v>
      </c>
    </row>
    <row r="1126" spans="1:20" x14ac:dyDescent="0.2">
      <c r="A1126" t="s">
        <v>3150</v>
      </c>
      <c r="B1126" t="s">
        <v>1617</v>
      </c>
      <c r="C1126" t="s">
        <v>3151</v>
      </c>
      <c r="D1126" s="2" t="s">
        <v>3152</v>
      </c>
      <c r="K1126" t="s">
        <v>618</v>
      </c>
      <c r="P1126" t="s">
        <v>619</v>
      </c>
      <c r="Q1126" t="s">
        <v>620</v>
      </c>
      <c r="R1126" t="s">
        <v>1860</v>
      </c>
      <c r="T1126" s="3" t="str">
        <f>HYPERLINK("doors://fe-dorapcm3.de.bosch.com:36679/?version=2&amp;prodID=0&amp;view=00000015&amp;urn=urn:telelogic::1-52394082008461e6-O-8611-00059142","BSW_SWS_AR4_0_R2_DIODriver-8611")</f>
        <v>BSW_SWS_AR4_0_R2_DIODriver-8611</v>
      </c>
    </row>
    <row r="1127" spans="1:20" x14ac:dyDescent="0.2">
      <c r="A1127" t="s">
        <v>3153</v>
      </c>
      <c r="B1127" t="s">
        <v>1617</v>
      </c>
      <c r="C1127" t="s">
        <v>3154</v>
      </c>
      <c r="D1127" s="5" t="s">
        <v>3119</v>
      </c>
      <c r="K1127" t="s">
        <v>618</v>
      </c>
      <c r="P1127" t="s">
        <v>619</v>
      </c>
      <c r="Q1127" t="s">
        <v>620</v>
      </c>
      <c r="R1127" t="s">
        <v>1860</v>
      </c>
      <c r="T1127" s="3" t="str">
        <f>HYPERLINK("doors://fe-dorapcm3.de.bosch.com:36679/?version=2&amp;prodID=0&amp;view=00000015&amp;urn=urn:telelogic::1-52394082008461e6-O-8613-00059142","BSW_SWS_AR4_0_R2_DIODriver-8613")</f>
        <v>BSW_SWS_AR4_0_R2_DIODriver-8613</v>
      </c>
    </row>
    <row r="1128" spans="1:20" x14ac:dyDescent="0.2">
      <c r="A1128" t="s">
        <v>3155</v>
      </c>
      <c r="B1128" t="s">
        <v>1617</v>
      </c>
      <c r="C1128" t="s">
        <v>3156</v>
      </c>
      <c r="D1128" t="s">
        <v>3136</v>
      </c>
      <c r="K1128" t="s">
        <v>618</v>
      </c>
      <c r="P1128" t="s">
        <v>619</v>
      </c>
      <c r="Q1128" t="s">
        <v>620</v>
      </c>
      <c r="R1128" t="s">
        <v>1860</v>
      </c>
      <c r="T1128" s="3" t="str">
        <f>HYPERLINK("doors://fe-dorapcm3.de.bosch.com:36679/?version=2&amp;prodID=0&amp;view=00000015&amp;urn=urn:telelogic::1-52394082008461e6-O-8614-00059142","BSW_SWS_AR4_0_R2_DIODriver-8614")</f>
        <v>BSW_SWS_AR4_0_R2_DIODriver-8614</v>
      </c>
    </row>
    <row r="1129" spans="1:20" x14ac:dyDescent="0.2">
      <c r="A1129" t="s">
        <v>3157</v>
      </c>
      <c r="B1129" t="s">
        <v>1617</v>
      </c>
      <c r="C1129" t="s">
        <v>3158</v>
      </c>
      <c r="D1129" s="5" t="s">
        <v>3159</v>
      </c>
      <c r="K1129" t="s">
        <v>618</v>
      </c>
      <c r="P1129" t="s">
        <v>619</v>
      </c>
      <c r="Q1129" t="s">
        <v>620</v>
      </c>
      <c r="R1129" t="s">
        <v>1860</v>
      </c>
      <c r="T1129" s="3" t="str">
        <f>HYPERLINK("doors://fe-dorapcm3.de.bosch.com:36679/?version=2&amp;prodID=0&amp;view=00000015&amp;urn=urn:telelogic::1-52394082008461e6-O-8616-00059142","BSW_SWS_AR4_0_R2_DIODriver-8616")</f>
        <v>BSW_SWS_AR4_0_R2_DIODriver-8616</v>
      </c>
    </row>
    <row r="1130" spans="1:20" x14ac:dyDescent="0.2">
      <c r="A1130" t="s">
        <v>3160</v>
      </c>
      <c r="B1130" t="s">
        <v>1617</v>
      </c>
      <c r="C1130" t="s">
        <v>3161</v>
      </c>
      <c r="D1130" t="s">
        <v>3162</v>
      </c>
      <c r="K1130" t="s">
        <v>618</v>
      </c>
      <c r="P1130" t="s">
        <v>619</v>
      </c>
      <c r="Q1130" t="s">
        <v>620</v>
      </c>
      <c r="R1130" t="s">
        <v>1860</v>
      </c>
      <c r="T1130" s="3" t="str">
        <f>HYPERLINK("doors://fe-dorapcm3.de.bosch.com:36679/?version=2&amp;prodID=0&amp;view=00000015&amp;urn=urn:telelogic::1-52394082008461e6-O-8617-00059142","BSW_SWS_AR4_0_R2_DIODriver-8617")</f>
        <v>BSW_SWS_AR4_0_R2_DIODriver-8617</v>
      </c>
    </row>
    <row r="1131" spans="1:20" x14ac:dyDescent="0.2">
      <c r="A1131" t="s">
        <v>3163</v>
      </c>
      <c r="B1131" t="s">
        <v>1617</v>
      </c>
      <c r="C1131" t="s">
        <v>3164</v>
      </c>
      <c r="D1131" s="5" t="s">
        <v>3165</v>
      </c>
      <c r="K1131" t="s">
        <v>618</v>
      </c>
      <c r="P1131" t="s">
        <v>619</v>
      </c>
      <c r="Q1131" t="s">
        <v>620</v>
      </c>
      <c r="R1131" t="s">
        <v>1860</v>
      </c>
      <c r="T1131" s="3" t="str">
        <f>HYPERLINK("doors://fe-dorapcm3.de.bosch.com:36679/?version=2&amp;prodID=0&amp;view=00000015&amp;urn=urn:telelogic::1-52394082008461e6-O-8619-00059142","BSW_SWS_AR4_0_R2_DIODriver-8619")</f>
        <v>BSW_SWS_AR4_0_R2_DIODriver-8619</v>
      </c>
    </row>
    <row r="1132" spans="1:20" x14ac:dyDescent="0.2">
      <c r="A1132" t="s">
        <v>3166</v>
      </c>
      <c r="B1132" t="s">
        <v>614</v>
      </c>
      <c r="C1132" t="s">
        <v>3167</v>
      </c>
      <c r="D1132" t="s">
        <v>3113</v>
      </c>
      <c r="J1132" t="s">
        <v>617</v>
      </c>
      <c r="K1132" t="s">
        <v>618</v>
      </c>
      <c r="P1132" t="s">
        <v>619</v>
      </c>
      <c r="Q1132" t="s">
        <v>620</v>
      </c>
      <c r="R1132" t="s">
        <v>621</v>
      </c>
      <c r="S1132" t="s">
        <v>622</v>
      </c>
      <c r="T1132" s="3" t="str">
        <f>HYPERLINK("doors://fe-dorapcm3.de.bosch.com:36679/?version=2&amp;prodID=0&amp;view=00000015&amp;urn=urn:telelogic::1-52394082008461e6-O-8620-00059142","BSW_SWS_AR4_0_R2_DIODriver-8620")</f>
        <v>BSW_SWS_AR4_0_R2_DIODriver-8620</v>
      </c>
    </row>
    <row r="1133" spans="1:20" x14ac:dyDescent="0.2">
      <c r="A1133" t="s">
        <v>3168</v>
      </c>
      <c r="B1133" t="s">
        <v>1617</v>
      </c>
      <c r="C1133" t="s">
        <v>3169</v>
      </c>
      <c r="D1133" s="5" t="s">
        <v>3149</v>
      </c>
      <c r="K1133" t="s">
        <v>618</v>
      </c>
      <c r="P1133" t="s">
        <v>619</v>
      </c>
      <c r="Q1133" t="s">
        <v>620</v>
      </c>
      <c r="R1133" t="s">
        <v>1860</v>
      </c>
      <c r="T1133" s="3" t="str">
        <f>HYPERLINK("doors://fe-dorapcm3.de.bosch.com:36679/?version=2&amp;prodID=0&amp;view=00000015&amp;urn=urn:telelogic::1-52394082008461e6-O-8623-00059142","BSW_SWS_AR4_0_R2_DIODriver-8623")</f>
        <v>BSW_SWS_AR4_0_R2_DIODriver-8623</v>
      </c>
    </row>
    <row r="1134" spans="1:20" x14ac:dyDescent="0.2">
      <c r="A1134" t="s">
        <v>3170</v>
      </c>
      <c r="B1134" t="s">
        <v>1617</v>
      </c>
      <c r="C1134" t="s">
        <v>3171</v>
      </c>
      <c r="D1134" s="2" t="s">
        <v>3172</v>
      </c>
      <c r="K1134" t="s">
        <v>618</v>
      </c>
      <c r="P1134" t="s">
        <v>619</v>
      </c>
      <c r="Q1134" t="s">
        <v>620</v>
      </c>
      <c r="R1134" t="s">
        <v>1860</v>
      </c>
      <c r="T1134" s="3" t="str">
        <f>HYPERLINK("doors://fe-dorapcm3.de.bosch.com:36679/?version=2&amp;prodID=0&amp;view=00000015&amp;urn=urn:telelogic::1-52394082008461e6-O-8624-00059142","BSW_SWS_AR4_0_R2_DIODriver-8624")</f>
        <v>BSW_SWS_AR4_0_R2_DIODriver-8624</v>
      </c>
    </row>
    <row r="1135" spans="1:20" ht="25.5" x14ac:dyDescent="0.2">
      <c r="A1135" t="s">
        <v>3173</v>
      </c>
      <c r="B1135" t="s">
        <v>1617</v>
      </c>
      <c r="C1135" t="s">
        <v>3174</v>
      </c>
      <c r="D1135" s="6" t="s">
        <v>3175</v>
      </c>
      <c r="K1135" t="s">
        <v>618</v>
      </c>
      <c r="P1135" t="s">
        <v>619</v>
      </c>
      <c r="Q1135" t="s">
        <v>620</v>
      </c>
      <c r="R1135" t="s">
        <v>1860</v>
      </c>
      <c r="T1135" s="3" t="str">
        <f>HYPERLINK("doors://fe-dorapcm3.de.bosch.com:36679/?version=2&amp;prodID=0&amp;view=00000015&amp;urn=urn:telelogic::1-52394082008461e6-O-8626-00059142","BSW_SWS_AR4_0_R2_DIODriver-8626")</f>
        <v>BSW_SWS_AR4_0_R2_DIODriver-8626</v>
      </c>
    </row>
    <row r="1136" spans="1:20" x14ac:dyDescent="0.2">
      <c r="A1136" t="s">
        <v>3176</v>
      </c>
      <c r="B1136" t="s">
        <v>1617</v>
      </c>
      <c r="C1136" t="s">
        <v>3177</v>
      </c>
      <c r="D1136" t="s">
        <v>3178</v>
      </c>
      <c r="K1136" t="s">
        <v>618</v>
      </c>
      <c r="P1136" t="s">
        <v>619</v>
      </c>
      <c r="Q1136" t="s">
        <v>620</v>
      </c>
      <c r="R1136" t="s">
        <v>1860</v>
      </c>
      <c r="T1136" s="3" t="str">
        <f>HYPERLINK("doors://fe-dorapcm3.de.bosch.com:36679/?version=2&amp;prodID=0&amp;view=00000015&amp;urn=urn:telelogic::1-52394082008461e6-O-8627-00059142","BSW_SWS_AR4_0_R2_DIODriver-8627")</f>
        <v>BSW_SWS_AR4_0_R2_DIODriver-8627</v>
      </c>
    </row>
    <row r="1137" spans="1:20" x14ac:dyDescent="0.2">
      <c r="A1137" t="s">
        <v>3179</v>
      </c>
      <c r="B1137" t="s">
        <v>1617</v>
      </c>
      <c r="C1137" t="s">
        <v>3180</v>
      </c>
      <c r="D1137" s="5" t="s">
        <v>3159</v>
      </c>
      <c r="K1137" t="s">
        <v>618</v>
      </c>
      <c r="P1137" t="s">
        <v>619</v>
      </c>
      <c r="Q1137" t="s">
        <v>620</v>
      </c>
      <c r="R1137" t="s">
        <v>1860</v>
      </c>
      <c r="T1137" s="3" t="str">
        <f>HYPERLINK("doors://fe-dorapcm3.de.bosch.com:36679/?version=2&amp;prodID=0&amp;view=00000015&amp;urn=urn:telelogic::1-52394082008461e6-O-8629-00059142","BSW_SWS_AR4_0_R2_DIODriver-8629")</f>
        <v>BSW_SWS_AR4_0_R2_DIODriver-8629</v>
      </c>
    </row>
    <row r="1138" spans="1:20" x14ac:dyDescent="0.2">
      <c r="A1138" t="s">
        <v>3181</v>
      </c>
      <c r="B1138" t="s">
        <v>1617</v>
      </c>
      <c r="C1138" t="s">
        <v>3182</v>
      </c>
      <c r="D1138" t="s">
        <v>3183</v>
      </c>
      <c r="K1138" t="s">
        <v>618</v>
      </c>
      <c r="P1138" t="s">
        <v>619</v>
      </c>
      <c r="Q1138" t="s">
        <v>620</v>
      </c>
      <c r="R1138" t="s">
        <v>1860</v>
      </c>
      <c r="T1138" s="3" t="str">
        <f>HYPERLINK("doors://fe-dorapcm3.de.bosch.com:36679/?version=2&amp;prodID=0&amp;view=00000015&amp;urn=urn:telelogic::1-52394082008461e6-O-8630-00059142","BSW_SWS_AR4_0_R2_DIODriver-8630")</f>
        <v>BSW_SWS_AR4_0_R2_DIODriver-8630</v>
      </c>
    </row>
    <row r="1139" spans="1:20" x14ac:dyDescent="0.2">
      <c r="A1139" t="s">
        <v>3184</v>
      </c>
      <c r="B1139" t="s">
        <v>1617</v>
      </c>
      <c r="C1139" t="s">
        <v>3185</v>
      </c>
      <c r="D1139" s="5" t="s">
        <v>3122</v>
      </c>
      <c r="K1139" t="s">
        <v>618</v>
      </c>
      <c r="P1139" t="s">
        <v>619</v>
      </c>
      <c r="Q1139" t="s">
        <v>620</v>
      </c>
      <c r="R1139" t="s">
        <v>1860</v>
      </c>
      <c r="T1139" s="3" t="str">
        <f>HYPERLINK("doors://fe-dorapcm3.de.bosch.com:36679/?version=2&amp;prodID=0&amp;view=00000015&amp;urn=urn:telelogic::1-52394082008461e6-O-8632-00059142","BSW_SWS_AR4_0_R2_DIODriver-8632")</f>
        <v>BSW_SWS_AR4_0_R2_DIODriver-8632</v>
      </c>
    </row>
    <row r="1140" spans="1:20" x14ac:dyDescent="0.2">
      <c r="A1140" t="s">
        <v>3186</v>
      </c>
      <c r="B1140" t="s">
        <v>1617</v>
      </c>
      <c r="C1140" t="s">
        <v>3187</v>
      </c>
      <c r="D1140">
        <v>1</v>
      </c>
      <c r="K1140" t="s">
        <v>618</v>
      </c>
      <c r="P1140" t="s">
        <v>619</v>
      </c>
      <c r="Q1140" t="s">
        <v>620</v>
      </c>
      <c r="R1140" t="s">
        <v>1860</v>
      </c>
      <c r="T1140" s="3" t="str">
        <f>HYPERLINK("doors://fe-dorapcm3.de.bosch.com:36679/?version=2&amp;prodID=0&amp;view=00000015&amp;urn=urn:telelogic::1-52394082008461e6-O-8633-00059142","BSW_SWS_AR4_0_R2_DIODriver-8633")</f>
        <v>BSW_SWS_AR4_0_R2_DIODriver-8633</v>
      </c>
    </row>
    <row r="1141" spans="1:20" x14ac:dyDescent="0.2">
      <c r="A1141" t="s">
        <v>3188</v>
      </c>
      <c r="B1141" t="s">
        <v>1617</v>
      </c>
      <c r="C1141" t="s">
        <v>3189</v>
      </c>
      <c r="D1141" s="5" t="s">
        <v>3190</v>
      </c>
      <c r="K1141" t="s">
        <v>618</v>
      </c>
      <c r="P1141" t="s">
        <v>619</v>
      </c>
      <c r="Q1141" t="s">
        <v>620</v>
      </c>
      <c r="R1141" t="s">
        <v>1860</v>
      </c>
      <c r="T1141" s="3" t="str">
        <f>HYPERLINK("doors://fe-dorapcm3.de.bosch.com:36679/?version=2&amp;prodID=0&amp;view=00000015&amp;urn=urn:telelogic::1-52394082008461e6-O-8635-00059142","BSW_SWS_AR4_0_R2_DIODriver-8635")</f>
        <v>BSW_SWS_AR4_0_R2_DIODriver-8635</v>
      </c>
    </row>
    <row r="1142" spans="1:20" x14ac:dyDescent="0.2">
      <c r="A1142" t="s">
        <v>3191</v>
      </c>
      <c r="B1142" t="s">
        <v>1617</v>
      </c>
      <c r="C1142" t="s">
        <v>3192</v>
      </c>
      <c r="D1142" t="s">
        <v>3193</v>
      </c>
      <c r="K1142" t="s">
        <v>618</v>
      </c>
      <c r="P1142" t="s">
        <v>619</v>
      </c>
      <c r="Q1142" t="s">
        <v>620</v>
      </c>
      <c r="R1142" t="s">
        <v>1860</v>
      </c>
      <c r="T1142" s="3" t="str">
        <f>HYPERLINK("doors://fe-dorapcm3.de.bosch.com:36679/?version=2&amp;prodID=0&amp;view=00000015&amp;urn=urn:telelogic::1-52394082008461e6-O-8636-00059142","BSW_SWS_AR4_0_R2_DIODriver-8636")</f>
        <v>BSW_SWS_AR4_0_R2_DIODriver-8636</v>
      </c>
    </row>
    <row r="1143" spans="1:20" x14ac:dyDescent="0.2">
      <c r="A1143" t="s">
        <v>3194</v>
      </c>
      <c r="B1143" t="s">
        <v>1617</v>
      </c>
      <c r="C1143" t="s">
        <v>3195</v>
      </c>
      <c r="D1143" s="5" t="s">
        <v>3196</v>
      </c>
      <c r="K1143" t="s">
        <v>618</v>
      </c>
      <c r="P1143" t="s">
        <v>619</v>
      </c>
      <c r="Q1143" t="s">
        <v>620</v>
      </c>
      <c r="R1143" t="s">
        <v>1860</v>
      </c>
      <c r="T1143" s="3" t="str">
        <f>HYPERLINK("doors://fe-dorapcm3.de.bosch.com:36679/?version=2&amp;prodID=0&amp;view=00000015&amp;urn=urn:telelogic::1-52394082008461e6-O-8638-00059142","BSW_SWS_AR4_0_R2_DIODriver-8638")</f>
        <v>BSW_SWS_AR4_0_R2_DIODriver-8638</v>
      </c>
    </row>
    <row r="1144" spans="1:20" x14ac:dyDescent="0.2">
      <c r="A1144" t="s">
        <v>3197</v>
      </c>
      <c r="B1144" t="s">
        <v>1617</v>
      </c>
      <c r="C1144" t="s">
        <v>3198</v>
      </c>
      <c r="D1144" t="s">
        <v>3199</v>
      </c>
      <c r="K1144" t="s">
        <v>618</v>
      </c>
      <c r="P1144" t="s">
        <v>619</v>
      </c>
      <c r="Q1144" t="s">
        <v>620</v>
      </c>
      <c r="R1144" t="s">
        <v>1860</v>
      </c>
      <c r="T1144" s="3" t="str">
        <f>HYPERLINK("doors://fe-dorapcm3.de.bosch.com:36679/?version=2&amp;prodID=0&amp;view=00000015&amp;urn=urn:telelogic::1-52394082008461e6-O-8639-00059142","BSW_SWS_AR4_0_R2_DIODriver-8639")</f>
        <v>BSW_SWS_AR4_0_R2_DIODriver-8639</v>
      </c>
    </row>
    <row r="1145" spans="1:20" x14ac:dyDescent="0.2">
      <c r="A1145" t="s">
        <v>3200</v>
      </c>
      <c r="B1145" t="s">
        <v>1617</v>
      </c>
      <c r="C1145" t="s">
        <v>3201</v>
      </c>
      <c r="D1145" s="5" t="s">
        <v>3202</v>
      </c>
      <c r="K1145" t="s">
        <v>618</v>
      </c>
      <c r="P1145" t="s">
        <v>619</v>
      </c>
      <c r="Q1145" t="s">
        <v>620</v>
      </c>
      <c r="R1145" t="s">
        <v>1860</v>
      </c>
      <c r="T1145" s="3" t="str">
        <f>HYPERLINK("doors://fe-dorapcm3.de.bosch.com:36679/?version=2&amp;prodID=0&amp;view=00000015&amp;urn=urn:telelogic::1-52394082008461e6-O-8641-00059142","BSW_SWS_AR4_0_R2_DIODriver-8641")</f>
        <v>BSW_SWS_AR4_0_R2_DIODriver-8641</v>
      </c>
    </row>
    <row r="1146" spans="1:20" x14ac:dyDescent="0.2">
      <c r="A1146" t="s">
        <v>3203</v>
      </c>
      <c r="B1146" t="s">
        <v>1617</v>
      </c>
      <c r="C1146" t="s">
        <v>3204</v>
      </c>
      <c r="D1146" s="5" t="s">
        <v>3205</v>
      </c>
      <c r="K1146" t="s">
        <v>618</v>
      </c>
      <c r="P1146" t="s">
        <v>619</v>
      </c>
      <c r="Q1146" t="s">
        <v>620</v>
      </c>
      <c r="R1146" t="s">
        <v>1860</v>
      </c>
      <c r="T1146" s="3" t="str">
        <f>HYPERLINK("doors://fe-dorapcm3.de.bosch.com:36679/?version=2&amp;prodID=0&amp;view=00000015&amp;urn=urn:telelogic::1-52394082008461e6-O-8642-00059142","BSW_SWS_AR4_0_R2_DIODriver-8642")</f>
        <v>BSW_SWS_AR4_0_R2_DIODriver-8642</v>
      </c>
    </row>
    <row r="1147" spans="1:20" x14ac:dyDescent="0.2">
      <c r="A1147" t="s">
        <v>3206</v>
      </c>
      <c r="B1147" t="s">
        <v>1617</v>
      </c>
      <c r="C1147" t="s">
        <v>3207</v>
      </c>
      <c r="D1147" t="s">
        <v>3208</v>
      </c>
      <c r="K1147" t="s">
        <v>618</v>
      </c>
      <c r="P1147" t="s">
        <v>619</v>
      </c>
      <c r="Q1147" t="s">
        <v>620</v>
      </c>
      <c r="R1147" t="s">
        <v>1860</v>
      </c>
      <c r="T1147" s="3" t="str">
        <f>HYPERLINK("doors://fe-dorapcm3.de.bosch.com:36679/?version=2&amp;prodID=0&amp;view=00000015&amp;urn=urn:telelogic::1-52394082008461e6-O-8643-00059142","BSW_SWS_AR4_0_R2_DIODriver-8643")</f>
        <v>BSW_SWS_AR4_0_R2_DIODriver-8643</v>
      </c>
    </row>
    <row r="1148" spans="1:20" x14ac:dyDescent="0.2">
      <c r="A1148" t="s">
        <v>3209</v>
      </c>
      <c r="B1148" t="s">
        <v>1617</v>
      </c>
      <c r="C1148" t="s">
        <v>3210</v>
      </c>
      <c r="D1148" t="s">
        <v>3211</v>
      </c>
      <c r="K1148" t="s">
        <v>618</v>
      </c>
      <c r="P1148" t="s">
        <v>619</v>
      </c>
      <c r="Q1148" t="s">
        <v>620</v>
      </c>
      <c r="R1148" t="s">
        <v>1860</v>
      </c>
      <c r="T1148" s="3" t="str">
        <f>HYPERLINK("doors://fe-dorapcm3.de.bosch.com:36679/?version=2&amp;prodID=0&amp;view=00000015&amp;urn=urn:telelogic::1-52394082008461e6-O-8644-00059142","BSW_SWS_AR4_0_R2_DIODriver-8644")</f>
        <v>BSW_SWS_AR4_0_R2_DIODriver-8644</v>
      </c>
    </row>
    <row r="1149" spans="1:20" x14ac:dyDescent="0.2">
      <c r="A1149" t="s">
        <v>3212</v>
      </c>
      <c r="B1149" t="s">
        <v>1617</v>
      </c>
      <c r="C1149" t="s">
        <v>3213</v>
      </c>
      <c r="K1149" t="s">
        <v>618</v>
      </c>
      <c r="P1149" t="s">
        <v>619</v>
      </c>
      <c r="Q1149" t="s">
        <v>620</v>
      </c>
      <c r="R1149" t="s">
        <v>1860</v>
      </c>
      <c r="T1149" s="3" t="str">
        <f>HYPERLINK("doors://fe-dorapcm3.de.bosch.com:36679/?version=2&amp;prodID=0&amp;view=00000015&amp;urn=urn:telelogic::1-52394082008461e6-O-8646-00059142","BSW_SWS_AR4_0_R2_DIODriver-8646")</f>
        <v>BSW_SWS_AR4_0_R2_DIODriver-8646</v>
      </c>
    </row>
    <row r="1150" spans="1:20" x14ac:dyDescent="0.2">
      <c r="A1150" t="s">
        <v>3214</v>
      </c>
      <c r="B1150" t="s">
        <v>1617</v>
      </c>
      <c r="C1150" t="s">
        <v>3215</v>
      </c>
      <c r="D1150" s="5" t="s">
        <v>3216</v>
      </c>
      <c r="K1150" t="s">
        <v>618</v>
      </c>
      <c r="P1150" t="s">
        <v>619</v>
      </c>
      <c r="Q1150" t="s">
        <v>620</v>
      </c>
      <c r="R1150" t="s">
        <v>1860</v>
      </c>
      <c r="T1150" s="3" t="str">
        <f>HYPERLINK("doors://fe-dorapcm3.de.bosch.com:36679/?version=2&amp;prodID=0&amp;view=00000015&amp;urn=urn:telelogic::1-52394082008461e6-O-8647-00059142","BSW_SWS_AR4_0_R2_DIODriver-8647")</f>
        <v>BSW_SWS_AR4_0_R2_DIODriver-8647</v>
      </c>
    </row>
    <row r="1151" spans="1:20" x14ac:dyDescent="0.2">
      <c r="A1151" t="s">
        <v>3217</v>
      </c>
      <c r="B1151" t="s">
        <v>1617</v>
      </c>
      <c r="C1151" t="s">
        <v>3218</v>
      </c>
      <c r="D1151" t="s">
        <v>3199</v>
      </c>
      <c r="K1151" t="s">
        <v>618</v>
      </c>
      <c r="P1151" t="s">
        <v>619</v>
      </c>
      <c r="Q1151" t="s">
        <v>620</v>
      </c>
      <c r="R1151" t="s">
        <v>1860</v>
      </c>
      <c r="T1151" s="3" t="str">
        <f>HYPERLINK("doors://fe-dorapcm3.de.bosch.com:36679/?version=2&amp;prodID=0&amp;view=00000015&amp;urn=urn:telelogic::1-52394082008461e6-O-8648-00059142","BSW_SWS_AR4_0_R2_DIODriver-8648")</f>
        <v>BSW_SWS_AR4_0_R2_DIODriver-8648</v>
      </c>
    </row>
    <row r="1152" spans="1:20" x14ac:dyDescent="0.2">
      <c r="A1152" t="s">
        <v>3219</v>
      </c>
      <c r="B1152" t="s">
        <v>1617</v>
      </c>
      <c r="C1152" t="s">
        <v>3220</v>
      </c>
      <c r="D1152" t="s">
        <v>3113</v>
      </c>
      <c r="K1152" t="s">
        <v>618</v>
      </c>
      <c r="P1152" t="s">
        <v>619</v>
      </c>
      <c r="Q1152" t="s">
        <v>620</v>
      </c>
      <c r="R1152" t="s">
        <v>1860</v>
      </c>
      <c r="T1152" s="3" t="str">
        <f>HYPERLINK("doors://fe-dorapcm3.de.bosch.com:36679/?version=2&amp;prodID=0&amp;view=00000015&amp;urn=urn:telelogic::1-52394082008461e6-O-8649-00059142","BSW_SWS_AR4_0_R2_DIODriver-8649")</f>
        <v>BSW_SWS_AR4_0_R2_DIODriver-8649</v>
      </c>
    </row>
    <row r="1153" spans="1:20" x14ac:dyDescent="0.2">
      <c r="A1153" t="s">
        <v>3221</v>
      </c>
      <c r="B1153" t="s">
        <v>1617</v>
      </c>
      <c r="C1153" t="s">
        <v>3222</v>
      </c>
      <c r="K1153" t="s">
        <v>618</v>
      </c>
      <c r="P1153" t="s">
        <v>619</v>
      </c>
      <c r="Q1153" t="s">
        <v>620</v>
      </c>
      <c r="R1153" t="s">
        <v>1860</v>
      </c>
      <c r="T1153" s="3" t="str">
        <f>HYPERLINK("doors://fe-dorapcm3.de.bosch.com:36679/?version=2&amp;prodID=0&amp;view=00000015&amp;urn=urn:telelogic::1-52394082008461e6-O-8651-00059142","BSW_SWS_AR4_0_R2_DIODriver-8651")</f>
        <v>BSW_SWS_AR4_0_R2_DIODriver-8651</v>
      </c>
    </row>
    <row r="1154" spans="1:20" x14ac:dyDescent="0.2">
      <c r="A1154" t="s">
        <v>3223</v>
      </c>
      <c r="B1154" t="s">
        <v>1617</v>
      </c>
      <c r="C1154" t="s">
        <v>3224</v>
      </c>
      <c r="D1154" s="5" t="s">
        <v>3225</v>
      </c>
      <c r="K1154" t="s">
        <v>618</v>
      </c>
      <c r="P1154" t="s">
        <v>619</v>
      </c>
      <c r="Q1154" t="s">
        <v>620</v>
      </c>
      <c r="R1154" t="s">
        <v>1860</v>
      </c>
      <c r="T1154" s="3" t="str">
        <f>HYPERLINK("doors://fe-dorapcm3.de.bosch.com:36679/?version=2&amp;prodID=0&amp;view=00000015&amp;urn=urn:telelogic::1-52394082008461e6-O-8652-00059142","BSW_SWS_AR4_0_R2_DIODriver-8652")</f>
        <v>BSW_SWS_AR4_0_R2_DIODriver-8652</v>
      </c>
    </row>
    <row r="1155" spans="1:20" x14ac:dyDescent="0.2">
      <c r="A1155" t="s">
        <v>3226</v>
      </c>
      <c r="B1155" t="s">
        <v>1617</v>
      </c>
      <c r="C1155" t="s">
        <v>3227</v>
      </c>
      <c r="D1155" t="s">
        <v>3199</v>
      </c>
      <c r="K1155" t="s">
        <v>618</v>
      </c>
      <c r="P1155" t="s">
        <v>619</v>
      </c>
      <c r="Q1155" t="s">
        <v>620</v>
      </c>
      <c r="R1155" t="s">
        <v>1860</v>
      </c>
      <c r="T1155" s="3" t="str">
        <f>HYPERLINK("doors://fe-dorapcm3.de.bosch.com:36679/?version=2&amp;prodID=0&amp;view=00000015&amp;urn=urn:telelogic::1-52394082008461e6-O-8653-00059142","BSW_SWS_AR4_0_R2_DIODriver-8653")</f>
        <v>BSW_SWS_AR4_0_R2_DIODriver-8653</v>
      </c>
    </row>
    <row r="1156" spans="1:20" x14ac:dyDescent="0.2">
      <c r="A1156" t="s">
        <v>3228</v>
      </c>
      <c r="B1156" t="s">
        <v>1617</v>
      </c>
      <c r="C1156" t="s">
        <v>3229</v>
      </c>
      <c r="D1156" t="s">
        <v>3113</v>
      </c>
      <c r="K1156" t="s">
        <v>618</v>
      </c>
      <c r="P1156" t="s">
        <v>619</v>
      </c>
      <c r="Q1156" t="s">
        <v>620</v>
      </c>
      <c r="R1156" t="s">
        <v>1860</v>
      </c>
      <c r="T1156" s="3" t="str">
        <f>HYPERLINK("doors://fe-dorapcm3.de.bosch.com:36679/?version=2&amp;prodID=0&amp;view=00000015&amp;urn=urn:telelogic::1-52394082008461e6-O-8654-00059142","BSW_SWS_AR4_0_R2_DIODriver-8654")</f>
        <v>BSW_SWS_AR4_0_R2_DIODriver-8654</v>
      </c>
    </row>
    <row r="1157" spans="1:20" x14ac:dyDescent="0.2">
      <c r="A1157" t="s">
        <v>3230</v>
      </c>
      <c r="B1157" t="s">
        <v>1617</v>
      </c>
      <c r="C1157" t="s">
        <v>3231</v>
      </c>
      <c r="D1157" s="5" t="s">
        <v>3125</v>
      </c>
      <c r="K1157" t="s">
        <v>618</v>
      </c>
      <c r="P1157" t="s">
        <v>619</v>
      </c>
      <c r="Q1157" t="s">
        <v>620</v>
      </c>
      <c r="R1157" t="s">
        <v>1860</v>
      </c>
      <c r="T1157" s="3" t="str">
        <f>HYPERLINK("doors://fe-dorapcm3.de.bosch.com:36679/?version=2&amp;prodID=0&amp;view=00000015&amp;urn=urn:telelogic::1-52394082008461e6-O-8656-00059142","BSW_SWS_AR4_0_R2_DIODriver-8656")</f>
        <v>BSW_SWS_AR4_0_R2_DIODriver-8656</v>
      </c>
    </row>
    <row r="1158" spans="1:20" x14ac:dyDescent="0.2">
      <c r="A1158" t="s">
        <v>3232</v>
      </c>
      <c r="B1158" t="s">
        <v>1617</v>
      </c>
      <c r="C1158" t="s">
        <v>3233</v>
      </c>
      <c r="D1158" t="s">
        <v>3234</v>
      </c>
      <c r="K1158" t="s">
        <v>618</v>
      </c>
      <c r="P1158" t="s">
        <v>619</v>
      </c>
      <c r="Q1158" t="s">
        <v>620</v>
      </c>
      <c r="R1158" t="s">
        <v>1860</v>
      </c>
      <c r="T1158" s="3" t="str">
        <f>HYPERLINK("doors://fe-dorapcm3.de.bosch.com:36679/?version=2&amp;prodID=0&amp;view=00000015&amp;urn=urn:telelogic::1-52394082008461e6-O-8657-00059142","BSW_SWS_AR4_0_R2_DIODriver-8657")</f>
        <v>BSW_SWS_AR4_0_R2_DIODriver-8657</v>
      </c>
    </row>
    <row r="1159" spans="1:20" x14ac:dyDescent="0.2">
      <c r="A1159" t="s">
        <v>3235</v>
      </c>
      <c r="B1159" t="s">
        <v>614</v>
      </c>
      <c r="C1159" t="s">
        <v>3236</v>
      </c>
      <c r="D1159" t="s">
        <v>3113</v>
      </c>
      <c r="K1159" t="s">
        <v>618</v>
      </c>
      <c r="P1159" t="s">
        <v>619</v>
      </c>
      <c r="Q1159" t="s">
        <v>651</v>
      </c>
      <c r="R1159" t="s">
        <v>621</v>
      </c>
      <c r="S1159" t="s">
        <v>622</v>
      </c>
      <c r="T1159" s="3" t="str">
        <f>HYPERLINK("doors://fe-dorapcm3.de.bosch.com:36679/?version=2&amp;prodID=0&amp;view=00000015&amp;urn=urn:telelogic::1-52394082008461e6-O-8658-00059142","BSW_SWS_AR4_0_R2_DIODriver-8658")</f>
        <v>BSW_SWS_AR4_0_R2_DIODriver-8658</v>
      </c>
    </row>
    <row r="1160" spans="1:20" x14ac:dyDescent="0.2">
      <c r="A1160" t="s">
        <v>3237</v>
      </c>
      <c r="B1160" t="s">
        <v>1617</v>
      </c>
      <c r="C1160" t="s">
        <v>3238</v>
      </c>
      <c r="D1160" s="5" t="s">
        <v>3149</v>
      </c>
      <c r="K1160" t="s">
        <v>618</v>
      </c>
      <c r="P1160" t="s">
        <v>619</v>
      </c>
      <c r="Q1160" t="s">
        <v>620</v>
      </c>
      <c r="R1160" t="s">
        <v>1860</v>
      </c>
      <c r="T1160" s="3" t="str">
        <f>HYPERLINK("doors://fe-dorapcm3.de.bosch.com:36679/?version=2&amp;prodID=0&amp;view=00000015&amp;urn=urn:telelogic::1-52394082008461e6-O-8661-00059142","BSW_SWS_AR4_0_R2_DIODriver-8661")</f>
        <v>BSW_SWS_AR4_0_R2_DIODriver-8661</v>
      </c>
    </row>
    <row r="1161" spans="1:20" x14ac:dyDescent="0.2">
      <c r="A1161" t="s">
        <v>3239</v>
      </c>
      <c r="B1161" t="s">
        <v>1617</v>
      </c>
      <c r="C1161" t="s">
        <v>3240</v>
      </c>
      <c r="D1161" s="2" t="s">
        <v>3241</v>
      </c>
      <c r="K1161" t="s">
        <v>618</v>
      </c>
      <c r="P1161" t="s">
        <v>619</v>
      </c>
      <c r="Q1161" t="s">
        <v>620</v>
      </c>
      <c r="R1161" t="s">
        <v>1860</v>
      </c>
      <c r="T1161" s="3" t="str">
        <f>HYPERLINK("doors://fe-dorapcm3.de.bosch.com:36679/?version=2&amp;prodID=0&amp;view=00000015&amp;urn=urn:telelogic::1-52394082008461e6-O-8662-00059142","BSW_SWS_AR4_0_R2_DIODriver-8662")</f>
        <v>BSW_SWS_AR4_0_R2_DIODriver-8662</v>
      </c>
    </row>
    <row r="1162" spans="1:20" ht="25.5" x14ac:dyDescent="0.2">
      <c r="A1162" t="s">
        <v>3242</v>
      </c>
      <c r="B1162" t="s">
        <v>1617</v>
      </c>
      <c r="C1162" t="s">
        <v>3243</v>
      </c>
      <c r="D1162" s="6" t="s">
        <v>3175</v>
      </c>
      <c r="K1162" t="s">
        <v>618</v>
      </c>
      <c r="P1162" t="s">
        <v>619</v>
      </c>
      <c r="Q1162" t="s">
        <v>620</v>
      </c>
      <c r="R1162" t="s">
        <v>1860</v>
      </c>
      <c r="T1162" s="3" t="str">
        <f>HYPERLINK("doors://fe-dorapcm3.de.bosch.com:36679/?version=2&amp;prodID=0&amp;view=00000015&amp;urn=urn:telelogic::1-52394082008461e6-O-8664-00059142","BSW_SWS_AR4_0_R2_DIODriver-8664")</f>
        <v>BSW_SWS_AR4_0_R2_DIODriver-8664</v>
      </c>
    </row>
    <row r="1163" spans="1:20" x14ac:dyDescent="0.2">
      <c r="A1163" t="s">
        <v>3244</v>
      </c>
      <c r="B1163" t="s">
        <v>1617</v>
      </c>
      <c r="C1163" t="s">
        <v>3245</v>
      </c>
      <c r="D1163" t="s">
        <v>3246</v>
      </c>
      <c r="K1163" t="s">
        <v>618</v>
      </c>
      <c r="P1163" t="s">
        <v>619</v>
      </c>
      <c r="Q1163" t="s">
        <v>620</v>
      </c>
      <c r="R1163" t="s">
        <v>1860</v>
      </c>
      <c r="T1163" s="3" t="str">
        <f>HYPERLINK("doors://fe-dorapcm3.de.bosch.com:36679/?version=2&amp;prodID=0&amp;view=00000015&amp;urn=urn:telelogic::1-52394082008461e6-O-8665-00059142","BSW_SWS_AR4_0_R2_DIODriver-8665")</f>
        <v>BSW_SWS_AR4_0_R2_DIODriver-8665</v>
      </c>
    </row>
    <row r="1164" spans="1:20" x14ac:dyDescent="0.2">
      <c r="A1164" t="s">
        <v>3247</v>
      </c>
      <c r="B1164" t="s">
        <v>1617</v>
      </c>
      <c r="C1164" t="s">
        <v>3248</v>
      </c>
      <c r="D1164" s="5" t="s">
        <v>3159</v>
      </c>
      <c r="K1164" t="s">
        <v>618</v>
      </c>
      <c r="P1164" t="s">
        <v>619</v>
      </c>
      <c r="Q1164" t="s">
        <v>620</v>
      </c>
      <c r="R1164" t="s">
        <v>1860</v>
      </c>
      <c r="T1164" s="3" t="str">
        <f>HYPERLINK("doors://fe-dorapcm3.de.bosch.com:36679/?version=2&amp;prodID=0&amp;view=00000015&amp;urn=urn:telelogic::1-52394082008461e6-O-8667-00059142","BSW_SWS_AR4_0_R2_DIODriver-8667")</f>
        <v>BSW_SWS_AR4_0_R2_DIODriver-8667</v>
      </c>
    </row>
    <row r="1165" spans="1:20" x14ac:dyDescent="0.2">
      <c r="A1165" t="s">
        <v>3249</v>
      </c>
      <c r="B1165" t="s">
        <v>1617</v>
      </c>
      <c r="C1165" t="s">
        <v>3250</v>
      </c>
      <c r="D1165" t="s">
        <v>3251</v>
      </c>
      <c r="K1165" t="s">
        <v>618</v>
      </c>
      <c r="P1165" t="s">
        <v>619</v>
      </c>
      <c r="Q1165" t="s">
        <v>620</v>
      </c>
      <c r="R1165" t="s">
        <v>1860</v>
      </c>
      <c r="T1165" s="3" t="str">
        <f>HYPERLINK("doors://fe-dorapcm3.de.bosch.com:36679/?version=2&amp;prodID=0&amp;view=00000015&amp;urn=urn:telelogic::1-52394082008461e6-O-8668-00059142","BSW_SWS_AR4_0_R2_DIODriver-8668")</f>
        <v>BSW_SWS_AR4_0_R2_DIODriver-8668</v>
      </c>
    </row>
    <row r="1166" spans="1:20" x14ac:dyDescent="0.2">
      <c r="A1166" t="s">
        <v>3252</v>
      </c>
      <c r="B1166" t="s">
        <v>1617</v>
      </c>
      <c r="C1166" t="s">
        <v>3253</v>
      </c>
      <c r="D1166" s="5" t="s">
        <v>3122</v>
      </c>
      <c r="K1166" t="s">
        <v>618</v>
      </c>
      <c r="P1166" t="s">
        <v>619</v>
      </c>
      <c r="Q1166" t="s">
        <v>620</v>
      </c>
      <c r="R1166" t="s">
        <v>1860</v>
      </c>
      <c r="T1166" s="3" t="str">
        <f>HYPERLINK("doors://fe-dorapcm3.de.bosch.com:36679/?version=2&amp;prodID=0&amp;view=00000015&amp;urn=urn:telelogic::1-52394082008461e6-O-8670-00059142","BSW_SWS_AR4_0_R2_DIODriver-8670")</f>
        <v>BSW_SWS_AR4_0_R2_DIODriver-8670</v>
      </c>
    </row>
    <row r="1167" spans="1:20" x14ac:dyDescent="0.2">
      <c r="A1167" t="s">
        <v>3254</v>
      </c>
      <c r="B1167" t="s">
        <v>1617</v>
      </c>
      <c r="C1167" t="s">
        <v>3255</v>
      </c>
      <c r="D1167">
        <v>1</v>
      </c>
      <c r="K1167" t="s">
        <v>618</v>
      </c>
      <c r="P1167" t="s">
        <v>619</v>
      </c>
      <c r="Q1167" t="s">
        <v>620</v>
      </c>
      <c r="R1167" t="s">
        <v>1860</v>
      </c>
      <c r="T1167" s="3" t="str">
        <f>HYPERLINK("doors://fe-dorapcm3.de.bosch.com:36679/?version=2&amp;prodID=0&amp;view=00000015&amp;urn=urn:telelogic::1-52394082008461e6-O-8671-00059142","BSW_SWS_AR4_0_R2_DIODriver-8671")</f>
        <v>BSW_SWS_AR4_0_R2_DIODriver-8671</v>
      </c>
    </row>
    <row r="1168" spans="1:20" x14ac:dyDescent="0.2">
      <c r="A1168" t="s">
        <v>3256</v>
      </c>
      <c r="B1168" t="s">
        <v>1617</v>
      </c>
      <c r="C1168" t="s">
        <v>3257</v>
      </c>
      <c r="D1168" s="5" t="s">
        <v>3190</v>
      </c>
      <c r="K1168" t="s">
        <v>618</v>
      </c>
      <c r="P1168" t="s">
        <v>619</v>
      </c>
      <c r="Q1168" t="s">
        <v>620</v>
      </c>
      <c r="R1168" t="s">
        <v>1860</v>
      </c>
      <c r="T1168" s="3" t="str">
        <f>HYPERLINK("doors://fe-dorapcm3.de.bosch.com:36679/?version=2&amp;prodID=0&amp;view=00000015&amp;urn=urn:telelogic::1-52394082008461e6-O-8673-00059142","BSW_SWS_AR4_0_R2_DIODriver-8673")</f>
        <v>BSW_SWS_AR4_0_R2_DIODriver-8673</v>
      </c>
    </row>
    <row r="1169" spans="1:20" x14ac:dyDescent="0.2">
      <c r="A1169" t="s">
        <v>3258</v>
      </c>
      <c r="B1169" t="s">
        <v>1617</v>
      </c>
      <c r="C1169" t="s">
        <v>3259</v>
      </c>
      <c r="D1169" t="s">
        <v>3193</v>
      </c>
      <c r="K1169" t="s">
        <v>618</v>
      </c>
      <c r="P1169" t="s">
        <v>619</v>
      </c>
      <c r="Q1169" t="s">
        <v>620</v>
      </c>
      <c r="R1169" t="s">
        <v>1860</v>
      </c>
      <c r="T1169" s="3" t="str">
        <f>HYPERLINK("doors://fe-dorapcm3.de.bosch.com:36679/?version=2&amp;prodID=0&amp;view=00000015&amp;urn=urn:telelogic::1-52394082008461e6-O-8674-00059142","BSW_SWS_AR4_0_R2_DIODriver-8674")</f>
        <v>BSW_SWS_AR4_0_R2_DIODriver-8674</v>
      </c>
    </row>
    <row r="1170" spans="1:20" x14ac:dyDescent="0.2">
      <c r="A1170" t="s">
        <v>3260</v>
      </c>
      <c r="B1170" t="s">
        <v>1617</v>
      </c>
      <c r="C1170" t="s">
        <v>3261</v>
      </c>
      <c r="D1170" s="5" t="s">
        <v>3196</v>
      </c>
      <c r="K1170" t="s">
        <v>618</v>
      </c>
      <c r="P1170" t="s">
        <v>619</v>
      </c>
      <c r="Q1170" t="s">
        <v>620</v>
      </c>
      <c r="R1170" t="s">
        <v>1860</v>
      </c>
      <c r="T1170" s="3" t="str">
        <f>HYPERLINK("doors://fe-dorapcm3.de.bosch.com:36679/?version=2&amp;prodID=0&amp;view=00000015&amp;urn=urn:telelogic::1-52394082008461e6-O-8676-00059142","BSW_SWS_AR4_0_R2_DIODriver-8676")</f>
        <v>BSW_SWS_AR4_0_R2_DIODriver-8676</v>
      </c>
    </row>
    <row r="1171" spans="1:20" x14ac:dyDescent="0.2">
      <c r="A1171" t="s">
        <v>3262</v>
      </c>
      <c r="B1171" t="s">
        <v>1617</v>
      </c>
      <c r="C1171" t="s">
        <v>3263</v>
      </c>
      <c r="D1171" t="s">
        <v>3199</v>
      </c>
      <c r="K1171" t="s">
        <v>618</v>
      </c>
      <c r="P1171" t="s">
        <v>619</v>
      </c>
      <c r="Q1171" t="s">
        <v>620</v>
      </c>
      <c r="R1171" t="s">
        <v>1860</v>
      </c>
      <c r="T1171" s="3" t="str">
        <f>HYPERLINK("doors://fe-dorapcm3.de.bosch.com:36679/?version=2&amp;prodID=0&amp;view=00000015&amp;urn=urn:telelogic::1-52394082008461e6-O-8677-00059142","BSW_SWS_AR4_0_R2_DIODriver-8677")</f>
        <v>BSW_SWS_AR4_0_R2_DIODriver-8677</v>
      </c>
    </row>
    <row r="1172" spans="1:20" x14ac:dyDescent="0.2">
      <c r="A1172" t="s">
        <v>3264</v>
      </c>
      <c r="B1172" t="s">
        <v>1617</v>
      </c>
      <c r="C1172" t="s">
        <v>3265</v>
      </c>
      <c r="D1172" s="5" t="s">
        <v>3202</v>
      </c>
      <c r="K1172" t="s">
        <v>618</v>
      </c>
      <c r="P1172" t="s">
        <v>619</v>
      </c>
      <c r="Q1172" t="s">
        <v>620</v>
      </c>
      <c r="R1172" t="s">
        <v>1860</v>
      </c>
      <c r="T1172" s="3" t="str">
        <f>HYPERLINK("doors://fe-dorapcm3.de.bosch.com:36679/?version=2&amp;prodID=0&amp;view=00000015&amp;urn=urn:telelogic::1-52394082008461e6-O-8679-00059142","BSW_SWS_AR4_0_R2_DIODriver-8679")</f>
        <v>BSW_SWS_AR4_0_R2_DIODriver-8679</v>
      </c>
    </row>
    <row r="1173" spans="1:20" x14ac:dyDescent="0.2">
      <c r="A1173" t="s">
        <v>3266</v>
      </c>
      <c r="B1173" t="s">
        <v>1617</v>
      </c>
      <c r="C1173" t="s">
        <v>3267</v>
      </c>
      <c r="D1173" s="5" t="s">
        <v>3205</v>
      </c>
      <c r="K1173" t="s">
        <v>618</v>
      </c>
      <c r="P1173" t="s">
        <v>619</v>
      </c>
      <c r="Q1173" t="s">
        <v>620</v>
      </c>
      <c r="R1173" t="s">
        <v>1860</v>
      </c>
      <c r="T1173" s="3" t="str">
        <f>HYPERLINK("doors://fe-dorapcm3.de.bosch.com:36679/?version=2&amp;prodID=0&amp;view=00000015&amp;urn=urn:telelogic::1-52394082008461e6-O-8680-00059142","BSW_SWS_AR4_0_R2_DIODriver-8680")</f>
        <v>BSW_SWS_AR4_0_R2_DIODriver-8680</v>
      </c>
    </row>
    <row r="1174" spans="1:20" x14ac:dyDescent="0.2">
      <c r="A1174" t="s">
        <v>3268</v>
      </c>
      <c r="B1174" t="s">
        <v>1617</v>
      </c>
      <c r="C1174" t="s">
        <v>3269</v>
      </c>
      <c r="D1174" t="s">
        <v>3208</v>
      </c>
      <c r="K1174" t="s">
        <v>618</v>
      </c>
      <c r="P1174" t="s">
        <v>619</v>
      </c>
      <c r="Q1174" t="s">
        <v>620</v>
      </c>
      <c r="R1174" t="s">
        <v>1860</v>
      </c>
      <c r="T1174" s="3" t="str">
        <f>HYPERLINK("doors://fe-dorapcm3.de.bosch.com:36679/?version=2&amp;prodID=0&amp;view=00000015&amp;urn=urn:telelogic::1-52394082008461e6-O-8681-00059142","BSW_SWS_AR4_0_R2_DIODriver-8681")</f>
        <v>BSW_SWS_AR4_0_R2_DIODriver-8681</v>
      </c>
    </row>
    <row r="1175" spans="1:20" x14ac:dyDescent="0.2">
      <c r="A1175" t="s">
        <v>3270</v>
      </c>
      <c r="B1175" t="s">
        <v>1617</v>
      </c>
      <c r="C1175" t="s">
        <v>3271</v>
      </c>
      <c r="D1175" t="s">
        <v>3211</v>
      </c>
      <c r="K1175" t="s">
        <v>618</v>
      </c>
      <c r="P1175" t="s">
        <v>619</v>
      </c>
      <c r="Q1175" t="s">
        <v>620</v>
      </c>
      <c r="R1175" t="s">
        <v>1860</v>
      </c>
      <c r="T1175" s="3" t="str">
        <f>HYPERLINK("doors://fe-dorapcm3.de.bosch.com:36679/?version=2&amp;prodID=0&amp;view=00000015&amp;urn=urn:telelogic::1-52394082008461e6-O-8682-00059142","BSW_SWS_AR4_0_R2_DIODriver-8682")</f>
        <v>BSW_SWS_AR4_0_R2_DIODriver-8682</v>
      </c>
    </row>
    <row r="1176" spans="1:20" x14ac:dyDescent="0.2">
      <c r="A1176" t="s">
        <v>3272</v>
      </c>
      <c r="B1176" t="s">
        <v>1617</v>
      </c>
      <c r="C1176" t="s">
        <v>3273</v>
      </c>
      <c r="K1176" t="s">
        <v>618</v>
      </c>
      <c r="P1176" t="s">
        <v>619</v>
      </c>
      <c r="Q1176" t="s">
        <v>620</v>
      </c>
      <c r="R1176" t="s">
        <v>1860</v>
      </c>
      <c r="T1176" s="3" t="str">
        <f>HYPERLINK("doors://fe-dorapcm3.de.bosch.com:36679/?version=2&amp;prodID=0&amp;view=00000015&amp;urn=urn:telelogic::1-52394082008461e6-O-8684-00059142","BSW_SWS_AR4_0_R2_DIODriver-8684")</f>
        <v>BSW_SWS_AR4_0_R2_DIODriver-8684</v>
      </c>
    </row>
    <row r="1177" spans="1:20" x14ac:dyDescent="0.2">
      <c r="A1177" t="s">
        <v>3274</v>
      </c>
      <c r="B1177" t="s">
        <v>1617</v>
      </c>
      <c r="C1177" t="s">
        <v>3275</v>
      </c>
      <c r="D1177" s="5" t="s">
        <v>3216</v>
      </c>
      <c r="K1177" t="s">
        <v>618</v>
      </c>
      <c r="P1177" t="s">
        <v>619</v>
      </c>
      <c r="Q1177" t="s">
        <v>620</v>
      </c>
      <c r="R1177" t="s">
        <v>1860</v>
      </c>
      <c r="T1177" s="3" t="str">
        <f>HYPERLINK("doors://fe-dorapcm3.de.bosch.com:36679/?version=2&amp;prodID=0&amp;view=00000015&amp;urn=urn:telelogic::1-52394082008461e6-O-8685-00059142","BSW_SWS_AR4_0_R2_DIODriver-8685")</f>
        <v>BSW_SWS_AR4_0_R2_DIODriver-8685</v>
      </c>
    </row>
    <row r="1178" spans="1:20" x14ac:dyDescent="0.2">
      <c r="A1178" t="s">
        <v>3276</v>
      </c>
      <c r="B1178" t="s">
        <v>1617</v>
      </c>
      <c r="C1178" t="s">
        <v>3277</v>
      </c>
      <c r="D1178" t="s">
        <v>3199</v>
      </c>
      <c r="K1178" t="s">
        <v>618</v>
      </c>
      <c r="P1178" t="s">
        <v>619</v>
      </c>
      <c r="Q1178" t="s">
        <v>620</v>
      </c>
      <c r="R1178" t="s">
        <v>1860</v>
      </c>
      <c r="T1178" s="3" t="str">
        <f>HYPERLINK("doors://fe-dorapcm3.de.bosch.com:36679/?version=2&amp;prodID=0&amp;view=00000015&amp;urn=urn:telelogic::1-52394082008461e6-O-8686-00059142","BSW_SWS_AR4_0_R2_DIODriver-8686")</f>
        <v>BSW_SWS_AR4_0_R2_DIODriver-8686</v>
      </c>
    </row>
    <row r="1179" spans="1:20" x14ac:dyDescent="0.2">
      <c r="A1179" t="s">
        <v>3278</v>
      </c>
      <c r="B1179" t="s">
        <v>1617</v>
      </c>
      <c r="C1179" t="s">
        <v>3279</v>
      </c>
      <c r="D1179" t="s">
        <v>3113</v>
      </c>
      <c r="K1179" t="s">
        <v>618</v>
      </c>
      <c r="P1179" t="s">
        <v>619</v>
      </c>
      <c r="Q1179" t="s">
        <v>620</v>
      </c>
      <c r="R1179" t="s">
        <v>1860</v>
      </c>
      <c r="T1179" s="3" t="str">
        <f>HYPERLINK("doors://fe-dorapcm3.de.bosch.com:36679/?version=2&amp;prodID=0&amp;view=00000015&amp;urn=urn:telelogic::1-52394082008461e6-O-8687-00059142","BSW_SWS_AR4_0_R2_DIODriver-8687")</f>
        <v>BSW_SWS_AR4_0_R2_DIODriver-8687</v>
      </c>
    </row>
    <row r="1180" spans="1:20" x14ac:dyDescent="0.2">
      <c r="A1180" t="s">
        <v>3280</v>
      </c>
      <c r="B1180" t="s">
        <v>1617</v>
      </c>
      <c r="C1180" t="s">
        <v>3281</v>
      </c>
      <c r="K1180" t="s">
        <v>618</v>
      </c>
      <c r="P1180" t="s">
        <v>619</v>
      </c>
      <c r="Q1180" t="s">
        <v>620</v>
      </c>
      <c r="R1180" t="s">
        <v>1860</v>
      </c>
      <c r="T1180" s="3" t="str">
        <f>HYPERLINK("doors://fe-dorapcm3.de.bosch.com:36679/?version=2&amp;prodID=0&amp;view=00000015&amp;urn=urn:telelogic::1-52394082008461e6-O-8689-00059142","BSW_SWS_AR4_0_R2_DIODriver-8689")</f>
        <v>BSW_SWS_AR4_0_R2_DIODriver-8689</v>
      </c>
    </row>
    <row r="1181" spans="1:20" x14ac:dyDescent="0.2">
      <c r="A1181" t="s">
        <v>3282</v>
      </c>
      <c r="B1181" t="s">
        <v>1617</v>
      </c>
      <c r="C1181" t="s">
        <v>3283</v>
      </c>
      <c r="D1181" s="5" t="s">
        <v>3225</v>
      </c>
      <c r="K1181" t="s">
        <v>618</v>
      </c>
      <c r="P1181" t="s">
        <v>619</v>
      </c>
      <c r="Q1181" t="s">
        <v>620</v>
      </c>
      <c r="R1181" t="s">
        <v>1860</v>
      </c>
      <c r="T1181" s="3" t="str">
        <f>HYPERLINK("doors://fe-dorapcm3.de.bosch.com:36679/?version=2&amp;prodID=0&amp;view=00000015&amp;urn=urn:telelogic::1-52394082008461e6-O-8690-00059142","BSW_SWS_AR4_0_R2_DIODriver-8690")</f>
        <v>BSW_SWS_AR4_0_R2_DIODriver-8690</v>
      </c>
    </row>
    <row r="1182" spans="1:20" x14ac:dyDescent="0.2">
      <c r="A1182" t="s">
        <v>3284</v>
      </c>
      <c r="B1182" t="s">
        <v>1617</v>
      </c>
      <c r="C1182" t="s">
        <v>3285</v>
      </c>
      <c r="D1182" t="s">
        <v>3199</v>
      </c>
      <c r="K1182" t="s">
        <v>618</v>
      </c>
      <c r="P1182" t="s">
        <v>619</v>
      </c>
      <c r="Q1182" t="s">
        <v>620</v>
      </c>
      <c r="R1182" t="s">
        <v>1860</v>
      </c>
      <c r="T1182" s="3" t="str">
        <f>HYPERLINK("doors://fe-dorapcm3.de.bosch.com:36679/?version=2&amp;prodID=0&amp;view=00000015&amp;urn=urn:telelogic::1-52394082008461e6-O-8691-00059142","BSW_SWS_AR4_0_R2_DIODriver-8691")</f>
        <v>BSW_SWS_AR4_0_R2_DIODriver-8691</v>
      </c>
    </row>
    <row r="1183" spans="1:20" x14ac:dyDescent="0.2">
      <c r="A1183" t="s">
        <v>3286</v>
      </c>
      <c r="B1183" t="s">
        <v>1617</v>
      </c>
      <c r="C1183" t="s">
        <v>3287</v>
      </c>
      <c r="D1183" t="s">
        <v>3113</v>
      </c>
      <c r="K1183" t="s">
        <v>618</v>
      </c>
      <c r="P1183" t="s">
        <v>619</v>
      </c>
      <c r="Q1183" t="s">
        <v>620</v>
      </c>
      <c r="R1183" t="s">
        <v>1860</v>
      </c>
      <c r="T1183" s="3" t="str">
        <f>HYPERLINK("doors://fe-dorapcm3.de.bosch.com:36679/?version=2&amp;prodID=0&amp;view=00000015&amp;urn=urn:telelogic::1-52394082008461e6-O-8692-00059142","BSW_SWS_AR4_0_R2_DIODriver-8692")</f>
        <v>BSW_SWS_AR4_0_R2_DIODriver-8692</v>
      </c>
    </row>
    <row r="1184" spans="1:20" x14ac:dyDescent="0.2">
      <c r="A1184" t="s">
        <v>3288</v>
      </c>
      <c r="B1184" t="s">
        <v>1617</v>
      </c>
      <c r="C1184" t="s">
        <v>3289</v>
      </c>
      <c r="D1184" s="5" t="s">
        <v>3125</v>
      </c>
      <c r="K1184" t="s">
        <v>618</v>
      </c>
      <c r="P1184" t="s">
        <v>619</v>
      </c>
      <c r="Q1184" t="s">
        <v>620</v>
      </c>
      <c r="R1184" t="s">
        <v>1860</v>
      </c>
      <c r="T1184" s="3" t="str">
        <f>HYPERLINK("doors://fe-dorapcm3.de.bosch.com:36679/?version=2&amp;prodID=0&amp;view=00000015&amp;urn=urn:telelogic::1-52394082008461e6-O-8694-00059142","BSW_SWS_AR4_0_R2_DIODriver-8694")</f>
        <v>BSW_SWS_AR4_0_R2_DIODriver-8694</v>
      </c>
    </row>
    <row r="1185" spans="1:20" x14ac:dyDescent="0.2">
      <c r="A1185" t="s">
        <v>3290</v>
      </c>
      <c r="B1185" t="s">
        <v>1617</v>
      </c>
      <c r="C1185" t="s">
        <v>3291</v>
      </c>
      <c r="D1185" t="s">
        <v>3234</v>
      </c>
      <c r="K1185" t="s">
        <v>618</v>
      </c>
      <c r="P1185" t="s">
        <v>619</v>
      </c>
      <c r="Q1185" t="s">
        <v>620</v>
      </c>
      <c r="R1185" t="s">
        <v>1860</v>
      </c>
      <c r="T1185" s="3" t="str">
        <f>HYPERLINK("doors://fe-dorapcm3.de.bosch.com:36679/?version=2&amp;prodID=0&amp;view=00000015&amp;urn=urn:telelogic::1-52394082008461e6-O-8695-00059142","BSW_SWS_AR4_0_R2_DIODriver-8695")</f>
        <v>BSW_SWS_AR4_0_R2_DIODriver-8695</v>
      </c>
    </row>
    <row r="1186" spans="1:20" x14ac:dyDescent="0.2">
      <c r="A1186" t="s">
        <v>3292</v>
      </c>
      <c r="B1186" t="s">
        <v>614</v>
      </c>
      <c r="C1186" t="s">
        <v>3293</v>
      </c>
      <c r="D1186" t="s">
        <v>3113</v>
      </c>
      <c r="J1186" t="s">
        <v>617</v>
      </c>
      <c r="K1186" t="s">
        <v>618</v>
      </c>
      <c r="P1186" t="s">
        <v>619</v>
      </c>
      <c r="Q1186" t="s">
        <v>620</v>
      </c>
      <c r="R1186" t="s">
        <v>621</v>
      </c>
      <c r="S1186" t="s">
        <v>622</v>
      </c>
      <c r="T1186" s="3" t="str">
        <f>HYPERLINK("doors://fe-dorapcm3.de.bosch.com:36679/?version=2&amp;prodID=0&amp;view=00000015&amp;urn=urn:telelogic::1-52394082008461e6-O-8696-00059142","BSW_SWS_AR4_0_R2_DIODriver-8696")</f>
        <v>BSW_SWS_AR4_0_R2_DIODriver-8696</v>
      </c>
    </row>
    <row r="1187" spans="1:20" x14ac:dyDescent="0.2">
      <c r="A1187" t="s">
        <v>3294</v>
      </c>
      <c r="B1187" t="s">
        <v>1617</v>
      </c>
      <c r="C1187" t="s">
        <v>3295</v>
      </c>
      <c r="D1187" s="5" t="s">
        <v>3149</v>
      </c>
      <c r="K1187" t="s">
        <v>618</v>
      </c>
      <c r="P1187" t="s">
        <v>619</v>
      </c>
      <c r="Q1187" t="s">
        <v>620</v>
      </c>
      <c r="R1187" t="s">
        <v>1860</v>
      </c>
      <c r="T1187" s="3" t="str">
        <f>HYPERLINK("doors://fe-dorapcm3.de.bosch.com:36679/?version=2&amp;prodID=0&amp;view=00000015&amp;urn=urn:telelogic::1-52394082008461e6-O-8699-00059142","BSW_SWS_AR4_0_R2_DIODriver-8699")</f>
        <v>BSW_SWS_AR4_0_R2_DIODriver-8699</v>
      </c>
    </row>
    <row r="1188" spans="1:20" x14ac:dyDescent="0.2">
      <c r="A1188" t="s">
        <v>3296</v>
      </c>
      <c r="B1188" t="s">
        <v>1617</v>
      </c>
      <c r="C1188" t="s">
        <v>3297</v>
      </c>
      <c r="D1188" s="2" t="s">
        <v>3298</v>
      </c>
      <c r="K1188" t="s">
        <v>618</v>
      </c>
      <c r="P1188" t="s">
        <v>619</v>
      </c>
      <c r="Q1188" t="s">
        <v>620</v>
      </c>
      <c r="R1188" t="s">
        <v>1860</v>
      </c>
      <c r="T1188" s="3" t="str">
        <f>HYPERLINK("doors://fe-dorapcm3.de.bosch.com:36679/?version=2&amp;prodID=0&amp;view=00000015&amp;urn=urn:telelogic::1-52394082008461e6-O-8700-00059142","BSW_SWS_AR4_0_R2_DIODriver-8700")</f>
        <v>BSW_SWS_AR4_0_R2_DIODriver-8700</v>
      </c>
    </row>
    <row r="1189" spans="1:20" ht="25.5" x14ac:dyDescent="0.2">
      <c r="A1189" t="s">
        <v>3299</v>
      </c>
      <c r="B1189" t="s">
        <v>1617</v>
      </c>
      <c r="C1189" t="s">
        <v>3300</v>
      </c>
      <c r="D1189" s="6" t="s">
        <v>3175</v>
      </c>
      <c r="K1189" t="s">
        <v>618</v>
      </c>
      <c r="P1189" t="s">
        <v>619</v>
      </c>
      <c r="Q1189" t="s">
        <v>620</v>
      </c>
      <c r="R1189" t="s">
        <v>1860</v>
      </c>
      <c r="T1189" s="3" t="str">
        <f>HYPERLINK("doors://fe-dorapcm3.de.bosch.com:36679/?version=2&amp;prodID=0&amp;view=00000015&amp;urn=urn:telelogic::1-52394082008461e6-O-8702-00059142","BSW_SWS_AR4_0_R2_DIODriver-8702")</f>
        <v>BSW_SWS_AR4_0_R2_DIODriver-8702</v>
      </c>
    </row>
    <row r="1190" spans="1:20" x14ac:dyDescent="0.2">
      <c r="A1190" t="s">
        <v>3301</v>
      </c>
      <c r="B1190" t="s">
        <v>1617</v>
      </c>
      <c r="C1190" t="s">
        <v>3302</v>
      </c>
      <c r="D1190" t="s">
        <v>3303</v>
      </c>
      <c r="K1190" t="s">
        <v>618</v>
      </c>
      <c r="P1190" t="s">
        <v>619</v>
      </c>
      <c r="Q1190" t="s">
        <v>620</v>
      </c>
      <c r="R1190" t="s">
        <v>1860</v>
      </c>
      <c r="T1190" s="3" t="str">
        <f>HYPERLINK("doors://fe-dorapcm3.de.bosch.com:36679/?version=2&amp;prodID=0&amp;view=00000015&amp;urn=urn:telelogic::1-52394082008461e6-O-8703-00059142","BSW_SWS_AR4_0_R2_DIODriver-8703")</f>
        <v>BSW_SWS_AR4_0_R2_DIODriver-8703</v>
      </c>
    </row>
    <row r="1191" spans="1:20" x14ac:dyDescent="0.2">
      <c r="A1191" t="s">
        <v>3304</v>
      </c>
      <c r="B1191" t="s">
        <v>1617</v>
      </c>
      <c r="C1191" t="s">
        <v>3305</v>
      </c>
      <c r="D1191" s="5" t="s">
        <v>3159</v>
      </c>
      <c r="K1191" t="s">
        <v>618</v>
      </c>
      <c r="P1191" t="s">
        <v>619</v>
      </c>
      <c r="Q1191" t="s">
        <v>620</v>
      </c>
      <c r="R1191" t="s">
        <v>1860</v>
      </c>
      <c r="T1191" s="3" t="str">
        <f>HYPERLINK("doors://fe-dorapcm3.de.bosch.com:36679/?version=2&amp;prodID=0&amp;view=00000015&amp;urn=urn:telelogic::1-52394082008461e6-O-8705-00059142","BSW_SWS_AR4_0_R2_DIODriver-8705")</f>
        <v>BSW_SWS_AR4_0_R2_DIODriver-8705</v>
      </c>
    </row>
    <row r="1192" spans="1:20" x14ac:dyDescent="0.2">
      <c r="A1192" t="s">
        <v>3306</v>
      </c>
      <c r="B1192" t="s">
        <v>1617</v>
      </c>
      <c r="C1192" t="s">
        <v>3307</v>
      </c>
      <c r="D1192" t="s">
        <v>3308</v>
      </c>
      <c r="K1192" t="s">
        <v>618</v>
      </c>
      <c r="P1192" t="s">
        <v>619</v>
      </c>
      <c r="Q1192" t="s">
        <v>620</v>
      </c>
      <c r="R1192" t="s">
        <v>1860</v>
      </c>
      <c r="T1192" s="3" t="str">
        <f>HYPERLINK("doors://fe-dorapcm3.de.bosch.com:36679/?version=2&amp;prodID=0&amp;view=00000015&amp;urn=urn:telelogic::1-52394082008461e6-O-8706-00059142","BSW_SWS_AR4_0_R2_DIODriver-8706")</f>
        <v>BSW_SWS_AR4_0_R2_DIODriver-8706</v>
      </c>
    </row>
    <row r="1193" spans="1:20" x14ac:dyDescent="0.2">
      <c r="A1193" t="s">
        <v>3309</v>
      </c>
      <c r="B1193" t="s">
        <v>1617</v>
      </c>
      <c r="C1193" t="s">
        <v>3310</v>
      </c>
      <c r="D1193" s="5" t="s">
        <v>3122</v>
      </c>
      <c r="K1193" t="s">
        <v>618</v>
      </c>
      <c r="P1193" t="s">
        <v>619</v>
      </c>
      <c r="Q1193" t="s">
        <v>620</v>
      </c>
      <c r="R1193" t="s">
        <v>1860</v>
      </c>
      <c r="T1193" s="3" t="str">
        <f>HYPERLINK("doors://fe-dorapcm3.de.bosch.com:36679/?version=2&amp;prodID=0&amp;view=00000015&amp;urn=urn:telelogic::1-52394082008461e6-O-8708-00059142","BSW_SWS_AR4_0_R2_DIODriver-8708")</f>
        <v>BSW_SWS_AR4_0_R2_DIODriver-8708</v>
      </c>
    </row>
    <row r="1194" spans="1:20" x14ac:dyDescent="0.2">
      <c r="A1194" t="s">
        <v>3311</v>
      </c>
      <c r="B1194" t="s">
        <v>1617</v>
      </c>
      <c r="C1194" t="s">
        <v>3312</v>
      </c>
      <c r="D1194">
        <v>1</v>
      </c>
      <c r="K1194" t="s">
        <v>618</v>
      </c>
      <c r="P1194" t="s">
        <v>619</v>
      </c>
      <c r="Q1194" t="s">
        <v>620</v>
      </c>
      <c r="R1194" t="s">
        <v>1860</v>
      </c>
      <c r="T1194" s="3" t="str">
        <f>HYPERLINK("doors://fe-dorapcm3.de.bosch.com:36679/?version=2&amp;prodID=0&amp;view=00000015&amp;urn=urn:telelogic::1-52394082008461e6-O-8709-00059142","BSW_SWS_AR4_0_R2_DIODriver-8709")</f>
        <v>BSW_SWS_AR4_0_R2_DIODriver-8709</v>
      </c>
    </row>
    <row r="1195" spans="1:20" x14ac:dyDescent="0.2">
      <c r="A1195" t="s">
        <v>3313</v>
      </c>
      <c r="B1195" t="s">
        <v>1617</v>
      </c>
      <c r="C1195" t="s">
        <v>3314</v>
      </c>
      <c r="D1195" s="5" t="s">
        <v>3190</v>
      </c>
      <c r="K1195" t="s">
        <v>618</v>
      </c>
      <c r="P1195" t="s">
        <v>619</v>
      </c>
      <c r="Q1195" t="s">
        <v>620</v>
      </c>
      <c r="R1195" t="s">
        <v>1860</v>
      </c>
      <c r="T1195" s="3" t="str">
        <f>HYPERLINK("doors://fe-dorapcm3.de.bosch.com:36679/?version=2&amp;prodID=0&amp;view=00000015&amp;urn=urn:telelogic::1-52394082008461e6-O-8711-00059142","BSW_SWS_AR4_0_R2_DIODriver-8711")</f>
        <v>BSW_SWS_AR4_0_R2_DIODriver-8711</v>
      </c>
    </row>
    <row r="1196" spans="1:20" x14ac:dyDescent="0.2">
      <c r="A1196" t="s">
        <v>3315</v>
      </c>
      <c r="B1196" t="s">
        <v>1617</v>
      </c>
      <c r="C1196" t="s">
        <v>3316</v>
      </c>
      <c r="D1196" t="s">
        <v>3193</v>
      </c>
      <c r="K1196" t="s">
        <v>618</v>
      </c>
      <c r="P1196" t="s">
        <v>619</v>
      </c>
      <c r="Q1196" t="s">
        <v>620</v>
      </c>
      <c r="R1196" t="s">
        <v>1860</v>
      </c>
      <c r="T1196" s="3" t="str">
        <f>HYPERLINK("doors://fe-dorapcm3.de.bosch.com:36679/?version=2&amp;prodID=0&amp;view=00000015&amp;urn=urn:telelogic::1-52394082008461e6-O-8712-00059142","BSW_SWS_AR4_0_R2_DIODriver-8712")</f>
        <v>BSW_SWS_AR4_0_R2_DIODriver-8712</v>
      </c>
    </row>
    <row r="1197" spans="1:20" x14ac:dyDescent="0.2">
      <c r="A1197" t="s">
        <v>3317</v>
      </c>
      <c r="B1197" t="s">
        <v>1617</v>
      </c>
      <c r="C1197" t="s">
        <v>3318</v>
      </c>
      <c r="D1197" s="5" t="s">
        <v>3196</v>
      </c>
      <c r="K1197" t="s">
        <v>618</v>
      </c>
      <c r="P1197" t="s">
        <v>619</v>
      </c>
      <c r="Q1197" t="s">
        <v>620</v>
      </c>
      <c r="R1197" t="s">
        <v>1860</v>
      </c>
      <c r="T1197" s="3" t="str">
        <f>HYPERLINK("doors://fe-dorapcm3.de.bosch.com:36679/?version=2&amp;prodID=0&amp;view=00000015&amp;urn=urn:telelogic::1-52394082008461e6-O-8714-00059142","BSW_SWS_AR4_0_R2_DIODriver-8714")</f>
        <v>BSW_SWS_AR4_0_R2_DIODriver-8714</v>
      </c>
    </row>
    <row r="1198" spans="1:20" x14ac:dyDescent="0.2">
      <c r="A1198" t="s">
        <v>3319</v>
      </c>
      <c r="B1198" t="s">
        <v>1617</v>
      </c>
      <c r="C1198" t="s">
        <v>3320</v>
      </c>
      <c r="D1198" t="s">
        <v>3199</v>
      </c>
      <c r="K1198" t="s">
        <v>618</v>
      </c>
      <c r="P1198" t="s">
        <v>619</v>
      </c>
      <c r="Q1198" t="s">
        <v>620</v>
      </c>
      <c r="R1198" t="s">
        <v>1860</v>
      </c>
      <c r="T1198" s="3" t="str">
        <f>HYPERLINK("doors://fe-dorapcm3.de.bosch.com:36679/?version=2&amp;prodID=0&amp;view=00000015&amp;urn=urn:telelogic::1-52394082008461e6-O-8715-00059142","BSW_SWS_AR4_0_R2_DIODriver-8715")</f>
        <v>BSW_SWS_AR4_0_R2_DIODriver-8715</v>
      </c>
    </row>
    <row r="1199" spans="1:20" x14ac:dyDescent="0.2">
      <c r="A1199" t="s">
        <v>3321</v>
      </c>
      <c r="B1199" t="s">
        <v>1617</v>
      </c>
      <c r="C1199" t="s">
        <v>3322</v>
      </c>
      <c r="D1199" s="5" t="s">
        <v>3202</v>
      </c>
      <c r="K1199" t="s">
        <v>618</v>
      </c>
      <c r="P1199" t="s">
        <v>619</v>
      </c>
      <c r="Q1199" t="s">
        <v>620</v>
      </c>
      <c r="R1199" t="s">
        <v>1860</v>
      </c>
      <c r="T1199" s="3" t="str">
        <f>HYPERLINK("doors://fe-dorapcm3.de.bosch.com:36679/?version=2&amp;prodID=0&amp;view=00000015&amp;urn=urn:telelogic::1-52394082008461e6-O-8717-00059142","BSW_SWS_AR4_0_R2_DIODriver-8717")</f>
        <v>BSW_SWS_AR4_0_R2_DIODriver-8717</v>
      </c>
    </row>
    <row r="1200" spans="1:20" x14ac:dyDescent="0.2">
      <c r="A1200" t="s">
        <v>3323</v>
      </c>
      <c r="B1200" t="s">
        <v>1617</v>
      </c>
      <c r="C1200" t="s">
        <v>3324</v>
      </c>
      <c r="D1200" s="5" t="s">
        <v>3205</v>
      </c>
      <c r="K1200" t="s">
        <v>618</v>
      </c>
      <c r="P1200" t="s">
        <v>619</v>
      </c>
      <c r="Q1200" t="s">
        <v>620</v>
      </c>
      <c r="R1200" t="s">
        <v>1860</v>
      </c>
      <c r="T1200" s="3" t="str">
        <f>HYPERLINK("doors://fe-dorapcm3.de.bosch.com:36679/?version=2&amp;prodID=0&amp;view=00000015&amp;urn=urn:telelogic::1-52394082008461e6-O-8718-00059142","BSW_SWS_AR4_0_R2_DIODriver-8718")</f>
        <v>BSW_SWS_AR4_0_R2_DIODriver-8718</v>
      </c>
    </row>
    <row r="1201" spans="1:20" x14ac:dyDescent="0.2">
      <c r="A1201" t="s">
        <v>3325</v>
      </c>
      <c r="B1201" t="s">
        <v>1617</v>
      </c>
      <c r="C1201" t="s">
        <v>3326</v>
      </c>
      <c r="D1201" t="s">
        <v>3208</v>
      </c>
      <c r="K1201" t="s">
        <v>618</v>
      </c>
      <c r="P1201" t="s">
        <v>619</v>
      </c>
      <c r="Q1201" t="s">
        <v>620</v>
      </c>
      <c r="R1201" t="s">
        <v>1860</v>
      </c>
      <c r="T1201" s="3" t="str">
        <f>HYPERLINK("doors://fe-dorapcm3.de.bosch.com:36679/?version=2&amp;prodID=0&amp;view=00000015&amp;urn=urn:telelogic::1-52394082008461e6-O-8719-00059142","BSW_SWS_AR4_0_R2_DIODriver-8719")</f>
        <v>BSW_SWS_AR4_0_R2_DIODriver-8719</v>
      </c>
    </row>
    <row r="1202" spans="1:20" x14ac:dyDescent="0.2">
      <c r="A1202" t="s">
        <v>3327</v>
      </c>
      <c r="B1202" t="s">
        <v>1617</v>
      </c>
      <c r="C1202" t="s">
        <v>3328</v>
      </c>
      <c r="D1202" t="s">
        <v>3211</v>
      </c>
      <c r="K1202" t="s">
        <v>618</v>
      </c>
      <c r="P1202" t="s">
        <v>619</v>
      </c>
      <c r="Q1202" t="s">
        <v>620</v>
      </c>
      <c r="R1202" t="s">
        <v>1860</v>
      </c>
      <c r="T1202" s="3" t="str">
        <f>HYPERLINK("doors://fe-dorapcm3.de.bosch.com:36679/?version=2&amp;prodID=0&amp;view=00000015&amp;urn=urn:telelogic::1-52394082008461e6-O-8720-00059142","BSW_SWS_AR4_0_R2_DIODriver-8720")</f>
        <v>BSW_SWS_AR4_0_R2_DIODriver-8720</v>
      </c>
    </row>
    <row r="1203" spans="1:20" x14ac:dyDescent="0.2">
      <c r="A1203" t="s">
        <v>3329</v>
      </c>
      <c r="B1203" t="s">
        <v>1617</v>
      </c>
      <c r="C1203" t="s">
        <v>3330</v>
      </c>
      <c r="K1203" t="s">
        <v>618</v>
      </c>
      <c r="P1203" t="s">
        <v>619</v>
      </c>
      <c r="Q1203" t="s">
        <v>620</v>
      </c>
      <c r="R1203" t="s">
        <v>1860</v>
      </c>
      <c r="T1203" s="3" t="str">
        <f>HYPERLINK("doors://fe-dorapcm3.de.bosch.com:36679/?version=2&amp;prodID=0&amp;view=00000015&amp;urn=urn:telelogic::1-52394082008461e6-O-8722-00059142","BSW_SWS_AR4_0_R2_DIODriver-8722")</f>
        <v>BSW_SWS_AR4_0_R2_DIODriver-8722</v>
      </c>
    </row>
    <row r="1204" spans="1:20" x14ac:dyDescent="0.2">
      <c r="A1204" t="s">
        <v>3331</v>
      </c>
      <c r="B1204" t="s">
        <v>1617</v>
      </c>
      <c r="C1204" t="s">
        <v>3332</v>
      </c>
      <c r="D1204" s="5" t="s">
        <v>3216</v>
      </c>
      <c r="K1204" t="s">
        <v>618</v>
      </c>
      <c r="P1204" t="s">
        <v>619</v>
      </c>
      <c r="Q1204" t="s">
        <v>620</v>
      </c>
      <c r="R1204" t="s">
        <v>1860</v>
      </c>
      <c r="T1204" s="3" t="str">
        <f>HYPERLINK("doors://fe-dorapcm3.de.bosch.com:36679/?version=2&amp;prodID=0&amp;view=00000015&amp;urn=urn:telelogic::1-52394082008461e6-O-8723-00059142","BSW_SWS_AR4_0_R2_DIODriver-8723")</f>
        <v>BSW_SWS_AR4_0_R2_DIODriver-8723</v>
      </c>
    </row>
    <row r="1205" spans="1:20" x14ac:dyDescent="0.2">
      <c r="A1205" t="s">
        <v>3333</v>
      </c>
      <c r="B1205" t="s">
        <v>1617</v>
      </c>
      <c r="C1205" t="s">
        <v>3334</v>
      </c>
      <c r="D1205" t="s">
        <v>3199</v>
      </c>
      <c r="K1205" t="s">
        <v>618</v>
      </c>
      <c r="P1205" t="s">
        <v>619</v>
      </c>
      <c r="Q1205" t="s">
        <v>620</v>
      </c>
      <c r="R1205" t="s">
        <v>1860</v>
      </c>
      <c r="T1205" s="3" t="str">
        <f>HYPERLINK("doors://fe-dorapcm3.de.bosch.com:36679/?version=2&amp;prodID=0&amp;view=00000015&amp;urn=urn:telelogic::1-52394082008461e6-O-8724-00059142","BSW_SWS_AR4_0_R2_DIODriver-8724")</f>
        <v>BSW_SWS_AR4_0_R2_DIODriver-8724</v>
      </c>
    </row>
    <row r="1206" spans="1:20" x14ac:dyDescent="0.2">
      <c r="A1206" t="s">
        <v>3335</v>
      </c>
      <c r="B1206" t="s">
        <v>1617</v>
      </c>
      <c r="C1206" t="s">
        <v>3336</v>
      </c>
      <c r="D1206" t="s">
        <v>3113</v>
      </c>
      <c r="K1206" t="s">
        <v>618</v>
      </c>
      <c r="P1206" t="s">
        <v>619</v>
      </c>
      <c r="Q1206" t="s">
        <v>620</v>
      </c>
      <c r="R1206" t="s">
        <v>1860</v>
      </c>
      <c r="T1206" s="3" t="str">
        <f>HYPERLINK("doors://fe-dorapcm3.de.bosch.com:36679/?version=2&amp;prodID=0&amp;view=00000015&amp;urn=urn:telelogic::1-52394082008461e6-O-8725-00059142","BSW_SWS_AR4_0_R2_DIODriver-8725")</f>
        <v>BSW_SWS_AR4_0_R2_DIODriver-8725</v>
      </c>
    </row>
    <row r="1207" spans="1:20" x14ac:dyDescent="0.2">
      <c r="A1207" t="s">
        <v>3337</v>
      </c>
      <c r="B1207" t="s">
        <v>1617</v>
      </c>
      <c r="C1207" t="s">
        <v>3338</v>
      </c>
      <c r="K1207" t="s">
        <v>618</v>
      </c>
      <c r="P1207" t="s">
        <v>619</v>
      </c>
      <c r="Q1207" t="s">
        <v>620</v>
      </c>
      <c r="R1207" t="s">
        <v>1860</v>
      </c>
      <c r="T1207" s="3" t="str">
        <f>HYPERLINK("doors://fe-dorapcm3.de.bosch.com:36679/?version=2&amp;prodID=0&amp;view=00000015&amp;urn=urn:telelogic::1-52394082008461e6-O-8727-00059142","BSW_SWS_AR4_0_R2_DIODriver-8727")</f>
        <v>BSW_SWS_AR4_0_R2_DIODriver-8727</v>
      </c>
    </row>
    <row r="1208" spans="1:20" x14ac:dyDescent="0.2">
      <c r="A1208" t="s">
        <v>3339</v>
      </c>
      <c r="B1208" t="s">
        <v>1617</v>
      </c>
      <c r="C1208" t="s">
        <v>3340</v>
      </c>
      <c r="D1208" s="5" t="s">
        <v>3225</v>
      </c>
      <c r="K1208" t="s">
        <v>618</v>
      </c>
      <c r="P1208" t="s">
        <v>619</v>
      </c>
      <c r="Q1208" t="s">
        <v>620</v>
      </c>
      <c r="R1208" t="s">
        <v>1860</v>
      </c>
      <c r="T1208" s="3" t="str">
        <f>HYPERLINK("doors://fe-dorapcm3.de.bosch.com:36679/?version=2&amp;prodID=0&amp;view=00000015&amp;urn=urn:telelogic::1-52394082008461e6-O-8728-00059142","BSW_SWS_AR4_0_R2_DIODriver-8728")</f>
        <v>BSW_SWS_AR4_0_R2_DIODriver-8728</v>
      </c>
    </row>
    <row r="1209" spans="1:20" x14ac:dyDescent="0.2">
      <c r="A1209" t="s">
        <v>3341</v>
      </c>
      <c r="B1209" t="s">
        <v>1617</v>
      </c>
      <c r="C1209" t="s">
        <v>3342</v>
      </c>
      <c r="D1209" t="s">
        <v>3199</v>
      </c>
      <c r="K1209" t="s">
        <v>618</v>
      </c>
      <c r="P1209" t="s">
        <v>619</v>
      </c>
      <c r="Q1209" t="s">
        <v>620</v>
      </c>
      <c r="R1209" t="s">
        <v>1860</v>
      </c>
      <c r="T1209" s="3" t="str">
        <f>HYPERLINK("doors://fe-dorapcm3.de.bosch.com:36679/?version=2&amp;prodID=0&amp;view=00000015&amp;urn=urn:telelogic::1-52394082008461e6-O-8729-00059142","BSW_SWS_AR4_0_R2_DIODriver-8729")</f>
        <v>BSW_SWS_AR4_0_R2_DIODriver-8729</v>
      </c>
    </row>
    <row r="1210" spans="1:20" x14ac:dyDescent="0.2">
      <c r="A1210" t="s">
        <v>3343</v>
      </c>
      <c r="B1210" t="s">
        <v>1617</v>
      </c>
      <c r="C1210" t="s">
        <v>3344</v>
      </c>
      <c r="D1210" t="s">
        <v>3113</v>
      </c>
      <c r="K1210" t="s">
        <v>618</v>
      </c>
      <c r="P1210" t="s">
        <v>619</v>
      </c>
      <c r="Q1210" t="s">
        <v>620</v>
      </c>
      <c r="R1210" t="s">
        <v>1860</v>
      </c>
      <c r="T1210" s="3" t="str">
        <f>HYPERLINK("doors://fe-dorapcm3.de.bosch.com:36679/?version=2&amp;prodID=0&amp;view=00000015&amp;urn=urn:telelogic::1-52394082008461e6-O-8730-00059142","BSW_SWS_AR4_0_R2_DIODriver-8730")</f>
        <v>BSW_SWS_AR4_0_R2_DIODriver-8730</v>
      </c>
    </row>
    <row r="1211" spans="1:20" x14ac:dyDescent="0.2">
      <c r="A1211" t="s">
        <v>3345</v>
      </c>
      <c r="B1211" t="s">
        <v>1617</v>
      </c>
      <c r="C1211" t="s">
        <v>3346</v>
      </c>
      <c r="D1211" s="5" t="s">
        <v>3125</v>
      </c>
      <c r="K1211" t="s">
        <v>618</v>
      </c>
      <c r="P1211" t="s">
        <v>619</v>
      </c>
      <c r="Q1211" t="s">
        <v>620</v>
      </c>
      <c r="R1211" t="s">
        <v>1860</v>
      </c>
      <c r="T1211" s="3" t="str">
        <f>HYPERLINK("doors://fe-dorapcm3.de.bosch.com:36679/?version=2&amp;prodID=0&amp;view=00000015&amp;urn=urn:telelogic::1-52394082008461e6-O-8732-00059142","BSW_SWS_AR4_0_R2_DIODriver-8732")</f>
        <v>BSW_SWS_AR4_0_R2_DIODriver-8732</v>
      </c>
    </row>
    <row r="1212" spans="1:20" x14ac:dyDescent="0.2">
      <c r="A1212" t="s">
        <v>3347</v>
      </c>
      <c r="B1212" t="s">
        <v>1617</v>
      </c>
      <c r="C1212" t="s">
        <v>3348</v>
      </c>
      <c r="D1212" t="s">
        <v>3234</v>
      </c>
      <c r="K1212" t="s">
        <v>618</v>
      </c>
      <c r="P1212" t="s">
        <v>619</v>
      </c>
      <c r="Q1212" t="s">
        <v>620</v>
      </c>
      <c r="R1212" t="s">
        <v>1860</v>
      </c>
      <c r="T1212" s="3" t="str">
        <f>HYPERLINK("doors://fe-dorapcm3.de.bosch.com:36679/?version=2&amp;prodID=0&amp;view=00000015&amp;urn=urn:telelogic::1-52394082008461e6-O-8733-00059142","BSW_SWS_AR4_0_R2_DIODriver-8733")</f>
        <v>BSW_SWS_AR4_0_R2_DIODriver-8733</v>
      </c>
    </row>
    <row r="1213" spans="1:20" x14ac:dyDescent="0.2">
      <c r="A1213" t="s">
        <v>3349</v>
      </c>
      <c r="B1213" t="s">
        <v>614</v>
      </c>
      <c r="C1213" t="s">
        <v>3350</v>
      </c>
      <c r="D1213" t="s">
        <v>3113</v>
      </c>
      <c r="J1213" t="s">
        <v>617</v>
      </c>
      <c r="K1213" t="s">
        <v>618</v>
      </c>
      <c r="P1213" t="s">
        <v>619</v>
      </c>
      <c r="Q1213" t="s">
        <v>620</v>
      </c>
      <c r="R1213" t="s">
        <v>621</v>
      </c>
      <c r="S1213" t="s">
        <v>622</v>
      </c>
      <c r="T1213" s="3" t="str">
        <f>HYPERLINK("doors://fe-dorapcm3.de.bosch.com:36679/?version=2&amp;prodID=0&amp;view=00000015&amp;urn=urn:telelogic::1-52394082008461e6-O-8734-00059142","BSW_SWS_AR4_0_R2_DIODriver-8734")</f>
        <v>BSW_SWS_AR4_0_R2_DIODriver-8734</v>
      </c>
    </row>
    <row r="1214" spans="1:20" x14ac:dyDescent="0.2">
      <c r="A1214" t="s">
        <v>3351</v>
      </c>
      <c r="B1214" t="s">
        <v>1617</v>
      </c>
      <c r="C1214" t="s">
        <v>3352</v>
      </c>
      <c r="D1214" s="5" t="s">
        <v>3353</v>
      </c>
      <c r="K1214" t="s">
        <v>618</v>
      </c>
      <c r="P1214" t="s">
        <v>619</v>
      </c>
      <c r="Q1214" t="s">
        <v>620</v>
      </c>
      <c r="R1214" t="s">
        <v>1860</v>
      </c>
      <c r="T1214" s="3" t="str">
        <f>HYPERLINK("doors://fe-dorapcm3.de.bosch.com:36679/?version=2&amp;prodID=0&amp;view=00000015&amp;urn=urn:telelogic::1-52394082008461e6-O-8737-00059142","BSW_SWS_AR4_0_R2_DIODriver-8737")</f>
        <v>BSW_SWS_AR4_0_R2_DIODriver-8737</v>
      </c>
    </row>
    <row r="1215" spans="1:20" x14ac:dyDescent="0.2">
      <c r="A1215" t="s">
        <v>3354</v>
      </c>
      <c r="B1215" t="s">
        <v>76</v>
      </c>
      <c r="C1215" t="s">
        <v>3355</v>
      </c>
      <c r="D1215" t="s">
        <v>3113</v>
      </c>
      <c r="T1215" s="3" t="str">
        <f>HYPERLINK("doors://fe-dorapcm3.de.bosch.com:36679/?version=2&amp;prodID=0&amp;view=00000015&amp;urn=urn:telelogic::1-52394082008461e6-O-8738-00059142","BSW_SWS_AR4_0_R2_DIODriver-8738")</f>
        <v>BSW_SWS_AR4_0_R2_DIODriver-8738</v>
      </c>
    </row>
    <row r="1216" spans="1:20" x14ac:dyDescent="0.2">
      <c r="A1216" t="s">
        <v>3356</v>
      </c>
      <c r="B1216" t="s">
        <v>614</v>
      </c>
      <c r="C1216" t="s">
        <v>3357</v>
      </c>
      <c r="D1216" s="2" t="s">
        <v>3358</v>
      </c>
      <c r="J1216" s="2" t="s">
        <v>617</v>
      </c>
      <c r="K1216" t="s">
        <v>618</v>
      </c>
      <c r="P1216" t="s">
        <v>619</v>
      </c>
      <c r="Q1216" s="2" t="s">
        <v>1606</v>
      </c>
      <c r="R1216" t="s">
        <v>621</v>
      </c>
      <c r="S1216" s="2" t="s">
        <v>622</v>
      </c>
      <c r="T1216" s="3" t="str">
        <f>HYPERLINK("doors://fe-dorapcm3.de.bosch.com:36679/?version=2&amp;prodID=0&amp;view=00000015&amp;urn=urn:telelogic::1-52394082008461e6-O-8739-00059142","BSW_SWS_AR4_0_R2_DIODriver-8739")</f>
        <v>BSW_SWS_AR4_0_R2_DIODriver-8739</v>
      </c>
    </row>
    <row r="1217" spans="1:20" x14ac:dyDescent="0.2">
      <c r="A1217" t="s">
        <v>3359</v>
      </c>
      <c r="B1217" t="s">
        <v>1617</v>
      </c>
      <c r="C1217" t="s">
        <v>3360</v>
      </c>
      <c r="D1217" s="5" t="s">
        <v>3149</v>
      </c>
      <c r="K1217" t="s">
        <v>618</v>
      </c>
      <c r="P1217" t="s">
        <v>619</v>
      </c>
      <c r="Q1217" t="s">
        <v>620</v>
      </c>
      <c r="R1217" t="s">
        <v>1860</v>
      </c>
      <c r="T1217" s="3" t="str">
        <f>HYPERLINK("doors://fe-dorapcm3.de.bosch.com:36679/?version=2&amp;prodID=0&amp;view=00000015&amp;urn=urn:telelogic::1-52394082008461e6-O-8742-00059142","BSW_SWS_AR4_0_R2_DIODriver-8742")</f>
        <v>BSW_SWS_AR4_0_R2_DIODriver-8742</v>
      </c>
    </row>
    <row r="1218" spans="1:20" x14ac:dyDescent="0.2">
      <c r="A1218" t="s">
        <v>3361</v>
      </c>
      <c r="B1218" t="s">
        <v>1617</v>
      </c>
      <c r="C1218" t="s">
        <v>3362</v>
      </c>
      <c r="D1218" s="2" t="s">
        <v>3363</v>
      </c>
      <c r="K1218" t="s">
        <v>618</v>
      </c>
      <c r="P1218" t="s">
        <v>619</v>
      </c>
      <c r="Q1218" t="s">
        <v>620</v>
      </c>
      <c r="R1218" t="s">
        <v>1860</v>
      </c>
      <c r="T1218" s="3" t="str">
        <f>HYPERLINK("doors://fe-dorapcm3.de.bosch.com:36679/?version=2&amp;prodID=0&amp;view=00000015&amp;urn=urn:telelogic::1-52394082008461e6-O-8743-00059142","BSW_SWS_AR4_0_R2_DIODriver-8743")</f>
        <v>BSW_SWS_AR4_0_R2_DIODriver-8743</v>
      </c>
    </row>
    <row r="1219" spans="1:20" x14ac:dyDescent="0.2">
      <c r="A1219" t="s">
        <v>3364</v>
      </c>
      <c r="B1219" t="s">
        <v>1617</v>
      </c>
      <c r="C1219" t="s">
        <v>3365</v>
      </c>
      <c r="D1219" s="5" t="s">
        <v>3119</v>
      </c>
      <c r="K1219" t="s">
        <v>618</v>
      </c>
      <c r="P1219" t="s">
        <v>619</v>
      </c>
      <c r="Q1219" t="s">
        <v>620</v>
      </c>
      <c r="R1219" t="s">
        <v>1860</v>
      </c>
      <c r="T1219" s="3" t="str">
        <f>HYPERLINK("doors://fe-dorapcm3.de.bosch.com:36679/?version=2&amp;prodID=0&amp;view=00000015&amp;urn=urn:telelogic::1-52394082008461e6-O-8745-00059142","BSW_SWS_AR4_0_R2_DIODriver-8745")</f>
        <v>BSW_SWS_AR4_0_R2_DIODriver-8745</v>
      </c>
    </row>
    <row r="1220" spans="1:20" x14ac:dyDescent="0.2">
      <c r="A1220" t="s">
        <v>3366</v>
      </c>
      <c r="B1220" t="s">
        <v>1617</v>
      </c>
      <c r="C1220" t="s">
        <v>3367</v>
      </c>
      <c r="D1220" t="s">
        <v>3368</v>
      </c>
      <c r="K1220" t="s">
        <v>618</v>
      </c>
      <c r="P1220" t="s">
        <v>619</v>
      </c>
      <c r="Q1220" t="s">
        <v>620</v>
      </c>
      <c r="R1220" t="s">
        <v>1860</v>
      </c>
      <c r="T1220" s="3" t="str">
        <f>HYPERLINK("doors://fe-dorapcm3.de.bosch.com:36679/?version=2&amp;prodID=0&amp;view=00000015&amp;urn=urn:telelogic::1-52394082008461e6-O-8746-00059142","BSW_SWS_AR4_0_R2_DIODriver-8746")</f>
        <v>BSW_SWS_AR4_0_R2_DIODriver-8746</v>
      </c>
    </row>
    <row r="1221" spans="1:20" x14ac:dyDescent="0.2">
      <c r="A1221" t="s">
        <v>3369</v>
      </c>
      <c r="B1221" t="s">
        <v>1617</v>
      </c>
      <c r="C1221" t="s">
        <v>3370</v>
      </c>
      <c r="D1221" s="5" t="s">
        <v>3159</v>
      </c>
      <c r="K1221" t="s">
        <v>618</v>
      </c>
      <c r="P1221" t="s">
        <v>619</v>
      </c>
      <c r="Q1221" t="s">
        <v>620</v>
      </c>
      <c r="R1221" t="s">
        <v>1860</v>
      </c>
      <c r="T1221" s="3" t="str">
        <f>HYPERLINK("doors://fe-dorapcm3.de.bosch.com:36679/?version=2&amp;prodID=0&amp;view=00000015&amp;urn=urn:telelogic::1-52394082008461e6-O-8748-00059142","BSW_SWS_AR4_0_R2_DIODriver-8748")</f>
        <v>BSW_SWS_AR4_0_R2_DIODriver-8748</v>
      </c>
    </row>
    <row r="1222" spans="1:20" x14ac:dyDescent="0.2">
      <c r="A1222" t="s">
        <v>3371</v>
      </c>
      <c r="B1222" t="s">
        <v>1617</v>
      </c>
      <c r="C1222" t="s">
        <v>3372</v>
      </c>
      <c r="D1222" t="s">
        <v>3373</v>
      </c>
      <c r="K1222" t="s">
        <v>618</v>
      </c>
      <c r="P1222" t="s">
        <v>619</v>
      </c>
      <c r="Q1222" t="s">
        <v>620</v>
      </c>
      <c r="R1222" t="s">
        <v>1860</v>
      </c>
      <c r="T1222" s="3" t="str">
        <f>HYPERLINK("doors://fe-dorapcm3.de.bosch.com:36679/?version=2&amp;prodID=0&amp;view=00000015&amp;urn=urn:telelogic::1-52394082008461e6-O-8749-00059142","BSW_SWS_AR4_0_R2_DIODriver-8749")</f>
        <v>BSW_SWS_AR4_0_R2_DIODriver-8749</v>
      </c>
    </row>
    <row r="1223" spans="1:20" x14ac:dyDescent="0.2">
      <c r="A1223" t="s">
        <v>3374</v>
      </c>
      <c r="B1223" t="s">
        <v>1617</v>
      </c>
      <c r="C1223" t="s">
        <v>3375</v>
      </c>
      <c r="D1223" s="5" t="s">
        <v>3165</v>
      </c>
      <c r="K1223" t="s">
        <v>618</v>
      </c>
      <c r="P1223" t="s">
        <v>619</v>
      </c>
      <c r="Q1223" t="s">
        <v>620</v>
      </c>
      <c r="R1223" t="s">
        <v>1860</v>
      </c>
      <c r="T1223" s="3" t="str">
        <f>HYPERLINK("doors://fe-dorapcm3.de.bosch.com:36679/?version=2&amp;prodID=0&amp;view=00000015&amp;urn=urn:telelogic::1-52394082008461e6-O-8751-00059142","BSW_SWS_AR4_0_R2_DIODriver-8751")</f>
        <v>BSW_SWS_AR4_0_R2_DIODriver-8751</v>
      </c>
    </row>
    <row r="1224" spans="1:20" x14ac:dyDescent="0.2">
      <c r="A1224" t="s">
        <v>3376</v>
      </c>
      <c r="B1224" t="s">
        <v>614</v>
      </c>
      <c r="C1224" t="s">
        <v>3377</v>
      </c>
      <c r="D1224" t="s">
        <v>3113</v>
      </c>
      <c r="K1224" t="s">
        <v>618</v>
      </c>
      <c r="P1224" t="s">
        <v>619</v>
      </c>
      <c r="Q1224" t="s">
        <v>651</v>
      </c>
      <c r="R1224" t="s">
        <v>621</v>
      </c>
      <c r="S1224" t="s">
        <v>622</v>
      </c>
      <c r="T1224" s="3" t="str">
        <f>HYPERLINK("doors://fe-dorapcm3.de.bosch.com:36679/?version=2&amp;prodID=0&amp;view=00000015&amp;urn=urn:telelogic::1-52394082008461e6-O-8752-00059142","BSW_SWS_AR4_0_R2_DIODriver-8752")</f>
        <v>BSW_SWS_AR4_0_R2_DIODriver-8752</v>
      </c>
    </row>
    <row r="1225" spans="1:20" x14ac:dyDescent="0.2">
      <c r="A1225" t="s">
        <v>3378</v>
      </c>
      <c r="B1225" t="s">
        <v>1617</v>
      </c>
      <c r="C1225" t="s">
        <v>3379</v>
      </c>
      <c r="D1225" s="5" t="s">
        <v>3149</v>
      </c>
      <c r="K1225" t="s">
        <v>618</v>
      </c>
      <c r="P1225" t="s">
        <v>619</v>
      </c>
      <c r="Q1225" t="s">
        <v>620</v>
      </c>
      <c r="R1225" t="s">
        <v>1860</v>
      </c>
      <c r="T1225" s="3" t="str">
        <f>HYPERLINK("doors://fe-dorapcm3.de.bosch.com:36679/?version=2&amp;prodID=0&amp;view=00000015&amp;urn=urn:telelogic::1-52394082008461e6-O-8755-00059142","BSW_SWS_AR4_0_R2_DIODriver-8755")</f>
        <v>BSW_SWS_AR4_0_R2_DIODriver-8755</v>
      </c>
    </row>
    <row r="1226" spans="1:20" x14ac:dyDescent="0.2">
      <c r="A1226" t="s">
        <v>3380</v>
      </c>
      <c r="B1226" t="s">
        <v>1617</v>
      </c>
      <c r="C1226" t="s">
        <v>3381</v>
      </c>
      <c r="D1226" s="2" t="s">
        <v>3382</v>
      </c>
      <c r="K1226" t="s">
        <v>618</v>
      </c>
      <c r="P1226" t="s">
        <v>619</v>
      </c>
      <c r="Q1226" t="s">
        <v>620</v>
      </c>
      <c r="R1226" t="s">
        <v>1860</v>
      </c>
      <c r="T1226" s="3" t="str">
        <f>HYPERLINK("doors://fe-dorapcm3.de.bosch.com:36679/?version=2&amp;prodID=0&amp;view=00000015&amp;urn=urn:telelogic::1-52394082008461e6-O-8756-00059142","BSW_SWS_AR4_0_R2_DIODriver-8756")</f>
        <v>BSW_SWS_AR4_0_R2_DIODriver-8756</v>
      </c>
    </row>
    <row r="1227" spans="1:20" ht="25.5" x14ac:dyDescent="0.2">
      <c r="A1227" t="s">
        <v>3383</v>
      </c>
      <c r="B1227" t="s">
        <v>1617</v>
      </c>
      <c r="C1227" t="s">
        <v>3384</v>
      </c>
      <c r="D1227" s="6" t="s">
        <v>3175</v>
      </c>
      <c r="K1227" t="s">
        <v>618</v>
      </c>
      <c r="P1227" t="s">
        <v>619</v>
      </c>
      <c r="Q1227" t="s">
        <v>620</v>
      </c>
      <c r="R1227" t="s">
        <v>1860</v>
      </c>
      <c r="T1227" s="3" t="str">
        <f>HYPERLINK("doors://fe-dorapcm3.de.bosch.com:36679/?version=2&amp;prodID=0&amp;view=00000015&amp;urn=urn:telelogic::1-52394082008461e6-O-8758-00059142","BSW_SWS_AR4_0_R2_DIODriver-8758")</f>
        <v>BSW_SWS_AR4_0_R2_DIODriver-8758</v>
      </c>
    </row>
    <row r="1228" spans="1:20" x14ac:dyDescent="0.2">
      <c r="A1228" t="s">
        <v>3385</v>
      </c>
      <c r="B1228" t="s">
        <v>1617</v>
      </c>
      <c r="C1228" t="s">
        <v>3386</v>
      </c>
      <c r="D1228" t="s">
        <v>3387</v>
      </c>
      <c r="K1228" t="s">
        <v>618</v>
      </c>
      <c r="P1228" t="s">
        <v>619</v>
      </c>
      <c r="Q1228" t="s">
        <v>620</v>
      </c>
      <c r="R1228" t="s">
        <v>1860</v>
      </c>
      <c r="T1228" s="3" t="str">
        <f>HYPERLINK("doors://fe-dorapcm3.de.bosch.com:36679/?version=2&amp;prodID=0&amp;view=00000015&amp;urn=urn:telelogic::1-52394082008461e6-O-8759-00059142","BSW_SWS_AR4_0_R2_DIODriver-8759")</f>
        <v>BSW_SWS_AR4_0_R2_DIODriver-8759</v>
      </c>
    </row>
    <row r="1229" spans="1:20" x14ac:dyDescent="0.2">
      <c r="A1229" t="s">
        <v>3388</v>
      </c>
      <c r="B1229" t="s">
        <v>1617</v>
      </c>
      <c r="C1229" t="s">
        <v>3389</v>
      </c>
      <c r="D1229" s="5" t="s">
        <v>3159</v>
      </c>
      <c r="K1229" t="s">
        <v>618</v>
      </c>
      <c r="P1229" t="s">
        <v>619</v>
      </c>
      <c r="Q1229" t="s">
        <v>620</v>
      </c>
      <c r="R1229" t="s">
        <v>1860</v>
      </c>
      <c r="T1229" s="3" t="str">
        <f>HYPERLINK("doors://fe-dorapcm3.de.bosch.com:36679/?version=2&amp;prodID=0&amp;view=00000015&amp;urn=urn:telelogic::1-52394082008461e6-O-8761-00059142","BSW_SWS_AR4_0_R2_DIODriver-8761")</f>
        <v>BSW_SWS_AR4_0_R2_DIODriver-8761</v>
      </c>
    </row>
    <row r="1230" spans="1:20" x14ac:dyDescent="0.2">
      <c r="A1230" t="s">
        <v>3390</v>
      </c>
      <c r="B1230" t="s">
        <v>1617</v>
      </c>
      <c r="C1230" t="s">
        <v>3391</v>
      </c>
      <c r="D1230" t="s">
        <v>3392</v>
      </c>
      <c r="K1230" t="s">
        <v>618</v>
      </c>
      <c r="P1230" t="s">
        <v>619</v>
      </c>
      <c r="Q1230" t="s">
        <v>620</v>
      </c>
      <c r="R1230" t="s">
        <v>1860</v>
      </c>
      <c r="T1230" s="3" t="str">
        <f>HYPERLINK("doors://fe-dorapcm3.de.bosch.com:36679/?version=2&amp;prodID=0&amp;view=00000015&amp;urn=urn:telelogic::1-52394082008461e6-O-8762-00059142","BSW_SWS_AR4_0_R2_DIODriver-8762")</f>
        <v>BSW_SWS_AR4_0_R2_DIODriver-8762</v>
      </c>
    </row>
    <row r="1231" spans="1:20" x14ac:dyDescent="0.2">
      <c r="A1231" t="s">
        <v>3393</v>
      </c>
      <c r="B1231" t="s">
        <v>1617</v>
      </c>
      <c r="C1231" t="s">
        <v>3394</v>
      </c>
      <c r="D1231" s="5" t="s">
        <v>3122</v>
      </c>
      <c r="K1231" t="s">
        <v>618</v>
      </c>
      <c r="P1231" t="s">
        <v>619</v>
      </c>
      <c r="Q1231" t="s">
        <v>620</v>
      </c>
      <c r="R1231" t="s">
        <v>1860</v>
      </c>
      <c r="T1231" s="3" t="str">
        <f>HYPERLINK("doors://fe-dorapcm3.de.bosch.com:36679/?version=2&amp;prodID=0&amp;view=00000015&amp;urn=urn:telelogic::1-52394082008461e6-O-8764-00059142","BSW_SWS_AR4_0_R2_DIODriver-8764")</f>
        <v>BSW_SWS_AR4_0_R2_DIODriver-8764</v>
      </c>
    </row>
    <row r="1232" spans="1:20" x14ac:dyDescent="0.2">
      <c r="A1232" t="s">
        <v>3395</v>
      </c>
      <c r="B1232" t="s">
        <v>1617</v>
      </c>
      <c r="C1232" t="s">
        <v>3396</v>
      </c>
      <c r="D1232">
        <v>1</v>
      </c>
      <c r="K1232" t="s">
        <v>618</v>
      </c>
      <c r="P1232" t="s">
        <v>619</v>
      </c>
      <c r="Q1232" t="s">
        <v>620</v>
      </c>
      <c r="R1232" t="s">
        <v>1860</v>
      </c>
      <c r="T1232" s="3" t="str">
        <f>HYPERLINK("doors://fe-dorapcm3.de.bosch.com:36679/?version=2&amp;prodID=0&amp;view=00000015&amp;urn=urn:telelogic::1-52394082008461e6-O-8765-00059142","BSW_SWS_AR4_0_R2_DIODriver-8765")</f>
        <v>BSW_SWS_AR4_0_R2_DIODriver-8765</v>
      </c>
    </row>
    <row r="1233" spans="1:20" x14ac:dyDescent="0.2">
      <c r="A1233" t="s">
        <v>3397</v>
      </c>
      <c r="B1233" t="s">
        <v>1617</v>
      </c>
      <c r="C1233" t="s">
        <v>3398</v>
      </c>
      <c r="D1233" s="5" t="s">
        <v>3190</v>
      </c>
      <c r="K1233" t="s">
        <v>618</v>
      </c>
      <c r="P1233" t="s">
        <v>619</v>
      </c>
      <c r="Q1233" t="s">
        <v>620</v>
      </c>
      <c r="R1233" t="s">
        <v>1860</v>
      </c>
      <c r="T1233" s="3" t="str">
        <f>HYPERLINK("doors://fe-dorapcm3.de.bosch.com:36679/?version=2&amp;prodID=0&amp;view=00000015&amp;urn=urn:telelogic::1-52394082008461e6-O-8767-00059142","BSW_SWS_AR4_0_R2_DIODriver-8767")</f>
        <v>BSW_SWS_AR4_0_R2_DIODriver-8767</v>
      </c>
    </row>
    <row r="1234" spans="1:20" x14ac:dyDescent="0.2">
      <c r="A1234" t="s">
        <v>3399</v>
      </c>
      <c r="B1234" t="s">
        <v>1617</v>
      </c>
      <c r="C1234" t="s">
        <v>3400</v>
      </c>
      <c r="D1234" t="s">
        <v>3401</v>
      </c>
      <c r="K1234" t="s">
        <v>618</v>
      </c>
      <c r="P1234" t="s">
        <v>619</v>
      </c>
      <c r="Q1234" t="s">
        <v>620</v>
      </c>
      <c r="R1234" t="s">
        <v>1860</v>
      </c>
      <c r="T1234" s="3" t="str">
        <f>HYPERLINK("doors://fe-dorapcm3.de.bosch.com:36679/?version=2&amp;prodID=0&amp;view=00000015&amp;urn=urn:telelogic::1-52394082008461e6-O-8768-00059142","BSW_SWS_AR4_0_R2_DIODriver-8768")</f>
        <v>BSW_SWS_AR4_0_R2_DIODriver-8768</v>
      </c>
    </row>
    <row r="1235" spans="1:20" x14ac:dyDescent="0.2">
      <c r="A1235" t="s">
        <v>3402</v>
      </c>
      <c r="B1235" t="s">
        <v>1617</v>
      </c>
      <c r="C1235" t="s">
        <v>3403</v>
      </c>
      <c r="D1235" s="5" t="s">
        <v>3404</v>
      </c>
      <c r="K1235" t="s">
        <v>618</v>
      </c>
      <c r="P1235" t="s">
        <v>619</v>
      </c>
      <c r="Q1235" t="s">
        <v>620</v>
      </c>
      <c r="R1235" t="s">
        <v>1860</v>
      </c>
      <c r="T1235" s="3" t="str">
        <f>HYPERLINK("doors://fe-dorapcm3.de.bosch.com:36679/?version=2&amp;prodID=0&amp;view=00000015&amp;urn=urn:telelogic::1-52394082008461e6-O-8770-00059142","BSW_SWS_AR4_0_R2_DIODriver-8770")</f>
        <v>BSW_SWS_AR4_0_R2_DIODriver-8770</v>
      </c>
    </row>
    <row r="1236" spans="1:20" x14ac:dyDescent="0.2">
      <c r="A1236" t="s">
        <v>3405</v>
      </c>
      <c r="B1236" t="s">
        <v>1617</v>
      </c>
      <c r="C1236" t="s">
        <v>3406</v>
      </c>
      <c r="D1236" t="s">
        <v>3407</v>
      </c>
      <c r="K1236" t="s">
        <v>618</v>
      </c>
      <c r="P1236" t="s">
        <v>619</v>
      </c>
      <c r="Q1236" t="s">
        <v>620</v>
      </c>
      <c r="R1236" t="s">
        <v>1860</v>
      </c>
      <c r="T1236" s="3" t="str">
        <f>HYPERLINK("doors://fe-dorapcm3.de.bosch.com:36679/?version=2&amp;prodID=0&amp;view=00000015&amp;urn=urn:telelogic::1-52394082008461e6-O-8771-00059142","BSW_SWS_AR4_0_R2_DIODriver-8771")</f>
        <v>BSW_SWS_AR4_0_R2_DIODriver-8771</v>
      </c>
    </row>
    <row r="1237" spans="1:20" x14ac:dyDescent="0.2">
      <c r="A1237" t="s">
        <v>3408</v>
      </c>
      <c r="B1237" t="s">
        <v>1617</v>
      </c>
      <c r="C1237" t="s">
        <v>3409</v>
      </c>
      <c r="D1237" t="s">
        <v>2755</v>
      </c>
      <c r="K1237" t="s">
        <v>618</v>
      </c>
      <c r="P1237" t="s">
        <v>619</v>
      </c>
      <c r="Q1237" t="s">
        <v>620</v>
      </c>
      <c r="R1237" t="s">
        <v>1860</v>
      </c>
      <c r="T1237" s="3" t="str">
        <f>HYPERLINK("doors://fe-dorapcm3.de.bosch.com:36679/?version=2&amp;prodID=0&amp;view=00000015&amp;urn=urn:telelogic::1-52394082008461e6-O-8772-00059142","BSW_SWS_AR4_0_R2_DIODriver-8772")</f>
        <v>BSW_SWS_AR4_0_R2_DIODriver-8772</v>
      </c>
    </row>
    <row r="1238" spans="1:20" x14ac:dyDescent="0.2">
      <c r="A1238" t="s">
        <v>3410</v>
      </c>
      <c r="B1238" t="s">
        <v>1617</v>
      </c>
      <c r="C1238" t="s">
        <v>3411</v>
      </c>
      <c r="D1238" s="5" t="s">
        <v>3196</v>
      </c>
      <c r="K1238" t="s">
        <v>618</v>
      </c>
      <c r="P1238" t="s">
        <v>619</v>
      </c>
      <c r="Q1238" t="s">
        <v>620</v>
      </c>
      <c r="R1238" t="s">
        <v>1860</v>
      </c>
      <c r="T1238" s="3" t="str">
        <f>HYPERLINK("doors://fe-dorapcm3.de.bosch.com:36679/?version=2&amp;prodID=0&amp;view=00000015&amp;urn=urn:telelogic::1-52394082008461e6-O-8774-00059142","BSW_SWS_AR4_0_R2_DIODriver-8774")</f>
        <v>BSW_SWS_AR4_0_R2_DIODriver-8774</v>
      </c>
    </row>
    <row r="1239" spans="1:20" x14ac:dyDescent="0.2">
      <c r="A1239" t="s">
        <v>3412</v>
      </c>
      <c r="B1239" t="s">
        <v>1617</v>
      </c>
      <c r="C1239" t="s">
        <v>3413</v>
      </c>
      <c r="D1239" t="s">
        <v>3199</v>
      </c>
      <c r="K1239" t="s">
        <v>618</v>
      </c>
      <c r="P1239" t="s">
        <v>619</v>
      </c>
      <c r="Q1239" t="s">
        <v>620</v>
      </c>
      <c r="R1239" t="s">
        <v>1860</v>
      </c>
      <c r="T1239" s="3" t="str">
        <f>HYPERLINK("doors://fe-dorapcm3.de.bosch.com:36679/?version=2&amp;prodID=0&amp;view=00000015&amp;urn=urn:telelogic::1-52394082008461e6-O-8775-00059142","BSW_SWS_AR4_0_R2_DIODriver-8775")</f>
        <v>BSW_SWS_AR4_0_R2_DIODriver-8775</v>
      </c>
    </row>
    <row r="1240" spans="1:20" x14ac:dyDescent="0.2">
      <c r="A1240" t="s">
        <v>3414</v>
      </c>
      <c r="B1240" t="s">
        <v>1617</v>
      </c>
      <c r="C1240" t="s">
        <v>3415</v>
      </c>
      <c r="D1240" s="5" t="s">
        <v>3202</v>
      </c>
      <c r="K1240" t="s">
        <v>618</v>
      </c>
      <c r="P1240" t="s">
        <v>619</v>
      </c>
      <c r="Q1240" t="s">
        <v>620</v>
      </c>
      <c r="R1240" t="s">
        <v>1860</v>
      </c>
      <c r="T1240" s="3" t="str">
        <f>HYPERLINK("doors://fe-dorapcm3.de.bosch.com:36679/?version=2&amp;prodID=0&amp;view=00000015&amp;urn=urn:telelogic::1-52394082008461e6-O-8777-00059142","BSW_SWS_AR4_0_R2_DIODriver-8777")</f>
        <v>BSW_SWS_AR4_0_R2_DIODriver-8777</v>
      </c>
    </row>
    <row r="1241" spans="1:20" x14ac:dyDescent="0.2">
      <c r="A1241" t="s">
        <v>3416</v>
      </c>
      <c r="B1241" t="s">
        <v>1617</v>
      </c>
      <c r="C1241" t="s">
        <v>3417</v>
      </c>
      <c r="D1241" s="5" t="s">
        <v>3205</v>
      </c>
      <c r="K1241" t="s">
        <v>618</v>
      </c>
      <c r="P1241" t="s">
        <v>619</v>
      </c>
      <c r="Q1241" t="s">
        <v>620</v>
      </c>
      <c r="R1241" t="s">
        <v>1860</v>
      </c>
      <c r="T1241" s="3" t="str">
        <f>HYPERLINK("doors://fe-dorapcm3.de.bosch.com:36679/?version=2&amp;prodID=0&amp;view=00000015&amp;urn=urn:telelogic::1-52394082008461e6-O-8778-00059142","BSW_SWS_AR4_0_R2_DIODriver-8778")</f>
        <v>BSW_SWS_AR4_0_R2_DIODriver-8778</v>
      </c>
    </row>
    <row r="1242" spans="1:20" x14ac:dyDescent="0.2">
      <c r="A1242" t="s">
        <v>3418</v>
      </c>
      <c r="B1242" t="s">
        <v>1617</v>
      </c>
      <c r="C1242" t="s">
        <v>3419</v>
      </c>
      <c r="D1242" t="s">
        <v>3208</v>
      </c>
      <c r="K1242" t="s">
        <v>618</v>
      </c>
      <c r="P1242" t="s">
        <v>619</v>
      </c>
      <c r="Q1242" t="s">
        <v>620</v>
      </c>
      <c r="R1242" t="s">
        <v>1860</v>
      </c>
      <c r="T1242" s="3" t="str">
        <f>HYPERLINK("doors://fe-dorapcm3.de.bosch.com:36679/?version=2&amp;prodID=0&amp;view=00000015&amp;urn=urn:telelogic::1-52394082008461e6-O-8779-00059142","BSW_SWS_AR4_0_R2_DIODriver-8779")</f>
        <v>BSW_SWS_AR4_0_R2_DIODriver-8779</v>
      </c>
    </row>
    <row r="1243" spans="1:20" x14ac:dyDescent="0.2">
      <c r="A1243" t="s">
        <v>3420</v>
      </c>
      <c r="B1243" t="s">
        <v>1617</v>
      </c>
      <c r="C1243" t="s">
        <v>3421</v>
      </c>
      <c r="D1243" t="s">
        <v>3422</v>
      </c>
      <c r="K1243" t="s">
        <v>618</v>
      </c>
      <c r="P1243" t="s">
        <v>619</v>
      </c>
      <c r="Q1243" t="s">
        <v>620</v>
      </c>
      <c r="R1243" t="s">
        <v>1860</v>
      </c>
      <c r="T1243" s="3" t="str">
        <f>HYPERLINK("doors://fe-dorapcm3.de.bosch.com:36679/?version=2&amp;prodID=0&amp;view=00000015&amp;urn=urn:telelogic::1-52394082008461e6-O-8780-00059142","BSW_SWS_AR4_0_R2_DIODriver-8780")</f>
        <v>BSW_SWS_AR4_0_R2_DIODriver-8780</v>
      </c>
    </row>
    <row r="1244" spans="1:20" x14ac:dyDescent="0.2">
      <c r="A1244" t="s">
        <v>3423</v>
      </c>
      <c r="B1244" t="s">
        <v>1617</v>
      </c>
      <c r="C1244" t="s">
        <v>3424</v>
      </c>
      <c r="K1244" t="s">
        <v>618</v>
      </c>
      <c r="P1244" t="s">
        <v>619</v>
      </c>
      <c r="Q1244" t="s">
        <v>620</v>
      </c>
      <c r="R1244" t="s">
        <v>1860</v>
      </c>
      <c r="T1244" s="3" t="str">
        <f>HYPERLINK("doors://fe-dorapcm3.de.bosch.com:36679/?version=2&amp;prodID=0&amp;view=00000015&amp;urn=urn:telelogic::1-52394082008461e6-O-8782-00059142","BSW_SWS_AR4_0_R2_DIODriver-8782")</f>
        <v>BSW_SWS_AR4_0_R2_DIODriver-8782</v>
      </c>
    </row>
    <row r="1245" spans="1:20" x14ac:dyDescent="0.2">
      <c r="A1245" t="s">
        <v>3425</v>
      </c>
      <c r="B1245" t="s">
        <v>1617</v>
      </c>
      <c r="C1245" t="s">
        <v>3426</v>
      </c>
      <c r="D1245" s="5" t="s">
        <v>3216</v>
      </c>
      <c r="K1245" t="s">
        <v>618</v>
      </c>
      <c r="P1245" t="s">
        <v>619</v>
      </c>
      <c r="Q1245" t="s">
        <v>620</v>
      </c>
      <c r="R1245" t="s">
        <v>1860</v>
      </c>
      <c r="T1245" s="3" t="str">
        <f>HYPERLINK("doors://fe-dorapcm3.de.bosch.com:36679/?version=2&amp;prodID=0&amp;view=00000015&amp;urn=urn:telelogic::1-52394082008461e6-O-8783-00059142","BSW_SWS_AR4_0_R2_DIODriver-8783")</f>
        <v>BSW_SWS_AR4_0_R2_DIODriver-8783</v>
      </c>
    </row>
    <row r="1246" spans="1:20" x14ac:dyDescent="0.2">
      <c r="A1246" t="s">
        <v>3427</v>
      </c>
      <c r="B1246" t="s">
        <v>1617</v>
      </c>
      <c r="C1246" t="s">
        <v>3428</v>
      </c>
      <c r="D1246" t="s">
        <v>3199</v>
      </c>
      <c r="K1246" t="s">
        <v>618</v>
      </c>
      <c r="P1246" t="s">
        <v>619</v>
      </c>
      <c r="Q1246" t="s">
        <v>620</v>
      </c>
      <c r="R1246" t="s">
        <v>1860</v>
      </c>
      <c r="T1246" s="3" t="str">
        <f>HYPERLINK("doors://fe-dorapcm3.de.bosch.com:36679/?version=2&amp;prodID=0&amp;view=00000015&amp;urn=urn:telelogic::1-52394082008461e6-O-8784-00059142","BSW_SWS_AR4_0_R2_DIODriver-8784")</f>
        <v>BSW_SWS_AR4_0_R2_DIODriver-8784</v>
      </c>
    </row>
    <row r="1247" spans="1:20" x14ac:dyDescent="0.2">
      <c r="A1247" t="s">
        <v>3429</v>
      </c>
      <c r="B1247" t="s">
        <v>1617</v>
      </c>
      <c r="C1247" t="s">
        <v>3430</v>
      </c>
      <c r="D1247" t="s">
        <v>3113</v>
      </c>
      <c r="K1247" t="s">
        <v>618</v>
      </c>
      <c r="P1247" t="s">
        <v>619</v>
      </c>
      <c r="Q1247" t="s">
        <v>620</v>
      </c>
      <c r="R1247" t="s">
        <v>1860</v>
      </c>
      <c r="T1247" s="3" t="str">
        <f>HYPERLINK("doors://fe-dorapcm3.de.bosch.com:36679/?version=2&amp;prodID=0&amp;view=00000015&amp;urn=urn:telelogic::1-52394082008461e6-O-8785-00059142","BSW_SWS_AR4_0_R2_DIODriver-8785")</f>
        <v>BSW_SWS_AR4_0_R2_DIODriver-8785</v>
      </c>
    </row>
    <row r="1248" spans="1:20" x14ac:dyDescent="0.2">
      <c r="A1248" t="s">
        <v>3431</v>
      </c>
      <c r="B1248" t="s">
        <v>1617</v>
      </c>
      <c r="C1248" t="s">
        <v>3432</v>
      </c>
      <c r="K1248" t="s">
        <v>618</v>
      </c>
      <c r="P1248" t="s">
        <v>619</v>
      </c>
      <c r="Q1248" t="s">
        <v>620</v>
      </c>
      <c r="R1248" t="s">
        <v>1860</v>
      </c>
      <c r="T1248" s="3" t="str">
        <f>HYPERLINK("doors://fe-dorapcm3.de.bosch.com:36679/?version=2&amp;prodID=0&amp;view=00000015&amp;urn=urn:telelogic::1-52394082008461e6-O-8787-00059142","BSW_SWS_AR4_0_R2_DIODriver-8787")</f>
        <v>BSW_SWS_AR4_0_R2_DIODriver-8787</v>
      </c>
    </row>
    <row r="1249" spans="1:20" x14ac:dyDescent="0.2">
      <c r="A1249" t="s">
        <v>3433</v>
      </c>
      <c r="B1249" t="s">
        <v>1617</v>
      </c>
      <c r="C1249" t="s">
        <v>3434</v>
      </c>
      <c r="D1249" s="5" t="s">
        <v>3225</v>
      </c>
      <c r="K1249" t="s">
        <v>618</v>
      </c>
      <c r="P1249" t="s">
        <v>619</v>
      </c>
      <c r="Q1249" t="s">
        <v>620</v>
      </c>
      <c r="R1249" t="s">
        <v>1860</v>
      </c>
      <c r="T1249" s="3" t="str">
        <f>HYPERLINK("doors://fe-dorapcm3.de.bosch.com:36679/?version=2&amp;prodID=0&amp;view=00000015&amp;urn=urn:telelogic::1-52394082008461e6-O-8788-00059142","BSW_SWS_AR4_0_R2_DIODriver-8788")</f>
        <v>BSW_SWS_AR4_0_R2_DIODriver-8788</v>
      </c>
    </row>
    <row r="1250" spans="1:20" x14ac:dyDescent="0.2">
      <c r="A1250" t="s">
        <v>3435</v>
      </c>
      <c r="B1250" t="s">
        <v>1617</v>
      </c>
      <c r="C1250" t="s">
        <v>3436</v>
      </c>
      <c r="D1250" t="s">
        <v>3208</v>
      </c>
      <c r="K1250" t="s">
        <v>618</v>
      </c>
      <c r="P1250" t="s">
        <v>619</v>
      </c>
      <c r="Q1250" t="s">
        <v>620</v>
      </c>
      <c r="R1250" t="s">
        <v>1860</v>
      </c>
      <c r="T1250" s="3" t="str">
        <f>HYPERLINK("doors://fe-dorapcm3.de.bosch.com:36679/?version=2&amp;prodID=0&amp;view=00000015&amp;urn=urn:telelogic::1-52394082008461e6-O-8789-00059142","BSW_SWS_AR4_0_R2_DIODriver-8789")</f>
        <v>BSW_SWS_AR4_0_R2_DIODriver-8789</v>
      </c>
    </row>
    <row r="1251" spans="1:20" x14ac:dyDescent="0.2">
      <c r="A1251" t="s">
        <v>3437</v>
      </c>
      <c r="B1251" t="s">
        <v>1617</v>
      </c>
      <c r="C1251" t="s">
        <v>3438</v>
      </c>
      <c r="D1251" t="s">
        <v>3439</v>
      </c>
      <c r="K1251" t="s">
        <v>618</v>
      </c>
      <c r="P1251" t="s">
        <v>619</v>
      </c>
      <c r="Q1251" t="s">
        <v>620</v>
      </c>
      <c r="R1251" t="s">
        <v>1860</v>
      </c>
      <c r="T1251" s="3" t="str">
        <f>HYPERLINK("doors://fe-dorapcm3.de.bosch.com:36679/?version=2&amp;prodID=0&amp;view=00000015&amp;urn=urn:telelogic::1-52394082008461e6-O-8790-00059142","BSW_SWS_AR4_0_R2_DIODriver-8790")</f>
        <v>BSW_SWS_AR4_0_R2_DIODriver-8790</v>
      </c>
    </row>
    <row r="1252" spans="1:20" x14ac:dyDescent="0.2">
      <c r="A1252" t="s">
        <v>3440</v>
      </c>
      <c r="B1252" t="s">
        <v>1617</v>
      </c>
      <c r="C1252" t="s">
        <v>3441</v>
      </c>
      <c r="D1252" s="5" t="s">
        <v>3125</v>
      </c>
      <c r="K1252" t="s">
        <v>618</v>
      </c>
      <c r="P1252" t="s">
        <v>619</v>
      </c>
      <c r="Q1252" t="s">
        <v>620</v>
      </c>
      <c r="R1252" t="s">
        <v>1860</v>
      </c>
      <c r="T1252" s="3" t="str">
        <f>HYPERLINK("doors://fe-dorapcm3.de.bosch.com:36679/?version=2&amp;prodID=0&amp;view=00000015&amp;urn=urn:telelogic::1-52394082008461e6-O-8792-00059142","BSW_SWS_AR4_0_R2_DIODriver-8792")</f>
        <v>BSW_SWS_AR4_0_R2_DIODriver-8792</v>
      </c>
    </row>
    <row r="1253" spans="1:20" x14ac:dyDescent="0.2">
      <c r="A1253" t="s">
        <v>3442</v>
      </c>
      <c r="B1253" t="s">
        <v>1617</v>
      </c>
      <c r="C1253" t="s">
        <v>3443</v>
      </c>
      <c r="D1253" t="s">
        <v>3234</v>
      </c>
      <c r="K1253" t="s">
        <v>618</v>
      </c>
      <c r="P1253" t="s">
        <v>619</v>
      </c>
      <c r="Q1253" t="s">
        <v>620</v>
      </c>
      <c r="R1253" t="s">
        <v>1860</v>
      </c>
      <c r="T1253" s="3" t="str">
        <f>HYPERLINK("doors://fe-dorapcm3.de.bosch.com:36679/?version=2&amp;prodID=0&amp;view=00000015&amp;urn=urn:telelogic::1-52394082008461e6-O-8793-00059142","BSW_SWS_AR4_0_R2_DIODriver-8793")</f>
        <v>BSW_SWS_AR4_0_R2_DIODriver-8793</v>
      </c>
    </row>
    <row r="1254" spans="1:20" x14ac:dyDescent="0.2">
      <c r="A1254" t="s">
        <v>3444</v>
      </c>
      <c r="B1254" t="s">
        <v>614</v>
      </c>
      <c r="C1254" t="s">
        <v>3445</v>
      </c>
      <c r="D1254" t="s">
        <v>3113</v>
      </c>
      <c r="J1254" t="s">
        <v>617</v>
      </c>
      <c r="K1254" t="s">
        <v>618</v>
      </c>
      <c r="P1254" t="s">
        <v>619</v>
      </c>
      <c r="Q1254" t="s">
        <v>620</v>
      </c>
      <c r="R1254" t="s">
        <v>621</v>
      </c>
      <c r="S1254" t="s">
        <v>622</v>
      </c>
      <c r="T1254" s="3" t="str">
        <f>HYPERLINK("doors://fe-dorapcm3.de.bosch.com:36679/?version=2&amp;prodID=0&amp;view=00000015&amp;urn=urn:telelogic::1-52394082008461e6-O-8794-00059142","BSW_SWS_AR4_0_R2_DIODriver-8794")</f>
        <v>BSW_SWS_AR4_0_R2_DIODriver-8794</v>
      </c>
    </row>
    <row r="1255" spans="1:20" x14ac:dyDescent="0.2">
      <c r="A1255" t="s">
        <v>3446</v>
      </c>
      <c r="B1255" t="s">
        <v>1617</v>
      </c>
      <c r="C1255" t="s">
        <v>3447</v>
      </c>
      <c r="D1255" s="5" t="s">
        <v>3116</v>
      </c>
      <c r="K1255" t="s">
        <v>618</v>
      </c>
      <c r="P1255" t="s">
        <v>619</v>
      </c>
      <c r="Q1255" t="s">
        <v>620</v>
      </c>
      <c r="R1255" t="s">
        <v>1860</v>
      </c>
      <c r="T1255" s="3" t="str">
        <f>HYPERLINK("doors://fe-dorapcm3.de.bosch.com:36679/?version=2&amp;prodID=0&amp;view=00000015&amp;urn=urn:telelogic::1-52394082008461e6-O-8797-00059142","BSW_SWS_AR4_0_R2_DIODriver-8797")</f>
        <v>BSW_SWS_AR4_0_R2_DIODriver-8797</v>
      </c>
    </row>
    <row r="1256" spans="1:20" x14ac:dyDescent="0.2">
      <c r="A1256" t="s">
        <v>3448</v>
      </c>
      <c r="B1256" t="s">
        <v>1617</v>
      </c>
      <c r="C1256" t="s">
        <v>3449</v>
      </c>
      <c r="D1256" s="5" t="s">
        <v>3119</v>
      </c>
      <c r="K1256" t="s">
        <v>618</v>
      </c>
      <c r="P1256" t="s">
        <v>619</v>
      </c>
      <c r="Q1256" t="s">
        <v>620</v>
      </c>
      <c r="R1256" t="s">
        <v>1860</v>
      </c>
      <c r="T1256" s="3" t="str">
        <f>HYPERLINK("doors://fe-dorapcm3.de.bosch.com:36679/?version=2&amp;prodID=0&amp;view=00000015&amp;urn=urn:telelogic::1-52394082008461e6-O-8799-00059142","BSW_SWS_AR4_0_R2_DIODriver-8799")</f>
        <v>BSW_SWS_AR4_0_R2_DIODriver-8799</v>
      </c>
    </row>
    <row r="1257" spans="1:20" x14ac:dyDescent="0.2">
      <c r="A1257" t="s">
        <v>3450</v>
      </c>
      <c r="B1257" t="s">
        <v>1617</v>
      </c>
      <c r="C1257" t="s">
        <v>3451</v>
      </c>
      <c r="D1257" s="5" t="s">
        <v>3122</v>
      </c>
      <c r="K1257" t="s">
        <v>618</v>
      </c>
      <c r="P1257" t="s">
        <v>619</v>
      </c>
      <c r="Q1257" t="s">
        <v>620</v>
      </c>
      <c r="R1257" t="s">
        <v>1860</v>
      </c>
      <c r="T1257" s="3" t="str">
        <f>HYPERLINK("doors://fe-dorapcm3.de.bosch.com:36679/?version=2&amp;prodID=0&amp;view=00000015&amp;urn=urn:telelogic::1-52394082008461e6-O-8800-00059142","BSW_SWS_AR4_0_R2_DIODriver-8800")</f>
        <v>BSW_SWS_AR4_0_R2_DIODriver-8800</v>
      </c>
    </row>
    <row r="1258" spans="1:20" x14ac:dyDescent="0.2">
      <c r="A1258" t="s">
        <v>3452</v>
      </c>
      <c r="B1258" t="s">
        <v>1617</v>
      </c>
      <c r="C1258" t="s">
        <v>3453</v>
      </c>
      <c r="D1258" s="5" t="s">
        <v>3125</v>
      </c>
      <c r="K1258" t="s">
        <v>618</v>
      </c>
      <c r="P1258" t="s">
        <v>619</v>
      </c>
      <c r="Q1258" t="s">
        <v>620</v>
      </c>
      <c r="R1258" t="s">
        <v>1860</v>
      </c>
      <c r="T1258" s="3" t="str">
        <f>HYPERLINK("doors://fe-dorapcm3.de.bosch.com:36679/?version=2&amp;prodID=0&amp;view=00000015&amp;urn=urn:telelogic::1-52394082008461e6-O-8801-00059142","BSW_SWS_AR4_0_R2_DIODriver-8801")</f>
        <v>BSW_SWS_AR4_0_R2_DIODriver-8801</v>
      </c>
    </row>
    <row r="1259" spans="1:20" x14ac:dyDescent="0.2">
      <c r="A1259" t="s">
        <v>3454</v>
      </c>
      <c r="B1259" t="s">
        <v>1617</v>
      </c>
      <c r="C1259" t="s">
        <v>3455</v>
      </c>
      <c r="D1259" t="s">
        <v>3456</v>
      </c>
      <c r="K1259" t="s">
        <v>618</v>
      </c>
      <c r="P1259" t="s">
        <v>619</v>
      </c>
      <c r="Q1259" t="s">
        <v>620</v>
      </c>
      <c r="R1259" t="s">
        <v>1860</v>
      </c>
      <c r="T1259" s="3" t="str">
        <f>HYPERLINK("doors://fe-dorapcm3.de.bosch.com:36679/?version=2&amp;prodID=0&amp;view=00000015&amp;urn=urn:telelogic::1-52394082008461e6-O-8803-00059142","BSW_SWS_AR4_0_R2_DIODriver-8803")</f>
        <v>BSW_SWS_AR4_0_R2_DIODriver-8803</v>
      </c>
    </row>
    <row r="1260" spans="1:20" x14ac:dyDescent="0.2">
      <c r="A1260" t="s">
        <v>3457</v>
      </c>
      <c r="B1260" t="s">
        <v>1617</v>
      </c>
      <c r="C1260" t="s">
        <v>3458</v>
      </c>
      <c r="D1260" t="s">
        <v>3459</v>
      </c>
      <c r="K1260" t="s">
        <v>618</v>
      </c>
      <c r="P1260" t="s">
        <v>619</v>
      </c>
      <c r="Q1260" t="s">
        <v>620</v>
      </c>
      <c r="R1260" t="s">
        <v>1860</v>
      </c>
      <c r="T1260" s="3" t="str">
        <f>HYPERLINK("doors://fe-dorapcm3.de.bosch.com:36679/?version=2&amp;prodID=0&amp;view=00000015&amp;urn=urn:telelogic::1-52394082008461e6-O-8804-00059142","BSW_SWS_AR4_0_R2_DIODriver-8804")</f>
        <v>BSW_SWS_AR4_0_R2_DIODriver-8804</v>
      </c>
    </row>
    <row r="1261" spans="1:20" x14ac:dyDescent="0.2">
      <c r="A1261" t="s">
        <v>3460</v>
      </c>
      <c r="B1261" t="s">
        <v>1617</v>
      </c>
      <c r="C1261" t="s">
        <v>3461</v>
      </c>
      <c r="D1261" t="s">
        <v>3462</v>
      </c>
      <c r="K1261" t="s">
        <v>618</v>
      </c>
      <c r="P1261" t="s">
        <v>619</v>
      </c>
      <c r="Q1261" t="s">
        <v>620</v>
      </c>
      <c r="R1261" t="s">
        <v>1860</v>
      </c>
      <c r="T1261" s="3" t="str">
        <f>HYPERLINK("doors://fe-dorapcm3.de.bosch.com:36679/?version=2&amp;prodID=0&amp;view=00000015&amp;urn=urn:telelogic::1-52394082008461e6-O-8805-00059142","BSW_SWS_AR4_0_R2_DIODriver-8805")</f>
        <v>BSW_SWS_AR4_0_R2_DIODriver-8805</v>
      </c>
    </row>
    <row r="1262" spans="1:20" x14ac:dyDescent="0.2">
      <c r="A1262" t="s">
        <v>3463</v>
      </c>
      <c r="B1262" t="s">
        <v>1617</v>
      </c>
      <c r="C1262" t="s">
        <v>3464</v>
      </c>
      <c r="D1262" t="s">
        <v>3465</v>
      </c>
      <c r="K1262" t="s">
        <v>618</v>
      </c>
      <c r="P1262" t="s">
        <v>619</v>
      </c>
      <c r="Q1262" t="s">
        <v>620</v>
      </c>
      <c r="R1262" t="s">
        <v>1860</v>
      </c>
      <c r="T1262" s="3" t="str">
        <f>HYPERLINK("doors://fe-dorapcm3.de.bosch.com:36679/?version=2&amp;prodID=0&amp;view=00000015&amp;urn=urn:telelogic::1-52394082008461e6-O-8807-00059142","BSW_SWS_AR4_0_R2_DIODriver-8807")</f>
        <v>BSW_SWS_AR4_0_R2_DIODriver-8807</v>
      </c>
    </row>
    <row r="1263" spans="1:20" x14ac:dyDescent="0.2">
      <c r="A1263" t="s">
        <v>3466</v>
      </c>
      <c r="B1263" t="s">
        <v>1617</v>
      </c>
      <c r="C1263" t="s">
        <v>3467</v>
      </c>
      <c r="D1263" t="s">
        <v>3459</v>
      </c>
      <c r="K1263" t="s">
        <v>618</v>
      </c>
      <c r="P1263" t="s">
        <v>619</v>
      </c>
      <c r="Q1263" t="s">
        <v>620</v>
      </c>
      <c r="R1263" t="s">
        <v>1860</v>
      </c>
      <c r="T1263" s="3" t="str">
        <f>HYPERLINK("doors://fe-dorapcm3.de.bosch.com:36679/?version=2&amp;prodID=0&amp;view=00000015&amp;urn=urn:telelogic::1-52394082008461e6-O-8808-00059142","BSW_SWS_AR4_0_R2_DIODriver-8808")</f>
        <v>BSW_SWS_AR4_0_R2_DIODriver-8808</v>
      </c>
    </row>
    <row r="1264" spans="1:20" x14ac:dyDescent="0.2">
      <c r="A1264" t="s">
        <v>3468</v>
      </c>
      <c r="B1264" t="s">
        <v>1617</v>
      </c>
      <c r="C1264" t="s">
        <v>3469</v>
      </c>
      <c r="D1264" t="s">
        <v>3470</v>
      </c>
      <c r="K1264" t="s">
        <v>618</v>
      </c>
      <c r="P1264" t="s">
        <v>619</v>
      </c>
      <c r="Q1264" t="s">
        <v>620</v>
      </c>
      <c r="R1264" t="s">
        <v>1860</v>
      </c>
      <c r="T1264" s="3" t="str">
        <f>HYPERLINK("doors://fe-dorapcm3.de.bosch.com:36679/?version=2&amp;prodID=0&amp;view=00000015&amp;urn=urn:telelogic::1-52394082008461e6-O-8809-00059142","BSW_SWS_AR4_0_R2_DIODriver-8809")</f>
        <v>BSW_SWS_AR4_0_R2_DIODriver-8809</v>
      </c>
    </row>
    <row r="1265" spans="1:20" x14ac:dyDescent="0.2">
      <c r="A1265" t="s">
        <v>3471</v>
      </c>
      <c r="B1265" t="s">
        <v>76</v>
      </c>
      <c r="C1265" t="s">
        <v>3472</v>
      </c>
      <c r="D1265" t="s">
        <v>3113</v>
      </c>
      <c r="T1265" s="3" t="str">
        <f>HYPERLINK("doors://fe-dorapcm3.de.bosch.com:36679/?version=2&amp;prodID=0&amp;view=00000015&amp;urn=urn:telelogic::1-52394082008461e6-O-8810-00059142","BSW_SWS_AR4_0_R2_DIODriver-8810")</f>
        <v>BSW_SWS_AR4_0_R2_DIODriver-8810</v>
      </c>
    </row>
    <row r="1266" spans="1:20" x14ac:dyDescent="0.2">
      <c r="A1266" t="s">
        <v>3473</v>
      </c>
      <c r="B1266" t="s">
        <v>614</v>
      </c>
      <c r="C1266" t="s">
        <v>3474</v>
      </c>
      <c r="D1266" s="2" t="s">
        <v>3475</v>
      </c>
      <c r="J1266" s="2" t="s">
        <v>617</v>
      </c>
      <c r="K1266" t="s">
        <v>618</v>
      </c>
      <c r="P1266" t="s">
        <v>619</v>
      </c>
      <c r="Q1266" s="2" t="s">
        <v>620</v>
      </c>
      <c r="R1266" t="s">
        <v>621</v>
      </c>
      <c r="S1266" s="2" t="s">
        <v>622</v>
      </c>
      <c r="T1266" s="3" t="str">
        <f>HYPERLINK("doors://fe-dorapcm3.de.bosch.com:36679/?version=2&amp;prodID=0&amp;view=00000015&amp;urn=urn:telelogic::1-52394082008461e6-O-8811-00059142","BSW_SWS_AR4_0_R2_DIODriver-8811")</f>
        <v>BSW_SWS_AR4_0_R2_DIODriver-8811</v>
      </c>
    </row>
    <row r="1267" spans="1:20" x14ac:dyDescent="0.2">
      <c r="A1267" t="s">
        <v>3476</v>
      </c>
      <c r="B1267" t="s">
        <v>1617</v>
      </c>
      <c r="C1267" t="s">
        <v>3477</v>
      </c>
      <c r="D1267" s="5" t="s">
        <v>3149</v>
      </c>
      <c r="K1267" t="s">
        <v>618</v>
      </c>
      <c r="P1267" t="s">
        <v>619</v>
      </c>
      <c r="Q1267" t="s">
        <v>620</v>
      </c>
      <c r="R1267" t="s">
        <v>1860</v>
      </c>
      <c r="T1267" s="3" t="str">
        <f>HYPERLINK("doors://fe-dorapcm3.de.bosch.com:36679/?version=2&amp;prodID=0&amp;view=00000015&amp;urn=urn:telelogic::1-52394082008461e6-O-8814-00059142","BSW_SWS_AR4_0_R2_DIODriver-8814")</f>
        <v>BSW_SWS_AR4_0_R2_DIODriver-8814</v>
      </c>
    </row>
    <row r="1268" spans="1:20" x14ac:dyDescent="0.2">
      <c r="A1268" t="s">
        <v>3478</v>
      </c>
      <c r="B1268" t="s">
        <v>1617</v>
      </c>
      <c r="C1268" t="s">
        <v>3479</v>
      </c>
      <c r="D1268" s="2" t="s">
        <v>3480</v>
      </c>
      <c r="K1268" t="s">
        <v>618</v>
      </c>
      <c r="P1268" t="s">
        <v>619</v>
      </c>
      <c r="Q1268" t="s">
        <v>620</v>
      </c>
      <c r="R1268" t="s">
        <v>1860</v>
      </c>
      <c r="T1268" s="3" t="str">
        <f>HYPERLINK("doors://fe-dorapcm3.de.bosch.com:36679/?version=2&amp;prodID=0&amp;view=00000015&amp;urn=urn:telelogic::1-52394082008461e6-O-8815-00059142","BSW_SWS_AR4_0_R2_DIODriver-8815")</f>
        <v>BSW_SWS_AR4_0_R2_DIODriver-8815</v>
      </c>
    </row>
    <row r="1269" spans="1:20" x14ac:dyDescent="0.2">
      <c r="A1269" t="s">
        <v>3481</v>
      </c>
      <c r="B1269" t="s">
        <v>1617</v>
      </c>
      <c r="C1269" t="s">
        <v>3482</v>
      </c>
      <c r="D1269" s="5" t="s">
        <v>3119</v>
      </c>
      <c r="K1269" t="s">
        <v>618</v>
      </c>
      <c r="P1269" t="s">
        <v>619</v>
      </c>
      <c r="Q1269" t="s">
        <v>620</v>
      </c>
      <c r="R1269" t="s">
        <v>1860</v>
      </c>
      <c r="T1269" s="3" t="str">
        <f>HYPERLINK("doors://fe-dorapcm3.de.bosch.com:36679/?version=2&amp;prodID=0&amp;view=00000015&amp;urn=urn:telelogic::1-52394082008461e6-O-8817-00059142","BSW_SWS_AR4_0_R2_DIODriver-8817")</f>
        <v>BSW_SWS_AR4_0_R2_DIODriver-8817</v>
      </c>
    </row>
    <row r="1270" spans="1:20" x14ac:dyDescent="0.2">
      <c r="A1270" t="s">
        <v>3483</v>
      </c>
      <c r="B1270" t="s">
        <v>1617</v>
      </c>
      <c r="C1270" t="s">
        <v>3484</v>
      </c>
      <c r="D1270" t="s">
        <v>3456</v>
      </c>
      <c r="K1270" t="s">
        <v>618</v>
      </c>
      <c r="P1270" t="s">
        <v>619</v>
      </c>
      <c r="Q1270" t="s">
        <v>620</v>
      </c>
      <c r="R1270" t="s">
        <v>1860</v>
      </c>
      <c r="T1270" s="3" t="str">
        <f>HYPERLINK("doors://fe-dorapcm3.de.bosch.com:36679/?version=2&amp;prodID=0&amp;view=00000015&amp;urn=urn:telelogic::1-52394082008461e6-O-8818-00059142","BSW_SWS_AR4_0_R2_DIODriver-8818")</f>
        <v>BSW_SWS_AR4_0_R2_DIODriver-8818</v>
      </c>
    </row>
    <row r="1271" spans="1:20" x14ac:dyDescent="0.2">
      <c r="A1271" t="s">
        <v>3485</v>
      </c>
      <c r="B1271" t="s">
        <v>1617</v>
      </c>
      <c r="C1271" t="s">
        <v>3486</v>
      </c>
      <c r="D1271" s="5" t="s">
        <v>3159</v>
      </c>
      <c r="K1271" t="s">
        <v>618</v>
      </c>
      <c r="P1271" t="s">
        <v>619</v>
      </c>
      <c r="Q1271" t="s">
        <v>620</v>
      </c>
      <c r="R1271" t="s">
        <v>1860</v>
      </c>
      <c r="T1271" s="3" t="str">
        <f>HYPERLINK("doors://fe-dorapcm3.de.bosch.com:36679/?version=2&amp;prodID=0&amp;view=00000015&amp;urn=urn:telelogic::1-52394082008461e6-O-8820-00059142","BSW_SWS_AR4_0_R2_DIODriver-8820")</f>
        <v>BSW_SWS_AR4_0_R2_DIODriver-8820</v>
      </c>
    </row>
    <row r="1272" spans="1:20" x14ac:dyDescent="0.2">
      <c r="A1272" t="s">
        <v>3487</v>
      </c>
      <c r="B1272" t="s">
        <v>1617</v>
      </c>
      <c r="C1272" t="s">
        <v>3488</v>
      </c>
      <c r="D1272" t="s">
        <v>3489</v>
      </c>
      <c r="K1272" t="s">
        <v>618</v>
      </c>
      <c r="P1272" t="s">
        <v>619</v>
      </c>
      <c r="Q1272" t="s">
        <v>620</v>
      </c>
      <c r="R1272" t="s">
        <v>1860</v>
      </c>
      <c r="T1272" s="3" t="str">
        <f>HYPERLINK("doors://fe-dorapcm3.de.bosch.com:36679/?version=2&amp;prodID=0&amp;view=00000015&amp;urn=urn:telelogic::1-52394082008461e6-O-8821-00059142","BSW_SWS_AR4_0_R2_DIODriver-8821")</f>
        <v>BSW_SWS_AR4_0_R2_DIODriver-8821</v>
      </c>
    </row>
    <row r="1273" spans="1:20" x14ac:dyDescent="0.2">
      <c r="A1273" t="s">
        <v>3490</v>
      </c>
      <c r="B1273" t="s">
        <v>1617</v>
      </c>
      <c r="C1273" t="s">
        <v>3491</v>
      </c>
      <c r="D1273" s="5" t="s">
        <v>3165</v>
      </c>
      <c r="K1273" t="s">
        <v>618</v>
      </c>
      <c r="P1273" t="s">
        <v>619</v>
      </c>
      <c r="Q1273" t="s">
        <v>620</v>
      </c>
      <c r="R1273" t="s">
        <v>1860</v>
      </c>
      <c r="T1273" s="3" t="str">
        <f>HYPERLINK("doors://fe-dorapcm3.de.bosch.com:36679/?version=2&amp;prodID=0&amp;view=00000015&amp;urn=urn:telelogic::1-52394082008461e6-O-8823-00059142","BSW_SWS_AR4_0_R2_DIODriver-8823")</f>
        <v>BSW_SWS_AR4_0_R2_DIODriver-8823</v>
      </c>
    </row>
    <row r="1274" spans="1:20" x14ac:dyDescent="0.2">
      <c r="A1274" t="s">
        <v>3492</v>
      </c>
      <c r="B1274" t="s">
        <v>614</v>
      </c>
      <c r="C1274" t="s">
        <v>3493</v>
      </c>
      <c r="D1274" t="s">
        <v>3113</v>
      </c>
      <c r="J1274" t="s">
        <v>617</v>
      </c>
      <c r="K1274" t="s">
        <v>618</v>
      </c>
      <c r="P1274" t="s">
        <v>619</v>
      </c>
      <c r="Q1274" t="s">
        <v>620</v>
      </c>
      <c r="R1274" t="s">
        <v>621</v>
      </c>
      <c r="S1274" t="s">
        <v>622</v>
      </c>
      <c r="T1274" s="3" t="str">
        <f>HYPERLINK("doors://fe-dorapcm3.de.bosch.com:36679/?version=2&amp;prodID=0&amp;view=00000015&amp;urn=urn:telelogic::1-52394082008461e6-O-8824-00059142","BSW_SWS_AR4_0_R2_DIODriver-8824")</f>
        <v>BSW_SWS_AR4_0_R2_DIODriver-8824</v>
      </c>
    </row>
    <row r="1275" spans="1:20" x14ac:dyDescent="0.2">
      <c r="A1275" t="s">
        <v>3494</v>
      </c>
      <c r="B1275" t="s">
        <v>1617</v>
      </c>
      <c r="C1275" t="s">
        <v>3495</v>
      </c>
      <c r="D1275" s="5" t="s">
        <v>3149</v>
      </c>
      <c r="K1275" t="s">
        <v>618</v>
      </c>
      <c r="P1275" t="s">
        <v>619</v>
      </c>
      <c r="Q1275" t="s">
        <v>620</v>
      </c>
      <c r="R1275" t="s">
        <v>1860</v>
      </c>
      <c r="T1275" s="3" t="str">
        <f>HYPERLINK("doors://fe-dorapcm3.de.bosch.com:36679/?version=2&amp;prodID=0&amp;view=00000015&amp;urn=urn:telelogic::1-52394082008461e6-O-8827-00059142","BSW_SWS_AR4_0_R2_DIODriver-8827")</f>
        <v>BSW_SWS_AR4_0_R2_DIODriver-8827</v>
      </c>
    </row>
    <row r="1276" spans="1:20" x14ac:dyDescent="0.2">
      <c r="A1276" t="s">
        <v>3496</v>
      </c>
      <c r="B1276" t="s">
        <v>1617</v>
      </c>
      <c r="C1276" t="s">
        <v>3497</v>
      </c>
      <c r="D1276" s="2" t="s">
        <v>3498</v>
      </c>
      <c r="K1276" t="s">
        <v>618</v>
      </c>
      <c r="P1276" t="s">
        <v>619</v>
      </c>
      <c r="Q1276" t="s">
        <v>620</v>
      </c>
      <c r="R1276" t="s">
        <v>1860</v>
      </c>
      <c r="T1276" s="3" t="str">
        <f>HYPERLINK("doors://fe-dorapcm3.de.bosch.com:36679/?version=2&amp;prodID=0&amp;view=00000015&amp;urn=urn:telelogic::1-52394082008461e6-O-8828-00059142","BSW_SWS_AR4_0_R2_DIODriver-8828")</f>
        <v>BSW_SWS_AR4_0_R2_DIODriver-8828</v>
      </c>
    </row>
    <row r="1277" spans="1:20" ht="25.5" x14ac:dyDescent="0.2">
      <c r="A1277" t="s">
        <v>3499</v>
      </c>
      <c r="B1277" t="s">
        <v>1617</v>
      </c>
      <c r="C1277" t="s">
        <v>3500</v>
      </c>
      <c r="D1277" s="6" t="s">
        <v>3175</v>
      </c>
      <c r="K1277" t="s">
        <v>618</v>
      </c>
      <c r="P1277" t="s">
        <v>619</v>
      </c>
      <c r="Q1277" t="s">
        <v>620</v>
      </c>
      <c r="R1277" t="s">
        <v>1860</v>
      </c>
      <c r="T1277" s="3" t="str">
        <f>HYPERLINK("doors://fe-dorapcm3.de.bosch.com:36679/?version=2&amp;prodID=0&amp;view=00000015&amp;urn=urn:telelogic::1-52394082008461e6-O-8830-00059142","BSW_SWS_AR4_0_R2_DIODriver-8830")</f>
        <v>BSW_SWS_AR4_0_R2_DIODriver-8830</v>
      </c>
    </row>
    <row r="1278" spans="1:20" x14ac:dyDescent="0.2">
      <c r="A1278" t="s">
        <v>3501</v>
      </c>
      <c r="B1278" t="s">
        <v>1617</v>
      </c>
      <c r="C1278" t="s">
        <v>3502</v>
      </c>
      <c r="D1278" t="s">
        <v>3503</v>
      </c>
      <c r="K1278" t="s">
        <v>618</v>
      </c>
      <c r="P1278" t="s">
        <v>619</v>
      </c>
      <c r="Q1278" t="s">
        <v>620</v>
      </c>
      <c r="R1278" t="s">
        <v>1860</v>
      </c>
      <c r="T1278" s="3" t="str">
        <f>HYPERLINK("doors://fe-dorapcm3.de.bosch.com:36679/?version=2&amp;prodID=0&amp;view=00000015&amp;urn=urn:telelogic::1-52394082008461e6-O-8831-00059142","BSW_SWS_AR4_0_R2_DIODriver-8831")</f>
        <v>BSW_SWS_AR4_0_R2_DIODriver-8831</v>
      </c>
    </row>
    <row r="1279" spans="1:20" x14ac:dyDescent="0.2">
      <c r="A1279" t="s">
        <v>3504</v>
      </c>
      <c r="B1279" t="s">
        <v>1617</v>
      </c>
      <c r="C1279" t="s">
        <v>3505</v>
      </c>
      <c r="D1279" s="5" t="s">
        <v>3159</v>
      </c>
      <c r="K1279" t="s">
        <v>618</v>
      </c>
      <c r="P1279" t="s">
        <v>619</v>
      </c>
      <c r="Q1279" t="s">
        <v>620</v>
      </c>
      <c r="R1279" t="s">
        <v>1860</v>
      </c>
      <c r="T1279" s="3" t="str">
        <f>HYPERLINK("doors://fe-dorapcm3.de.bosch.com:36679/?version=2&amp;prodID=0&amp;view=00000015&amp;urn=urn:telelogic::1-52394082008461e6-O-8833-00059142","BSW_SWS_AR4_0_R2_DIODriver-8833")</f>
        <v>BSW_SWS_AR4_0_R2_DIODriver-8833</v>
      </c>
    </row>
    <row r="1280" spans="1:20" x14ac:dyDescent="0.2">
      <c r="A1280" t="s">
        <v>3506</v>
      </c>
      <c r="B1280" t="s">
        <v>1617</v>
      </c>
      <c r="C1280" t="s">
        <v>3507</v>
      </c>
      <c r="D1280" t="s">
        <v>3508</v>
      </c>
      <c r="K1280" t="s">
        <v>618</v>
      </c>
      <c r="P1280" t="s">
        <v>619</v>
      </c>
      <c r="Q1280" t="s">
        <v>620</v>
      </c>
      <c r="R1280" t="s">
        <v>1860</v>
      </c>
      <c r="T1280" s="3" t="str">
        <f>HYPERLINK("doors://fe-dorapcm3.de.bosch.com:36679/?version=2&amp;prodID=0&amp;view=00000015&amp;urn=urn:telelogic::1-52394082008461e6-O-8834-00059142","BSW_SWS_AR4_0_R2_DIODriver-8834")</f>
        <v>BSW_SWS_AR4_0_R2_DIODriver-8834</v>
      </c>
    </row>
    <row r="1281" spans="1:20" x14ac:dyDescent="0.2">
      <c r="A1281" t="s">
        <v>3509</v>
      </c>
      <c r="B1281" t="s">
        <v>1617</v>
      </c>
      <c r="C1281" t="s">
        <v>3510</v>
      </c>
      <c r="D1281" s="5" t="s">
        <v>3122</v>
      </c>
      <c r="K1281" t="s">
        <v>618</v>
      </c>
      <c r="P1281" t="s">
        <v>619</v>
      </c>
      <c r="Q1281" t="s">
        <v>620</v>
      </c>
      <c r="R1281" t="s">
        <v>1860</v>
      </c>
      <c r="T1281" s="3" t="str">
        <f>HYPERLINK("doors://fe-dorapcm3.de.bosch.com:36679/?version=2&amp;prodID=0&amp;view=00000015&amp;urn=urn:telelogic::1-52394082008461e6-O-8836-00059142","BSW_SWS_AR4_0_R2_DIODriver-8836")</f>
        <v>BSW_SWS_AR4_0_R2_DIODriver-8836</v>
      </c>
    </row>
    <row r="1282" spans="1:20" x14ac:dyDescent="0.2">
      <c r="A1282" t="s">
        <v>3511</v>
      </c>
      <c r="B1282" t="s">
        <v>1617</v>
      </c>
      <c r="C1282" t="s">
        <v>3512</v>
      </c>
      <c r="D1282">
        <v>1</v>
      </c>
      <c r="K1282" t="s">
        <v>618</v>
      </c>
      <c r="P1282" t="s">
        <v>619</v>
      </c>
      <c r="Q1282" t="s">
        <v>620</v>
      </c>
      <c r="R1282" t="s">
        <v>1860</v>
      </c>
      <c r="T1282" s="3" t="str">
        <f>HYPERLINK("doors://fe-dorapcm3.de.bosch.com:36679/?version=2&amp;prodID=0&amp;view=00000015&amp;urn=urn:telelogic::1-52394082008461e6-O-8837-00059142","BSW_SWS_AR4_0_R2_DIODriver-8837")</f>
        <v>BSW_SWS_AR4_0_R2_DIODriver-8837</v>
      </c>
    </row>
    <row r="1283" spans="1:20" x14ac:dyDescent="0.2">
      <c r="A1283" t="s">
        <v>3513</v>
      </c>
      <c r="B1283" t="s">
        <v>1617</v>
      </c>
      <c r="C1283" t="s">
        <v>3514</v>
      </c>
      <c r="D1283" s="5" t="s">
        <v>3190</v>
      </c>
      <c r="K1283" t="s">
        <v>618</v>
      </c>
      <c r="P1283" t="s">
        <v>619</v>
      </c>
      <c r="Q1283" t="s">
        <v>620</v>
      </c>
      <c r="R1283" t="s">
        <v>1860</v>
      </c>
      <c r="T1283" s="3" t="str">
        <f>HYPERLINK("doors://fe-dorapcm3.de.bosch.com:36679/?version=2&amp;prodID=0&amp;view=00000015&amp;urn=urn:telelogic::1-52394082008461e6-O-8839-00059142","BSW_SWS_AR4_0_R2_DIODriver-8839")</f>
        <v>BSW_SWS_AR4_0_R2_DIODriver-8839</v>
      </c>
    </row>
    <row r="1284" spans="1:20" x14ac:dyDescent="0.2">
      <c r="A1284" t="s">
        <v>3515</v>
      </c>
      <c r="B1284" t="s">
        <v>1617</v>
      </c>
      <c r="C1284" t="s">
        <v>3516</v>
      </c>
      <c r="D1284" t="s">
        <v>3401</v>
      </c>
      <c r="K1284" t="s">
        <v>618</v>
      </c>
      <c r="P1284" t="s">
        <v>619</v>
      </c>
      <c r="Q1284" t="s">
        <v>620</v>
      </c>
      <c r="R1284" t="s">
        <v>1860</v>
      </c>
      <c r="T1284" s="3" t="str">
        <f>HYPERLINK("doors://fe-dorapcm3.de.bosch.com:36679/?version=2&amp;prodID=0&amp;view=00000015&amp;urn=urn:telelogic::1-52394082008461e6-O-8840-00059142","BSW_SWS_AR4_0_R2_DIODriver-8840")</f>
        <v>BSW_SWS_AR4_0_R2_DIODriver-8840</v>
      </c>
    </row>
    <row r="1285" spans="1:20" x14ac:dyDescent="0.2">
      <c r="A1285" t="s">
        <v>3517</v>
      </c>
      <c r="B1285" t="s">
        <v>1617</v>
      </c>
      <c r="C1285" t="s">
        <v>3518</v>
      </c>
      <c r="D1285" s="5" t="s">
        <v>3404</v>
      </c>
      <c r="K1285" t="s">
        <v>618</v>
      </c>
      <c r="P1285" t="s">
        <v>619</v>
      </c>
      <c r="Q1285" t="s">
        <v>620</v>
      </c>
      <c r="R1285" t="s">
        <v>1860</v>
      </c>
      <c r="T1285" s="3" t="str">
        <f>HYPERLINK("doors://fe-dorapcm3.de.bosch.com:36679/?version=2&amp;prodID=0&amp;view=00000015&amp;urn=urn:telelogic::1-52394082008461e6-O-8842-00059142","BSW_SWS_AR4_0_R2_DIODriver-8842")</f>
        <v>BSW_SWS_AR4_0_R2_DIODriver-8842</v>
      </c>
    </row>
    <row r="1286" spans="1:20" x14ac:dyDescent="0.2">
      <c r="A1286" t="s">
        <v>3519</v>
      </c>
      <c r="B1286" t="s">
        <v>1617</v>
      </c>
      <c r="C1286" t="s">
        <v>3520</v>
      </c>
      <c r="D1286" t="s">
        <v>3407</v>
      </c>
      <c r="K1286" t="s">
        <v>618</v>
      </c>
      <c r="P1286" t="s">
        <v>619</v>
      </c>
      <c r="Q1286" t="s">
        <v>620</v>
      </c>
      <c r="R1286" t="s">
        <v>1860</v>
      </c>
      <c r="T1286" s="3" t="str">
        <f>HYPERLINK("doors://fe-dorapcm3.de.bosch.com:36679/?version=2&amp;prodID=0&amp;view=00000015&amp;urn=urn:telelogic::1-52394082008461e6-O-8843-00059142","BSW_SWS_AR4_0_R2_DIODriver-8843")</f>
        <v>BSW_SWS_AR4_0_R2_DIODriver-8843</v>
      </c>
    </row>
    <row r="1287" spans="1:20" x14ac:dyDescent="0.2">
      <c r="A1287" t="s">
        <v>3521</v>
      </c>
      <c r="B1287" t="s">
        <v>1617</v>
      </c>
      <c r="C1287" t="s">
        <v>3522</v>
      </c>
      <c r="D1287" t="s">
        <v>2755</v>
      </c>
      <c r="K1287" t="s">
        <v>618</v>
      </c>
      <c r="P1287" t="s">
        <v>619</v>
      </c>
      <c r="Q1287" t="s">
        <v>620</v>
      </c>
      <c r="R1287" t="s">
        <v>1860</v>
      </c>
      <c r="T1287" s="3" t="str">
        <f>HYPERLINK("doors://fe-dorapcm3.de.bosch.com:36679/?version=2&amp;prodID=0&amp;view=00000015&amp;urn=urn:telelogic::1-52394082008461e6-O-8844-00059142","BSW_SWS_AR4_0_R2_DIODriver-8844")</f>
        <v>BSW_SWS_AR4_0_R2_DIODriver-8844</v>
      </c>
    </row>
    <row r="1288" spans="1:20" x14ac:dyDescent="0.2">
      <c r="A1288" t="s">
        <v>3523</v>
      </c>
      <c r="B1288" t="s">
        <v>1617</v>
      </c>
      <c r="C1288" t="s">
        <v>3524</v>
      </c>
      <c r="D1288" s="5" t="s">
        <v>3196</v>
      </c>
      <c r="K1288" t="s">
        <v>618</v>
      </c>
      <c r="P1288" t="s">
        <v>619</v>
      </c>
      <c r="Q1288" t="s">
        <v>620</v>
      </c>
      <c r="R1288" t="s">
        <v>1860</v>
      </c>
      <c r="T1288" s="3" t="str">
        <f>HYPERLINK("doors://fe-dorapcm3.de.bosch.com:36679/?version=2&amp;prodID=0&amp;view=00000015&amp;urn=urn:telelogic::1-52394082008461e6-O-8846-00059142","BSW_SWS_AR4_0_R2_DIODriver-8846")</f>
        <v>BSW_SWS_AR4_0_R2_DIODriver-8846</v>
      </c>
    </row>
    <row r="1289" spans="1:20" x14ac:dyDescent="0.2">
      <c r="A1289" t="s">
        <v>3525</v>
      </c>
      <c r="B1289" t="s">
        <v>1617</v>
      </c>
      <c r="C1289" t="s">
        <v>3526</v>
      </c>
      <c r="D1289" t="s">
        <v>3199</v>
      </c>
      <c r="K1289" t="s">
        <v>618</v>
      </c>
      <c r="P1289" t="s">
        <v>619</v>
      </c>
      <c r="Q1289" t="s">
        <v>620</v>
      </c>
      <c r="R1289" t="s">
        <v>1860</v>
      </c>
      <c r="T1289" s="3" t="str">
        <f>HYPERLINK("doors://fe-dorapcm3.de.bosch.com:36679/?version=2&amp;prodID=0&amp;view=00000015&amp;urn=urn:telelogic::1-52394082008461e6-O-8847-00059142","BSW_SWS_AR4_0_R2_DIODriver-8847")</f>
        <v>BSW_SWS_AR4_0_R2_DIODriver-8847</v>
      </c>
    </row>
    <row r="1290" spans="1:20" x14ac:dyDescent="0.2">
      <c r="A1290" t="s">
        <v>3527</v>
      </c>
      <c r="B1290" t="s">
        <v>1617</v>
      </c>
      <c r="C1290" t="s">
        <v>3528</v>
      </c>
      <c r="D1290" s="5" t="s">
        <v>3202</v>
      </c>
      <c r="K1290" t="s">
        <v>618</v>
      </c>
      <c r="P1290" t="s">
        <v>619</v>
      </c>
      <c r="Q1290" t="s">
        <v>620</v>
      </c>
      <c r="R1290" t="s">
        <v>1860</v>
      </c>
      <c r="T1290" s="3" t="str">
        <f>HYPERLINK("doors://fe-dorapcm3.de.bosch.com:36679/?version=2&amp;prodID=0&amp;view=00000015&amp;urn=urn:telelogic::1-52394082008461e6-O-8849-00059142","BSW_SWS_AR4_0_R2_DIODriver-8849")</f>
        <v>BSW_SWS_AR4_0_R2_DIODriver-8849</v>
      </c>
    </row>
    <row r="1291" spans="1:20" x14ac:dyDescent="0.2">
      <c r="A1291" t="s">
        <v>3529</v>
      </c>
      <c r="B1291" t="s">
        <v>1617</v>
      </c>
      <c r="C1291" t="s">
        <v>3530</v>
      </c>
      <c r="D1291" s="5" t="s">
        <v>3205</v>
      </c>
      <c r="K1291" t="s">
        <v>618</v>
      </c>
      <c r="P1291" t="s">
        <v>619</v>
      </c>
      <c r="Q1291" t="s">
        <v>620</v>
      </c>
      <c r="R1291" t="s">
        <v>1860</v>
      </c>
      <c r="T1291" s="3" t="str">
        <f>HYPERLINK("doors://fe-dorapcm3.de.bosch.com:36679/?version=2&amp;prodID=0&amp;view=00000015&amp;urn=urn:telelogic::1-52394082008461e6-O-8850-00059142","BSW_SWS_AR4_0_R2_DIODriver-8850")</f>
        <v>BSW_SWS_AR4_0_R2_DIODriver-8850</v>
      </c>
    </row>
    <row r="1292" spans="1:20" x14ac:dyDescent="0.2">
      <c r="A1292" t="s">
        <v>3531</v>
      </c>
      <c r="B1292" t="s">
        <v>1617</v>
      </c>
      <c r="C1292" t="s">
        <v>3532</v>
      </c>
      <c r="D1292" t="s">
        <v>3208</v>
      </c>
      <c r="K1292" t="s">
        <v>618</v>
      </c>
      <c r="P1292" t="s">
        <v>619</v>
      </c>
      <c r="Q1292" t="s">
        <v>620</v>
      </c>
      <c r="R1292" t="s">
        <v>1860</v>
      </c>
      <c r="T1292" s="3" t="str">
        <f>HYPERLINK("doors://fe-dorapcm3.de.bosch.com:36679/?version=2&amp;prodID=0&amp;view=00000015&amp;urn=urn:telelogic::1-52394082008461e6-O-8851-00059142","BSW_SWS_AR4_0_R2_DIODriver-8851")</f>
        <v>BSW_SWS_AR4_0_R2_DIODriver-8851</v>
      </c>
    </row>
    <row r="1293" spans="1:20" x14ac:dyDescent="0.2">
      <c r="A1293" t="s">
        <v>3533</v>
      </c>
      <c r="B1293" t="s">
        <v>1617</v>
      </c>
      <c r="C1293" t="s">
        <v>3534</v>
      </c>
      <c r="D1293" t="s">
        <v>3422</v>
      </c>
      <c r="K1293" t="s">
        <v>618</v>
      </c>
      <c r="P1293" t="s">
        <v>619</v>
      </c>
      <c r="Q1293" t="s">
        <v>620</v>
      </c>
      <c r="R1293" t="s">
        <v>1860</v>
      </c>
      <c r="T1293" s="3" t="str">
        <f>HYPERLINK("doors://fe-dorapcm3.de.bosch.com:36679/?version=2&amp;prodID=0&amp;view=00000015&amp;urn=urn:telelogic::1-52394082008461e6-O-8852-00059142","BSW_SWS_AR4_0_R2_DIODriver-8852")</f>
        <v>BSW_SWS_AR4_0_R2_DIODriver-8852</v>
      </c>
    </row>
    <row r="1294" spans="1:20" x14ac:dyDescent="0.2">
      <c r="A1294" t="s">
        <v>3535</v>
      </c>
      <c r="B1294" t="s">
        <v>1617</v>
      </c>
      <c r="C1294" t="s">
        <v>3536</v>
      </c>
      <c r="K1294" t="s">
        <v>618</v>
      </c>
      <c r="P1294" t="s">
        <v>619</v>
      </c>
      <c r="Q1294" t="s">
        <v>620</v>
      </c>
      <c r="R1294" t="s">
        <v>1860</v>
      </c>
      <c r="T1294" s="3" t="str">
        <f>HYPERLINK("doors://fe-dorapcm3.de.bosch.com:36679/?version=2&amp;prodID=0&amp;view=00000015&amp;urn=urn:telelogic::1-52394082008461e6-O-8854-00059142","BSW_SWS_AR4_0_R2_DIODriver-8854")</f>
        <v>BSW_SWS_AR4_0_R2_DIODriver-8854</v>
      </c>
    </row>
    <row r="1295" spans="1:20" x14ac:dyDescent="0.2">
      <c r="A1295" t="s">
        <v>3537</v>
      </c>
      <c r="B1295" t="s">
        <v>1617</v>
      </c>
      <c r="C1295" t="s">
        <v>3538</v>
      </c>
      <c r="D1295" s="5" t="s">
        <v>3216</v>
      </c>
      <c r="K1295" t="s">
        <v>618</v>
      </c>
      <c r="P1295" t="s">
        <v>619</v>
      </c>
      <c r="Q1295" t="s">
        <v>620</v>
      </c>
      <c r="R1295" t="s">
        <v>1860</v>
      </c>
      <c r="T1295" s="3" t="str">
        <f>HYPERLINK("doors://fe-dorapcm3.de.bosch.com:36679/?version=2&amp;prodID=0&amp;view=00000015&amp;urn=urn:telelogic::1-52394082008461e6-O-8855-00059142","BSW_SWS_AR4_0_R2_DIODriver-8855")</f>
        <v>BSW_SWS_AR4_0_R2_DIODriver-8855</v>
      </c>
    </row>
    <row r="1296" spans="1:20" x14ac:dyDescent="0.2">
      <c r="A1296" t="s">
        <v>3539</v>
      </c>
      <c r="B1296" t="s">
        <v>1617</v>
      </c>
      <c r="C1296" t="s">
        <v>3540</v>
      </c>
      <c r="D1296" t="s">
        <v>3199</v>
      </c>
      <c r="K1296" t="s">
        <v>618</v>
      </c>
      <c r="P1296" t="s">
        <v>619</v>
      </c>
      <c r="Q1296" t="s">
        <v>620</v>
      </c>
      <c r="R1296" t="s">
        <v>1860</v>
      </c>
      <c r="T1296" s="3" t="str">
        <f>HYPERLINK("doors://fe-dorapcm3.de.bosch.com:36679/?version=2&amp;prodID=0&amp;view=00000015&amp;urn=urn:telelogic::1-52394082008461e6-O-8856-00059142","BSW_SWS_AR4_0_R2_DIODriver-8856")</f>
        <v>BSW_SWS_AR4_0_R2_DIODriver-8856</v>
      </c>
    </row>
    <row r="1297" spans="1:20" x14ac:dyDescent="0.2">
      <c r="A1297" t="s">
        <v>3541</v>
      </c>
      <c r="B1297" t="s">
        <v>1617</v>
      </c>
      <c r="C1297" t="s">
        <v>3542</v>
      </c>
      <c r="D1297" t="s">
        <v>3113</v>
      </c>
      <c r="K1297" t="s">
        <v>618</v>
      </c>
      <c r="P1297" t="s">
        <v>619</v>
      </c>
      <c r="Q1297" t="s">
        <v>620</v>
      </c>
      <c r="R1297" t="s">
        <v>1860</v>
      </c>
      <c r="T1297" s="3" t="str">
        <f>HYPERLINK("doors://fe-dorapcm3.de.bosch.com:36679/?version=2&amp;prodID=0&amp;view=00000015&amp;urn=urn:telelogic::1-52394082008461e6-O-8857-00059142","BSW_SWS_AR4_0_R2_DIODriver-8857")</f>
        <v>BSW_SWS_AR4_0_R2_DIODriver-8857</v>
      </c>
    </row>
    <row r="1298" spans="1:20" x14ac:dyDescent="0.2">
      <c r="A1298" t="s">
        <v>3543</v>
      </c>
      <c r="B1298" t="s">
        <v>1617</v>
      </c>
      <c r="C1298" t="s">
        <v>3544</v>
      </c>
      <c r="K1298" t="s">
        <v>618</v>
      </c>
      <c r="P1298" t="s">
        <v>619</v>
      </c>
      <c r="Q1298" t="s">
        <v>620</v>
      </c>
      <c r="R1298" t="s">
        <v>1860</v>
      </c>
      <c r="T1298" s="3" t="str">
        <f>HYPERLINK("doors://fe-dorapcm3.de.bosch.com:36679/?version=2&amp;prodID=0&amp;view=00000015&amp;urn=urn:telelogic::1-52394082008461e6-O-8859-00059142","BSW_SWS_AR4_0_R2_DIODriver-8859")</f>
        <v>BSW_SWS_AR4_0_R2_DIODriver-8859</v>
      </c>
    </row>
    <row r="1299" spans="1:20" x14ac:dyDescent="0.2">
      <c r="A1299" t="s">
        <v>3545</v>
      </c>
      <c r="B1299" t="s">
        <v>1617</v>
      </c>
      <c r="C1299" t="s">
        <v>3546</v>
      </c>
      <c r="D1299" s="5" t="s">
        <v>3225</v>
      </c>
      <c r="K1299" t="s">
        <v>618</v>
      </c>
      <c r="P1299" t="s">
        <v>619</v>
      </c>
      <c r="Q1299" t="s">
        <v>620</v>
      </c>
      <c r="R1299" t="s">
        <v>1860</v>
      </c>
      <c r="T1299" s="3" t="str">
        <f>HYPERLINK("doors://fe-dorapcm3.de.bosch.com:36679/?version=2&amp;prodID=0&amp;view=00000015&amp;urn=urn:telelogic::1-52394082008461e6-O-8860-00059142","BSW_SWS_AR4_0_R2_DIODriver-8860")</f>
        <v>BSW_SWS_AR4_0_R2_DIODriver-8860</v>
      </c>
    </row>
    <row r="1300" spans="1:20" x14ac:dyDescent="0.2">
      <c r="A1300" t="s">
        <v>3547</v>
      </c>
      <c r="B1300" t="s">
        <v>1617</v>
      </c>
      <c r="C1300" t="s">
        <v>3548</v>
      </c>
      <c r="D1300" t="s">
        <v>3208</v>
      </c>
      <c r="K1300" t="s">
        <v>618</v>
      </c>
      <c r="P1300" t="s">
        <v>619</v>
      </c>
      <c r="Q1300" t="s">
        <v>620</v>
      </c>
      <c r="R1300" t="s">
        <v>1860</v>
      </c>
      <c r="T1300" s="3" t="str">
        <f>HYPERLINK("doors://fe-dorapcm3.de.bosch.com:36679/?version=2&amp;prodID=0&amp;view=00000015&amp;urn=urn:telelogic::1-52394082008461e6-O-8861-00059142","BSW_SWS_AR4_0_R2_DIODriver-8861")</f>
        <v>BSW_SWS_AR4_0_R2_DIODriver-8861</v>
      </c>
    </row>
    <row r="1301" spans="1:20" x14ac:dyDescent="0.2">
      <c r="A1301" t="s">
        <v>3549</v>
      </c>
      <c r="B1301" t="s">
        <v>1617</v>
      </c>
      <c r="C1301" t="s">
        <v>3550</v>
      </c>
      <c r="D1301" t="s">
        <v>3439</v>
      </c>
      <c r="K1301" t="s">
        <v>618</v>
      </c>
      <c r="P1301" t="s">
        <v>619</v>
      </c>
      <c r="Q1301" t="s">
        <v>620</v>
      </c>
      <c r="R1301" t="s">
        <v>1860</v>
      </c>
      <c r="T1301" s="3" t="str">
        <f>HYPERLINK("doors://fe-dorapcm3.de.bosch.com:36679/?version=2&amp;prodID=0&amp;view=00000015&amp;urn=urn:telelogic::1-52394082008461e6-O-8862-00059142","BSW_SWS_AR4_0_R2_DIODriver-8862")</f>
        <v>BSW_SWS_AR4_0_R2_DIODriver-8862</v>
      </c>
    </row>
    <row r="1302" spans="1:20" x14ac:dyDescent="0.2">
      <c r="A1302" t="s">
        <v>3551</v>
      </c>
      <c r="B1302" t="s">
        <v>1617</v>
      </c>
      <c r="C1302" t="s">
        <v>3552</v>
      </c>
      <c r="D1302" s="5" t="s">
        <v>3125</v>
      </c>
      <c r="K1302" t="s">
        <v>618</v>
      </c>
      <c r="P1302" t="s">
        <v>619</v>
      </c>
      <c r="Q1302" t="s">
        <v>620</v>
      </c>
      <c r="R1302" t="s">
        <v>1860</v>
      </c>
      <c r="T1302" s="3" t="str">
        <f>HYPERLINK("doors://fe-dorapcm3.de.bosch.com:36679/?version=2&amp;prodID=0&amp;view=00000015&amp;urn=urn:telelogic::1-52394082008461e6-O-8864-00059142","BSW_SWS_AR4_0_R2_DIODriver-8864")</f>
        <v>BSW_SWS_AR4_0_R2_DIODriver-8864</v>
      </c>
    </row>
    <row r="1303" spans="1:20" x14ac:dyDescent="0.2">
      <c r="A1303" t="s">
        <v>3553</v>
      </c>
      <c r="B1303" t="s">
        <v>1617</v>
      </c>
      <c r="C1303" t="s">
        <v>3554</v>
      </c>
      <c r="D1303" t="s">
        <v>3234</v>
      </c>
      <c r="K1303" t="s">
        <v>618</v>
      </c>
      <c r="P1303" t="s">
        <v>619</v>
      </c>
      <c r="Q1303" t="s">
        <v>620</v>
      </c>
      <c r="R1303" t="s">
        <v>1860</v>
      </c>
      <c r="T1303" s="3" t="str">
        <f>HYPERLINK("doors://fe-dorapcm3.de.bosch.com:36679/?version=2&amp;prodID=0&amp;view=00000015&amp;urn=urn:telelogic::1-52394082008461e6-O-8865-00059142","BSW_SWS_AR4_0_R2_DIODriver-8865")</f>
        <v>BSW_SWS_AR4_0_R2_DIODriver-8865</v>
      </c>
    </row>
    <row r="1304" spans="1:20" x14ac:dyDescent="0.2">
      <c r="A1304" t="s">
        <v>3555</v>
      </c>
      <c r="B1304" t="s">
        <v>614</v>
      </c>
      <c r="C1304" t="s">
        <v>3556</v>
      </c>
      <c r="D1304" t="s">
        <v>3113</v>
      </c>
      <c r="J1304" t="s">
        <v>617</v>
      </c>
      <c r="K1304" t="s">
        <v>618</v>
      </c>
      <c r="P1304" t="s">
        <v>619</v>
      </c>
      <c r="Q1304" t="s">
        <v>620</v>
      </c>
      <c r="R1304" t="s">
        <v>621</v>
      </c>
      <c r="S1304" t="s">
        <v>622</v>
      </c>
      <c r="T1304" s="3" t="str">
        <f>HYPERLINK("doors://fe-dorapcm3.de.bosch.com:36679/?version=2&amp;prodID=0&amp;view=00000015&amp;urn=urn:telelogic::1-52394082008461e6-O-8866-00059142","BSW_SWS_AR4_0_R2_DIODriver-8866")</f>
        <v>BSW_SWS_AR4_0_R2_DIODriver-8866</v>
      </c>
    </row>
    <row r="1305" spans="1:20" x14ac:dyDescent="0.2">
      <c r="A1305" t="s">
        <v>3557</v>
      </c>
      <c r="B1305" t="s">
        <v>1617</v>
      </c>
      <c r="C1305" t="s">
        <v>3558</v>
      </c>
      <c r="D1305" s="5" t="s">
        <v>3353</v>
      </c>
      <c r="K1305" t="s">
        <v>618</v>
      </c>
      <c r="P1305" t="s">
        <v>619</v>
      </c>
      <c r="Q1305" t="s">
        <v>620</v>
      </c>
      <c r="R1305" t="s">
        <v>1860</v>
      </c>
      <c r="T1305" s="3" t="str">
        <f>HYPERLINK("doors://fe-dorapcm3.de.bosch.com:36679/?version=2&amp;prodID=0&amp;view=00000015&amp;urn=urn:telelogic::1-52394082008461e6-O-8869-00059142","BSW_SWS_AR4_0_R2_DIODriver-8869")</f>
        <v>BSW_SWS_AR4_0_R2_DIODriver-8869</v>
      </c>
    </row>
    <row r="1306" spans="1:20" x14ac:dyDescent="0.2">
      <c r="A1306" t="s">
        <v>3559</v>
      </c>
      <c r="B1306" t="s">
        <v>614</v>
      </c>
      <c r="C1306" t="s">
        <v>3560</v>
      </c>
      <c r="D1306" t="s">
        <v>3113</v>
      </c>
      <c r="J1306" t="s">
        <v>617</v>
      </c>
      <c r="K1306" t="s">
        <v>618</v>
      </c>
      <c r="P1306" t="s">
        <v>619</v>
      </c>
      <c r="Q1306" t="s">
        <v>620</v>
      </c>
      <c r="R1306" t="s">
        <v>621</v>
      </c>
      <c r="S1306" t="s">
        <v>622</v>
      </c>
      <c r="T1306" s="3" t="str">
        <f>HYPERLINK("doors://fe-dorapcm3.de.bosch.com:36679/?version=2&amp;prodID=0&amp;view=00000015&amp;urn=urn:telelogic::1-52394082008461e6-O-8870-00059142","BSW_SWS_AR4_0_R2_DIODriver-8870")</f>
        <v>BSW_SWS_AR4_0_R2_DIODriver-8870</v>
      </c>
    </row>
    <row r="1307" spans="1:20" x14ac:dyDescent="0.2">
      <c r="A1307" t="s">
        <v>3561</v>
      </c>
      <c r="B1307" t="s">
        <v>614</v>
      </c>
      <c r="C1307" t="s">
        <v>3562</v>
      </c>
      <c r="D1307" s="2" t="s">
        <v>3563</v>
      </c>
      <c r="K1307" t="s">
        <v>618</v>
      </c>
      <c r="P1307" t="s">
        <v>619</v>
      </c>
      <c r="Q1307" s="2" t="s">
        <v>651</v>
      </c>
      <c r="R1307" t="s">
        <v>621</v>
      </c>
      <c r="S1307" s="2" t="s">
        <v>622</v>
      </c>
      <c r="T1307" s="3" t="str">
        <f>HYPERLINK("doors://fe-dorapcm3.de.bosch.com:36679/?version=2&amp;prodID=0&amp;view=00000015&amp;urn=urn:telelogic::1-52394082008461e6-O-8871-00059142","BSW_SWS_AR4_0_R2_DIODriver-8871")</f>
        <v>BSW_SWS_AR4_0_R2_DIODriver-8871</v>
      </c>
    </row>
    <row r="1308" spans="1:20" x14ac:dyDescent="0.2">
      <c r="A1308" t="s">
        <v>3564</v>
      </c>
      <c r="B1308" t="s">
        <v>1617</v>
      </c>
      <c r="C1308" t="s">
        <v>3565</v>
      </c>
      <c r="D1308" s="5" t="s">
        <v>3149</v>
      </c>
      <c r="K1308" t="s">
        <v>618</v>
      </c>
      <c r="P1308" t="s">
        <v>619</v>
      </c>
      <c r="Q1308" t="s">
        <v>620</v>
      </c>
      <c r="R1308" t="s">
        <v>1860</v>
      </c>
      <c r="T1308" s="3" t="str">
        <f>HYPERLINK("doors://fe-dorapcm3.de.bosch.com:36679/?version=2&amp;prodID=0&amp;view=00000015&amp;urn=urn:telelogic::1-52394082008461e6-O-8874-00059142","BSW_SWS_AR4_0_R2_DIODriver-8874")</f>
        <v>BSW_SWS_AR4_0_R2_DIODriver-8874</v>
      </c>
    </row>
    <row r="1309" spans="1:20" x14ac:dyDescent="0.2">
      <c r="A1309" t="s">
        <v>3566</v>
      </c>
      <c r="B1309" t="s">
        <v>1617</v>
      </c>
      <c r="C1309" t="s">
        <v>3567</v>
      </c>
      <c r="D1309" s="2" t="s">
        <v>3568</v>
      </c>
      <c r="K1309" t="s">
        <v>618</v>
      </c>
      <c r="P1309" t="s">
        <v>619</v>
      </c>
      <c r="Q1309" t="s">
        <v>620</v>
      </c>
      <c r="R1309" t="s">
        <v>1860</v>
      </c>
      <c r="T1309" s="3" t="str">
        <f>HYPERLINK("doors://fe-dorapcm3.de.bosch.com:36679/?version=2&amp;prodID=0&amp;view=00000015&amp;urn=urn:telelogic::1-52394082008461e6-O-8875-00059142","BSW_SWS_AR4_0_R2_DIODriver-8875")</f>
        <v>BSW_SWS_AR4_0_R2_DIODriver-8875</v>
      </c>
    </row>
    <row r="1310" spans="1:20" x14ac:dyDescent="0.2">
      <c r="A1310" t="s">
        <v>3569</v>
      </c>
      <c r="B1310" t="s">
        <v>1617</v>
      </c>
      <c r="C1310" t="s">
        <v>3570</v>
      </c>
      <c r="D1310" s="5" t="s">
        <v>3119</v>
      </c>
      <c r="K1310" t="s">
        <v>618</v>
      </c>
      <c r="P1310" t="s">
        <v>619</v>
      </c>
      <c r="Q1310" t="s">
        <v>620</v>
      </c>
      <c r="R1310" t="s">
        <v>1860</v>
      </c>
      <c r="T1310" s="3" t="str">
        <f>HYPERLINK("doors://fe-dorapcm3.de.bosch.com:36679/?version=2&amp;prodID=0&amp;view=00000015&amp;urn=urn:telelogic::1-52394082008461e6-O-8877-00059142","BSW_SWS_AR4_0_R2_DIODriver-8877")</f>
        <v>BSW_SWS_AR4_0_R2_DIODriver-8877</v>
      </c>
    </row>
    <row r="1311" spans="1:20" x14ac:dyDescent="0.2">
      <c r="A1311" t="s">
        <v>3571</v>
      </c>
      <c r="B1311" t="s">
        <v>1617</v>
      </c>
      <c r="C1311" t="s">
        <v>3572</v>
      </c>
      <c r="D1311" t="s">
        <v>3465</v>
      </c>
      <c r="K1311" t="s">
        <v>618</v>
      </c>
      <c r="P1311" t="s">
        <v>619</v>
      </c>
      <c r="Q1311" t="s">
        <v>620</v>
      </c>
      <c r="R1311" t="s">
        <v>1860</v>
      </c>
      <c r="T1311" s="3" t="str">
        <f>HYPERLINK("doors://fe-dorapcm3.de.bosch.com:36679/?version=2&amp;prodID=0&amp;view=00000015&amp;urn=urn:telelogic::1-52394082008461e6-O-8878-00059142","BSW_SWS_AR4_0_R2_DIODriver-8878")</f>
        <v>BSW_SWS_AR4_0_R2_DIODriver-8878</v>
      </c>
    </row>
    <row r="1312" spans="1:20" x14ac:dyDescent="0.2">
      <c r="A1312" t="s">
        <v>3573</v>
      </c>
      <c r="B1312" t="s">
        <v>1617</v>
      </c>
      <c r="C1312" t="s">
        <v>3574</v>
      </c>
      <c r="D1312" s="5" t="s">
        <v>3159</v>
      </c>
      <c r="K1312" t="s">
        <v>618</v>
      </c>
      <c r="P1312" t="s">
        <v>619</v>
      </c>
      <c r="Q1312" t="s">
        <v>620</v>
      </c>
      <c r="R1312" t="s">
        <v>1860</v>
      </c>
      <c r="T1312" s="3" t="str">
        <f>HYPERLINK("doors://fe-dorapcm3.de.bosch.com:36679/?version=2&amp;prodID=0&amp;view=00000015&amp;urn=urn:telelogic::1-52394082008461e6-O-8880-00059142","BSW_SWS_AR4_0_R2_DIODriver-8880")</f>
        <v>BSW_SWS_AR4_0_R2_DIODriver-8880</v>
      </c>
    </row>
    <row r="1313" spans="1:20" x14ac:dyDescent="0.2">
      <c r="A1313" t="s">
        <v>3575</v>
      </c>
      <c r="B1313" t="s">
        <v>1617</v>
      </c>
      <c r="C1313" t="s">
        <v>3576</v>
      </c>
      <c r="D1313" t="s">
        <v>3577</v>
      </c>
      <c r="K1313" t="s">
        <v>618</v>
      </c>
      <c r="P1313" t="s">
        <v>619</v>
      </c>
      <c r="Q1313" t="s">
        <v>620</v>
      </c>
      <c r="R1313" t="s">
        <v>1860</v>
      </c>
      <c r="T1313" s="3" t="str">
        <f>HYPERLINK("doors://fe-dorapcm3.de.bosch.com:36679/?version=2&amp;prodID=0&amp;view=00000015&amp;urn=urn:telelogic::1-52394082008461e6-O-8881-00059142","BSW_SWS_AR4_0_R2_DIODriver-8881")</f>
        <v>BSW_SWS_AR4_0_R2_DIODriver-8881</v>
      </c>
    </row>
    <row r="1314" spans="1:20" x14ac:dyDescent="0.2">
      <c r="A1314" t="s">
        <v>3578</v>
      </c>
      <c r="B1314" t="s">
        <v>1617</v>
      </c>
      <c r="C1314" t="s">
        <v>3579</v>
      </c>
      <c r="D1314" s="5" t="s">
        <v>3165</v>
      </c>
      <c r="K1314" t="s">
        <v>618</v>
      </c>
      <c r="P1314" t="s">
        <v>619</v>
      </c>
      <c r="Q1314" t="s">
        <v>620</v>
      </c>
      <c r="R1314" t="s">
        <v>1860</v>
      </c>
      <c r="T1314" s="3" t="str">
        <f>HYPERLINK("doors://fe-dorapcm3.de.bosch.com:36679/?version=2&amp;prodID=0&amp;view=00000015&amp;urn=urn:telelogic::1-52394082008461e6-O-8883-00059142","BSW_SWS_AR4_0_R2_DIODriver-8883")</f>
        <v>BSW_SWS_AR4_0_R2_DIODriver-8883</v>
      </c>
    </row>
    <row r="1315" spans="1:20" x14ac:dyDescent="0.2">
      <c r="A1315" t="s">
        <v>3580</v>
      </c>
      <c r="B1315" t="s">
        <v>614</v>
      </c>
      <c r="C1315" t="s">
        <v>3581</v>
      </c>
      <c r="D1315" t="s">
        <v>3113</v>
      </c>
      <c r="K1315" t="s">
        <v>618</v>
      </c>
      <c r="P1315" t="s">
        <v>619</v>
      </c>
      <c r="Q1315" t="s">
        <v>651</v>
      </c>
      <c r="R1315" t="s">
        <v>621</v>
      </c>
      <c r="S1315" t="s">
        <v>622</v>
      </c>
      <c r="T1315" s="3" t="str">
        <f>HYPERLINK("doors://fe-dorapcm3.de.bosch.com:36679/?version=2&amp;prodID=0&amp;view=00000015&amp;urn=urn:telelogic::1-52394082008461e6-O-8884-00059142","BSW_SWS_AR4_0_R2_DIODriver-8884")</f>
        <v>BSW_SWS_AR4_0_R2_DIODriver-8884</v>
      </c>
    </row>
    <row r="1316" spans="1:20" x14ac:dyDescent="0.2">
      <c r="A1316" t="s">
        <v>3582</v>
      </c>
      <c r="B1316" t="s">
        <v>1617</v>
      </c>
      <c r="C1316" t="s">
        <v>3583</v>
      </c>
      <c r="D1316" s="5" t="s">
        <v>3149</v>
      </c>
      <c r="K1316" t="s">
        <v>618</v>
      </c>
      <c r="P1316" t="s">
        <v>619</v>
      </c>
      <c r="Q1316" t="s">
        <v>620</v>
      </c>
      <c r="R1316" t="s">
        <v>1860</v>
      </c>
      <c r="T1316" s="3" t="str">
        <f>HYPERLINK("doors://fe-dorapcm3.de.bosch.com:36679/?version=2&amp;prodID=0&amp;view=00000015&amp;urn=urn:telelogic::1-52394082008461e6-O-8887-00059142","BSW_SWS_AR4_0_R2_DIODriver-8887")</f>
        <v>BSW_SWS_AR4_0_R2_DIODriver-8887</v>
      </c>
    </row>
    <row r="1317" spans="1:20" x14ac:dyDescent="0.2">
      <c r="A1317" t="s">
        <v>3584</v>
      </c>
      <c r="B1317" t="s">
        <v>1617</v>
      </c>
      <c r="C1317" t="s">
        <v>3585</v>
      </c>
      <c r="D1317" s="2" t="s">
        <v>3586</v>
      </c>
      <c r="K1317" t="s">
        <v>618</v>
      </c>
      <c r="P1317" t="s">
        <v>619</v>
      </c>
      <c r="Q1317" t="s">
        <v>620</v>
      </c>
      <c r="R1317" t="s">
        <v>1860</v>
      </c>
      <c r="T1317" s="3" t="str">
        <f>HYPERLINK("doors://fe-dorapcm3.de.bosch.com:36679/?version=2&amp;prodID=0&amp;view=00000015&amp;urn=urn:telelogic::1-52394082008461e6-O-8888-00059142","BSW_SWS_AR4_0_R2_DIODriver-8888")</f>
        <v>BSW_SWS_AR4_0_R2_DIODriver-8888</v>
      </c>
    </row>
    <row r="1318" spans="1:20" ht="25.5" x14ac:dyDescent="0.2">
      <c r="A1318" t="s">
        <v>3587</v>
      </c>
      <c r="B1318" t="s">
        <v>1617</v>
      </c>
      <c r="C1318" t="s">
        <v>3588</v>
      </c>
      <c r="D1318" s="6" t="s">
        <v>3175</v>
      </c>
      <c r="K1318" t="s">
        <v>618</v>
      </c>
      <c r="P1318" t="s">
        <v>619</v>
      </c>
      <c r="Q1318" t="s">
        <v>620</v>
      </c>
      <c r="R1318" t="s">
        <v>1860</v>
      </c>
      <c r="T1318" s="3" t="str">
        <f>HYPERLINK("doors://fe-dorapcm3.de.bosch.com:36679/?version=2&amp;prodID=0&amp;view=00000015&amp;urn=urn:telelogic::1-52394082008461e6-O-8890-00059142","BSW_SWS_AR4_0_R2_DIODriver-8890")</f>
        <v>BSW_SWS_AR4_0_R2_DIODriver-8890</v>
      </c>
    </row>
    <row r="1319" spans="1:20" x14ac:dyDescent="0.2">
      <c r="A1319" t="s">
        <v>3589</v>
      </c>
      <c r="B1319" t="s">
        <v>1617</v>
      </c>
      <c r="C1319" t="s">
        <v>3590</v>
      </c>
      <c r="D1319" t="s">
        <v>3591</v>
      </c>
      <c r="K1319" t="s">
        <v>618</v>
      </c>
      <c r="P1319" t="s">
        <v>619</v>
      </c>
      <c r="Q1319" t="s">
        <v>620</v>
      </c>
      <c r="R1319" t="s">
        <v>1860</v>
      </c>
      <c r="T1319" s="3" t="str">
        <f>HYPERLINK("doors://fe-dorapcm3.de.bosch.com:36679/?version=2&amp;prodID=0&amp;view=00000015&amp;urn=urn:telelogic::1-52394082008461e6-O-8891-00059142","BSW_SWS_AR4_0_R2_DIODriver-8891")</f>
        <v>BSW_SWS_AR4_0_R2_DIODriver-8891</v>
      </c>
    </row>
    <row r="1320" spans="1:20" x14ac:dyDescent="0.2">
      <c r="A1320" t="s">
        <v>3592</v>
      </c>
      <c r="B1320" t="s">
        <v>1617</v>
      </c>
      <c r="C1320" t="s">
        <v>3593</v>
      </c>
      <c r="D1320" s="5" t="s">
        <v>3159</v>
      </c>
      <c r="K1320" t="s">
        <v>618</v>
      </c>
      <c r="P1320" t="s">
        <v>619</v>
      </c>
      <c r="Q1320" t="s">
        <v>620</v>
      </c>
      <c r="R1320" t="s">
        <v>1860</v>
      </c>
      <c r="T1320" s="3" t="str">
        <f>HYPERLINK("doors://fe-dorapcm3.de.bosch.com:36679/?version=2&amp;prodID=0&amp;view=00000015&amp;urn=urn:telelogic::1-52394082008461e6-O-8893-00059142","BSW_SWS_AR4_0_R2_DIODriver-8893")</f>
        <v>BSW_SWS_AR4_0_R2_DIODriver-8893</v>
      </c>
    </row>
    <row r="1321" spans="1:20" x14ac:dyDescent="0.2">
      <c r="A1321" t="s">
        <v>3594</v>
      </c>
      <c r="B1321" t="s">
        <v>1617</v>
      </c>
      <c r="C1321" t="s">
        <v>3595</v>
      </c>
      <c r="D1321" t="s">
        <v>3596</v>
      </c>
      <c r="K1321" t="s">
        <v>618</v>
      </c>
      <c r="P1321" t="s">
        <v>619</v>
      </c>
      <c r="Q1321" t="s">
        <v>620</v>
      </c>
      <c r="R1321" t="s">
        <v>1860</v>
      </c>
      <c r="T1321" s="3" t="str">
        <f>HYPERLINK("doors://fe-dorapcm3.de.bosch.com:36679/?version=2&amp;prodID=0&amp;view=00000015&amp;urn=urn:telelogic::1-52394082008461e6-O-8894-00059142","BSW_SWS_AR4_0_R2_DIODriver-8894")</f>
        <v>BSW_SWS_AR4_0_R2_DIODriver-8894</v>
      </c>
    </row>
    <row r="1322" spans="1:20" x14ac:dyDescent="0.2">
      <c r="A1322" t="s">
        <v>3597</v>
      </c>
      <c r="B1322" t="s">
        <v>1617</v>
      </c>
      <c r="C1322" t="s">
        <v>3598</v>
      </c>
      <c r="D1322" s="5" t="s">
        <v>3122</v>
      </c>
      <c r="K1322" t="s">
        <v>618</v>
      </c>
      <c r="P1322" t="s">
        <v>619</v>
      </c>
      <c r="Q1322" t="s">
        <v>620</v>
      </c>
      <c r="R1322" t="s">
        <v>1860</v>
      </c>
      <c r="T1322" s="3" t="str">
        <f>HYPERLINK("doors://fe-dorapcm3.de.bosch.com:36679/?version=2&amp;prodID=0&amp;view=00000015&amp;urn=urn:telelogic::1-52394082008461e6-O-8896-00059142","BSW_SWS_AR4_0_R2_DIODriver-8896")</f>
        <v>BSW_SWS_AR4_0_R2_DIODriver-8896</v>
      </c>
    </row>
    <row r="1323" spans="1:20" x14ac:dyDescent="0.2">
      <c r="A1323" t="s">
        <v>3599</v>
      </c>
      <c r="B1323" t="s">
        <v>1617</v>
      </c>
      <c r="C1323" t="s">
        <v>3600</v>
      </c>
      <c r="D1323">
        <v>1</v>
      </c>
      <c r="K1323" t="s">
        <v>618</v>
      </c>
      <c r="P1323" t="s">
        <v>619</v>
      </c>
      <c r="Q1323" t="s">
        <v>620</v>
      </c>
      <c r="R1323" t="s">
        <v>1860</v>
      </c>
      <c r="T1323" s="3" t="str">
        <f>HYPERLINK("doors://fe-dorapcm3.de.bosch.com:36679/?version=2&amp;prodID=0&amp;view=00000015&amp;urn=urn:telelogic::1-52394082008461e6-O-8897-00059142","BSW_SWS_AR4_0_R2_DIODriver-8897")</f>
        <v>BSW_SWS_AR4_0_R2_DIODriver-8897</v>
      </c>
    </row>
    <row r="1324" spans="1:20" x14ac:dyDescent="0.2">
      <c r="A1324" t="s">
        <v>3601</v>
      </c>
      <c r="B1324" t="s">
        <v>1617</v>
      </c>
      <c r="C1324" t="s">
        <v>3602</v>
      </c>
      <c r="D1324" s="5" t="s">
        <v>3190</v>
      </c>
      <c r="K1324" t="s">
        <v>618</v>
      </c>
      <c r="P1324" t="s">
        <v>619</v>
      </c>
      <c r="Q1324" t="s">
        <v>620</v>
      </c>
      <c r="R1324" t="s">
        <v>1860</v>
      </c>
      <c r="T1324" s="3" t="str">
        <f>HYPERLINK("doors://fe-dorapcm3.de.bosch.com:36679/?version=2&amp;prodID=0&amp;view=00000015&amp;urn=urn:telelogic::1-52394082008461e6-O-8899-00059142","BSW_SWS_AR4_0_R2_DIODriver-8899")</f>
        <v>BSW_SWS_AR4_0_R2_DIODriver-8899</v>
      </c>
    </row>
    <row r="1325" spans="1:20" x14ac:dyDescent="0.2">
      <c r="A1325" t="s">
        <v>3603</v>
      </c>
      <c r="B1325" t="s">
        <v>1617</v>
      </c>
      <c r="C1325" t="s">
        <v>3604</v>
      </c>
      <c r="D1325" t="s">
        <v>3605</v>
      </c>
      <c r="K1325" t="s">
        <v>618</v>
      </c>
      <c r="P1325" t="s">
        <v>619</v>
      </c>
      <c r="Q1325" t="s">
        <v>620</v>
      </c>
      <c r="R1325" t="s">
        <v>1860</v>
      </c>
      <c r="T1325" s="3" t="str">
        <f>HYPERLINK("doors://fe-dorapcm3.de.bosch.com:36679/?version=2&amp;prodID=0&amp;view=00000015&amp;urn=urn:telelogic::1-52394082008461e6-O-8900-00059142","BSW_SWS_AR4_0_R2_DIODriver-8900")</f>
        <v>BSW_SWS_AR4_0_R2_DIODriver-8900</v>
      </c>
    </row>
    <row r="1326" spans="1:20" x14ac:dyDescent="0.2">
      <c r="A1326" t="s">
        <v>3606</v>
      </c>
      <c r="B1326" t="s">
        <v>1617</v>
      </c>
      <c r="C1326" t="s">
        <v>3607</v>
      </c>
      <c r="D1326" s="5" t="s">
        <v>3196</v>
      </c>
      <c r="K1326" t="s">
        <v>618</v>
      </c>
      <c r="P1326" t="s">
        <v>619</v>
      </c>
      <c r="Q1326" t="s">
        <v>620</v>
      </c>
      <c r="R1326" t="s">
        <v>1860</v>
      </c>
      <c r="T1326" s="3" t="str">
        <f>HYPERLINK("doors://fe-dorapcm3.de.bosch.com:36679/?version=2&amp;prodID=0&amp;view=00000015&amp;urn=urn:telelogic::1-52394082008461e6-O-8902-00059142","BSW_SWS_AR4_0_R2_DIODriver-8902")</f>
        <v>BSW_SWS_AR4_0_R2_DIODriver-8902</v>
      </c>
    </row>
    <row r="1327" spans="1:20" x14ac:dyDescent="0.2">
      <c r="A1327" t="s">
        <v>3608</v>
      </c>
      <c r="B1327" t="s">
        <v>1617</v>
      </c>
      <c r="C1327" t="s">
        <v>3609</v>
      </c>
      <c r="D1327" t="s">
        <v>3199</v>
      </c>
      <c r="K1327" t="s">
        <v>618</v>
      </c>
      <c r="P1327" t="s">
        <v>619</v>
      </c>
      <c r="Q1327" t="s">
        <v>620</v>
      </c>
      <c r="R1327" t="s">
        <v>1860</v>
      </c>
      <c r="T1327" s="3" t="str">
        <f>HYPERLINK("doors://fe-dorapcm3.de.bosch.com:36679/?version=2&amp;prodID=0&amp;view=00000015&amp;urn=urn:telelogic::1-52394082008461e6-O-8903-00059142","BSW_SWS_AR4_0_R2_DIODriver-8903")</f>
        <v>BSW_SWS_AR4_0_R2_DIODriver-8903</v>
      </c>
    </row>
    <row r="1328" spans="1:20" x14ac:dyDescent="0.2">
      <c r="A1328" t="s">
        <v>3610</v>
      </c>
      <c r="B1328" t="s">
        <v>1617</v>
      </c>
      <c r="C1328" t="s">
        <v>3611</v>
      </c>
      <c r="D1328" s="5" t="s">
        <v>3612</v>
      </c>
      <c r="K1328" t="s">
        <v>618</v>
      </c>
      <c r="P1328" t="s">
        <v>619</v>
      </c>
      <c r="Q1328" t="s">
        <v>620</v>
      </c>
      <c r="R1328" t="s">
        <v>1860</v>
      </c>
      <c r="T1328" s="3" t="str">
        <f>HYPERLINK("doors://fe-dorapcm3.de.bosch.com:36679/?version=2&amp;prodID=0&amp;view=00000015&amp;urn=urn:telelogic::1-52394082008461e6-O-8905-00059142","BSW_SWS_AR4_0_R2_DIODriver-8905")</f>
        <v>BSW_SWS_AR4_0_R2_DIODriver-8905</v>
      </c>
    </row>
    <row r="1329" spans="1:20" x14ac:dyDescent="0.2">
      <c r="A1329" t="s">
        <v>3613</v>
      </c>
      <c r="B1329" t="s">
        <v>1617</v>
      </c>
      <c r="C1329" t="s">
        <v>3614</v>
      </c>
      <c r="D1329" t="s">
        <v>3199</v>
      </c>
      <c r="K1329" t="s">
        <v>618</v>
      </c>
      <c r="P1329" t="s">
        <v>619</v>
      </c>
      <c r="Q1329" t="s">
        <v>620</v>
      </c>
      <c r="R1329" t="s">
        <v>1860</v>
      </c>
      <c r="T1329" s="3" t="str">
        <f>HYPERLINK("doors://fe-dorapcm3.de.bosch.com:36679/?version=2&amp;prodID=0&amp;view=00000015&amp;urn=urn:telelogic::1-52394082008461e6-O-8906-00059142","BSW_SWS_AR4_0_R2_DIODriver-8906")</f>
        <v>BSW_SWS_AR4_0_R2_DIODriver-8906</v>
      </c>
    </row>
    <row r="1330" spans="1:20" x14ac:dyDescent="0.2">
      <c r="A1330" t="s">
        <v>3615</v>
      </c>
      <c r="B1330" t="s">
        <v>1617</v>
      </c>
      <c r="C1330" t="s">
        <v>3616</v>
      </c>
      <c r="D1330" s="5" t="s">
        <v>3617</v>
      </c>
      <c r="K1330" t="s">
        <v>618</v>
      </c>
      <c r="P1330" t="s">
        <v>619</v>
      </c>
      <c r="Q1330" t="s">
        <v>620</v>
      </c>
      <c r="R1330" t="s">
        <v>1860</v>
      </c>
      <c r="T1330" s="3" t="str">
        <f>HYPERLINK("doors://fe-dorapcm3.de.bosch.com:36679/?version=2&amp;prodID=0&amp;view=00000015&amp;urn=urn:telelogic::1-52394082008461e6-O-8908-00059142","BSW_SWS_AR4_0_R2_DIODriver-8908")</f>
        <v>BSW_SWS_AR4_0_R2_DIODriver-8908</v>
      </c>
    </row>
    <row r="1331" spans="1:20" x14ac:dyDescent="0.2">
      <c r="A1331" t="s">
        <v>3618</v>
      </c>
      <c r="B1331" t="s">
        <v>1617</v>
      </c>
      <c r="C1331" t="s">
        <v>3619</v>
      </c>
      <c r="D1331" t="s">
        <v>3199</v>
      </c>
      <c r="K1331" t="s">
        <v>618</v>
      </c>
      <c r="P1331" t="s">
        <v>619</v>
      </c>
      <c r="Q1331" t="s">
        <v>620</v>
      </c>
      <c r="R1331" t="s">
        <v>1860</v>
      </c>
      <c r="T1331" s="3" t="str">
        <f>HYPERLINK("doors://fe-dorapcm3.de.bosch.com:36679/?version=2&amp;prodID=0&amp;view=00000015&amp;urn=urn:telelogic::1-52394082008461e6-O-8909-00059142","BSW_SWS_AR4_0_R2_DIODriver-8909")</f>
        <v>BSW_SWS_AR4_0_R2_DIODriver-8909</v>
      </c>
    </row>
    <row r="1332" spans="1:20" x14ac:dyDescent="0.2">
      <c r="A1332" t="s">
        <v>3620</v>
      </c>
      <c r="B1332" t="s">
        <v>1617</v>
      </c>
      <c r="C1332" t="s">
        <v>3621</v>
      </c>
      <c r="D1332" s="5" t="s">
        <v>3622</v>
      </c>
      <c r="K1332" t="s">
        <v>618</v>
      </c>
      <c r="P1332" t="s">
        <v>619</v>
      </c>
      <c r="Q1332" t="s">
        <v>620</v>
      </c>
      <c r="R1332" t="s">
        <v>1860</v>
      </c>
      <c r="T1332" s="3" t="str">
        <f>HYPERLINK("doors://fe-dorapcm3.de.bosch.com:36679/?version=2&amp;prodID=0&amp;view=00000015&amp;urn=urn:telelogic::1-52394082008461e6-O-8911-00059142","BSW_SWS_AR4_0_R2_DIODriver-8911")</f>
        <v>BSW_SWS_AR4_0_R2_DIODriver-8911</v>
      </c>
    </row>
    <row r="1333" spans="1:20" x14ac:dyDescent="0.2">
      <c r="A1333" t="s">
        <v>3623</v>
      </c>
      <c r="B1333" t="s">
        <v>1617</v>
      </c>
      <c r="C1333" t="s">
        <v>3624</v>
      </c>
      <c r="D1333" t="s">
        <v>3199</v>
      </c>
      <c r="K1333" t="s">
        <v>618</v>
      </c>
      <c r="P1333" t="s">
        <v>619</v>
      </c>
      <c r="Q1333" t="s">
        <v>620</v>
      </c>
      <c r="R1333" t="s">
        <v>1860</v>
      </c>
      <c r="T1333" s="3" t="str">
        <f>HYPERLINK("doors://fe-dorapcm3.de.bosch.com:36679/?version=2&amp;prodID=0&amp;view=00000015&amp;urn=urn:telelogic::1-52394082008461e6-O-8912-00059142","BSW_SWS_AR4_0_R2_DIODriver-8912")</f>
        <v>BSW_SWS_AR4_0_R2_DIODriver-8912</v>
      </c>
    </row>
    <row r="1334" spans="1:20" x14ac:dyDescent="0.2">
      <c r="A1334" t="s">
        <v>3625</v>
      </c>
      <c r="B1334" t="s">
        <v>1617</v>
      </c>
      <c r="C1334" t="s">
        <v>3626</v>
      </c>
      <c r="D1334" s="5" t="s">
        <v>3202</v>
      </c>
      <c r="K1334" t="s">
        <v>618</v>
      </c>
      <c r="P1334" t="s">
        <v>619</v>
      </c>
      <c r="Q1334" t="s">
        <v>620</v>
      </c>
      <c r="R1334" t="s">
        <v>1860</v>
      </c>
      <c r="T1334" s="3" t="str">
        <f>HYPERLINK("doors://fe-dorapcm3.de.bosch.com:36679/?version=2&amp;prodID=0&amp;view=00000015&amp;urn=urn:telelogic::1-52394082008461e6-O-8914-00059142","BSW_SWS_AR4_0_R2_DIODriver-8914")</f>
        <v>BSW_SWS_AR4_0_R2_DIODriver-8914</v>
      </c>
    </row>
    <row r="1335" spans="1:20" x14ac:dyDescent="0.2">
      <c r="A1335" t="s">
        <v>3627</v>
      </c>
      <c r="B1335" t="s">
        <v>1617</v>
      </c>
      <c r="C1335" t="s">
        <v>3628</v>
      </c>
      <c r="D1335" s="5" t="s">
        <v>3205</v>
      </c>
      <c r="K1335" t="s">
        <v>618</v>
      </c>
      <c r="P1335" t="s">
        <v>619</v>
      </c>
      <c r="Q1335" t="s">
        <v>620</v>
      </c>
      <c r="R1335" t="s">
        <v>1860</v>
      </c>
      <c r="T1335" s="3" t="str">
        <f>HYPERLINK("doors://fe-dorapcm3.de.bosch.com:36679/?version=2&amp;prodID=0&amp;view=00000015&amp;urn=urn:telelogic::1-52394082008461e6-O-8915-00059142","BSW_SWS_AR4_0_R2_DIODriver-8915")</f>
        <v>BSW_SWS_AR4_0_R2_DIODriver-8915</v>
      </c>
    </row>
    <row r="1336" spans="1:20" x14ac:dyDescent="0.2">
      <c r="A1336" t="s">
        <v>3629</v>
      </c>
      <c r="B1336" t="s">
        <v>1617</v>
      </c>
      <c r="C1336" t="s">
        <v>3630</v>
      </c>
      <c r="D1336" t="s">
        <v>3208</v>
      </c>
      <c r="K1336" t="s">
        <v>618</v>
      </c>
      <c r="P1336" t="s">
        <v>619</v>
      </c>
      <c r="Q1336" t="s">
        <v>620</v>
      </c>
      <c r="R1336" t="s">
        <v>1860</v>
      </c>
      <c r="T1336" s="3" t="str">
        <f>HYPERLINK("doors://fe-dorapcm3.de.bosch.com:36679/?version=2&amp;prodID=0&amp;view=00000015&amp;urn=urn:telelogic::1-52394082008461e6-O-8916-00059142","BSW_SWS_AR4_0_R2_DIODriver-8916")</f>
        <v>BSW_SWS_AR4_0_R2_DIODriver-8916</v>
      </c>
    </row>
    <row r="1337" spans="1:20" x14ac:dyDescent="0.2">
      <c r="A1337" t="s">
        <v>3631</v>
      </c>
      <c r="B1337" t="s">
        <v>1617</v>
      </c>
      <c r="C1337" t="s">
        <v>3632</v>
      </c>
      <c r="D1337" t="s">
        <v>3211</v>
      </c>
      <c r="K1337" t="s">
        <v>618</v>
      </c>
      <c r="P1337" t="s">
        <v>619</v>
      </c>
      <c r="Q1337" t="s">
        <v>620</v>
      </c>
      <c r="R1337" t="s">
        <v>1860</v>
      </c>
      <c r="T1337" s="3" t="str">
        <f>HYPERLINK("doors://fe-dorapcm3.de.bosch.com:36679/?version=2&amp;prodID=0&amp;view=00000015&amp;urn=urn:telelogic::1-52394082008461e6-O-8917-00059142","BSW_SWS_AR4_0_R2_DIODriver-8917")</f>
        <v>BSW_SWS_AR4_0_R2_DIODriver-8917</v>
      </c>
    </row>
    <row r="1338" spans="1:20" x14ac:dyDescent="0.2">
      <c r="A1338" t="s">
        <v>3633</v>
      </c>
      <c r="B1338" t="s">
        <v>1617</v>
      </c>
      <c r="C1338" t="s">
        <v>3634</v>
      </c>
      <c r="K1338" t="s">
        <v>618</v>
      </c>
      <c r="P1338" t="s">
        <v>619</v>
      </c>
      <c r="Q1338" t="s">
        <v>620</v>
      </c>
      <c r="R1338" t="s">
        <v>1860</v>
      </c>
      <c r="T1338" s="3" t="str">
        <f>HYPERLINK("doors://fe-dorapcm3.de.bosch.com:36679/?version=2&amp;prodID=0&amp;view=00000015&amp;urn=urn:telelogic::1-52394082008461e6-O-8919-00059142","BSW_SWS_AR4_0_R2_DIODriver-8919")</f>
        <v>BSW_SWS_AR4_0_R2_DIODriver-8919</v>
      </c>
    </row>
    <row r="1339" spans="1:20" x14ac:dyDescent="0.2">
      <c r="A1339" t="s">
        <v>3635</v>
      </c>
      <c r="B1339" t="s">
        <v>1617</v>
      </c>
      <c r="C1339" t="s">
        <v>3636</v>
      </c>
      <c r="D1339" s="5" t="s">
        <v>3216</v>
      </c>
      <c r="K1339" t="s">
        <v>618</v>
      </c>
      <c r="P1339" t="s">
        <v>619</v>
      </c>
      <c r="Q1339" t="s">
        <v>620</v>
      </c>
      <c r="R1339" t="s">
        <v>1860</v>
      </c>
      <c r="T1339" s="3" t="str">
        <f>HYPERLINK("doors://fe-dorapcm3.de.bosch.com:36679/?version=2&amp;prodID=0&amp;view=00000015&amp;urn=urn:telelogic::1-52394082008461e6-O-8920-00059142","BSW_SWS_AR4_0_R2_DIODriver-8920")</f>
        <v>BSW_SWS_AR4_0_R2_DIODriver-8920</v>
      </c>
    </row>
    <row r="1340" spans="1:20" x14ac:dyDescent="0.2">
      <c r="A1340" t="s">
        <v>3637</v>
      </c>
      <c r="B1340" t="s">
        <v>1617</v>
      </c>
      <c r="C1340" t="s">
        <v>3638</v>
      </c>
      <c r="D1340" t="s">
        <v>3199</v>
      </c>
      <c r="K1340" t="s">
        <v>618</v>
      </c>
      <c r="P1340" t="s">
        <v>619</v>
      </c>
      <c r="Q1340" t="s">
        <v>620</v>
      </c>
      <c r="R1340" t="s">
        <v>1860</v>
      </c>
      <c r="T1340" s="3" t="str">
        <f>HYPERLINK("doors://fe-dorapcm3.de.bosch.com:36679/?version=2&amp;prodID=0&amp;view=00000015&amp;urn=urn:telelogic::1-52394082008461e6-O-8921-00059142","BSW_SWS_AR4_0_R2_DIODriver-8921")</f>
        <v>BSW_SWS_AR4_0_R2_DIODriver-8921</v>
      </c>
    </row>
    <row r="1341" spans="1:20" x14ac:dyDescent="0.2">
      <c r="A1341" t="s">
        <v>3639</v>
      </c>
      <c r="B1341" t="s">
        <v>1617</v>
      </c>
      <c r="C1341" t="s">
        <v>3640</v>
      </c>
      <c r="D1341" t="s">
        <v>3113</v>
      </c>
      <c r="K1341" t="s">
        <v>618</v>
      </c>
      <c r="P1341" t="s">
        <v>619</v>
      </c>
      <c r="Q1341" t="s">
        <v>620</v>
      </c>
      <c r="R1341" t="s">
        <v>1860</v>
      </c>
      <c r="T1341" s="3" t="str">
        <f>HYPERLINK("doors://fe-dorapcm3.de.bosch.com:36679/?version=2&amp;prodID=0&amp;view=00000015&amp;urn=urn:telelogic::1-52394082008461e6-O-8922-00059142","BSW_SWS_AR4_0_R2_DIODriver-8922")</f>
        <v>BSW_SWS_AR4_0_R2_DIODriver-8922</v>
      </c>
    </row>
    <row r="1342" spans="1:20" x14ac:dyDescent="0.2">
      <c r="A1342" t="s">
        <v>3641</v>
      </c>
      <c r="B1342" t="s">
        <v>1617</v>
      </c>
      <c r="C1342" t="s">
        <v>3642</v>
      </c>
      <c r="K1342" t="s">
        <v>618</v>
      </c>
      <c r="P1342" t="s">
        <v>619</v>
      </c>
      <c r="Q1342" t="s">
        <v>620</v>
      </c>
      <c r="R1342" t="s">
        <v>1860</v>
      </c>
      <c r="T1342" s="3" t="str">
        <f>HYPERLINK("doors://fe-dorapcm3.de.bosch.com:36679/?version=2&amp;prodID=0&amp;view=00000015&amp;urn=urn:telelogic::1-52394082008461e6-O-8924-00059142","BSW_SWS_AR4_0_R2_DIODriver-8924")</f>
        <v>BSW_SWS_AR4_0_R2_DIODriver-8924</v>
      </c>
    </row>
    <row r="1343" spans="1:20" x14ac:dyDescent="0.2">
      <c r="A1343" t="s">
        <v>3643</v>
      </c>
      <c r="B1343" t="s">
        <v>1617</v>
      </c>
      <c r="C1343" t="s">
        <v>3644</v>
      </c>
      <c r="D1343" s="5" t="s">
        <v>3225</v>
      </c>
      <c r="K1343" t="s">
        <v>618</v>
      </c>
      <c r="P1343" t="s">
        <v>619</v>
      </c>
      <c r="Q1343" t="s">
        <v>620</v>
      </c>
      <c r="R1343" t="s">
        <v>1860</v>
      </c>
      <c r="T1343" s="3" t="str">
        <f>HYPERLINK("doors://fe-dorapcm3.de.bosch.com:36679/?version=2&amp;prodID=0&amp;view=00000015&amp;urn=urn:telelogic::1-52394082008461e6-O-8925-00059142","BSW_SWS_AR4_0_R2_DIODriver-8925")</f>
        <v>BSW_SWS_AR4_0_R2_DIODriver-8925</v>
      </c>
    </row>
    <row r="1344" spans="1:20" x14ac:dyDescent="0.2">
      <c r="A1344" t="s">
        <v>3645</v>
      </c>
      <c r="B1344" t="s">
        <v>1617</v>
      </c>
      <c r="C1344" t="s">
        <v>3646</v>
      </c>
      <c r="D1344" t="s">
        <v>3199</v>
      </c>
      <c r="K1344" t="s">
        <v>618</v>
      </c>
      <c r="P1344" t="s">
        <v>619</v>
      </c>
      <c r="Q1344" t="s">
        <v>620</v>
      </c>
      <c r="R1344" t="s">
        <v>1860</v>
      </c>
      <c r="T1344" s="3" t="str">
        <f>HYPERLINK("doors://fe-dorapcm3.de.bosch.com:36679/?version=2&amp;prodID=0&amp;view=00000015&amp;urn=urn:telelogic::1-52394082008461e6-O-8926-00059142","BSW_SWS_AR4_0_R2_DIODriver-8926")</f>
        <v>BSW_SWS_AR4_0_R2_DIODriver-8926</v>
      </c>
    </row>
    <row r="1345" spans="1:20" x14ac:dyDescent="0.2">
      <c r="A1345" t="s">
        <v>3647</v>
      </c>
      <c r="B1345" t="s">
        <v>1617</v>
      </c>
      <c r="C1345" t="s">
        <v>3648</v>
      </c>
      <c r="D1345" t="s">
        <v>3113</v>
      </c>
      <c r="K1345" t="s">
        <v>618</v>
      </c>
      <c r="P1345" t="s">
        <v>619</v>
      </c>
      <c r="Q1345" t="s">
        <v>620</v>
      </c>
      <c r="R1345" t="s">
        <v>1860</v>
      </c>
      <c r="T1345" s="3" t="str">
        <f>HYPERLINK("doors://fe-dorapcm3.de.bosch.com:36679/?version=2&amp;prodID=0&amp;view=00000015&amp;urn=urn:telelogic::1-52394082008461e6-O-8927-00059142","BSW_SWS_AR4_0_R2_DIODriver-8927")</f>
        <v>BSW_SWS_AR4_0_R2_DIODriver-8927</v>
      </c>
    </row>
    <row r="1346" spans="1:20" x14ac:dyDescent="0.2">
      <c r="A1346" t="s">
        <v>3649</v>
      </c>
      <c r="B1346" t="s">
        <v>1617</v>
      </c>
      <c r="C1346" t="s">
        <v>3650</v>
      </c>
      <c r="D1346" s="5" t="s">
        <v>3125</v>
      </c>
      <c r="K1346" t="s">
        <v>618</v>
      </c>
      <c r="P1346" t="s">
        <v>619</v>
      </c>
      <c r="Q1346" t="s">
        <v>620</v>
      </c>
      <c r="R1346" t="s">
        <v>1860</v>
      </c>
      <c r="T1346" s="3" t="str">
        <f>HYPERLINK("doors://fe-dorapcm3.de.bosch.com:36679/?version=2&amp;prodID=0&amp;view=00000015&amp;urn=urn:telelogic::1-52394082008461e6-O-8929-00059142","BSW_SWS_AR4_0_R2_DIODriver-8929")</f>
        <v>BSW_SWS_AR4_0_R2_DIODriver-8929</v>
      </c>
    </row>
    <row r="1347" spans="1:20" x14ac:dyDescent="0.2">
      <c r="A1347" t="s">
        <v>3651</v>
      </c>
      <c r="B1347" t="s">
        <v>1617</v>
      </c>
      <c r="C1347" t="s">
        <v>3652</v>
      </c>
      <c r="D1347" t="s">
        <v>3234</v>
      </c>
      <c r="K1347" t="s">
        <v>618</v>
      </c>
      <c r="P1347" t="s">
        <v>619</v>
      </c>
      <c r="Q1347" t="s">
        <v>620</v>
      </c>
      <c r="R1347" t="s">
        <v>1860</v>
      </c>
      <c r="T1347" s="3" t="str">
        <f>HYPERLINK("doors://fe-dorapcm3.de.bosch.com:36679/?version=2&amp;prodID=0&amp;view=00000015&amp;urn=urn:telelogic::1-52394082008461e6-O-8930-00059142","BSW_SWS_AR4_0_R2_DIODriver-8930")</f>
        <v>BSW_SWS_AR4_0_R2_DIODriver-8930</v>
      </c>
    </row>
    <row r="1348" spans="1:20" x14ac:dyDescent="0.2">
      <c r="A1348" t="s">
        <v>3653</v>
      </c>
      <c r="B1348" t="s">
        <v>614</v>
      </c>
      <c r="C1348" t="s">
        <v>3654</v>
      </c>
      <c r="D1348" t="s">
        <v>3113</v>
      </c>
      <c r="K1348" t="s">
        <v>618</v>
      </c>
      <c r="P1348" t="s">
        <v>619</v>
      </c>
      <c r="Q1348" t="s">
        <v>651</v>
      </c>
      <c r="R1348" t="s">
        <v>621</v>
      </c>
      <c r="S1348" t="s">
        <v>622</v>
      </c>
      <c r="T1348" s="3" t="str">
        <f>HYPERLINK("doors://fe-dorapcm3.de.bosch.com:36679/?version=2&amp;prodID=0&amp;view=00000015&amp;urn=urn:telelogic::1-52394082008461e6-O-8931-00059142","BSW_SWS_AR4_0_R2_DIODriver-8931")</f>
        <v>BSW_SWS_AR4_0_R2_DIODriver-8931</v>
      </c>
    </row>
    <row r="1349" spans="1:20" x14ac:dyDescent="0.2">
      <c r="A1349" t="s">
        <v>3655</v>
      </c>
      <c r="B1349" t="s">
        <v>1617</v>
      </c>
      <c r="C1349" t="s">
        <v>3656</v>
      </c>
      <c r="D1349" s="5" t="s">
        <v>3149</v>
      </c>
      <c r="K1349" t="s">
        <v>618</v>
      </c>
      <c r="P1349" t="s">
        <v>619</v>
      </c>
      <c r="Q1349" t="s">
        <v>620</v>
      </c>
      <c r="R1349" t="s">
        <v>1860</v>
      </c>
      <c r="T1349" s="3" t="str">
        <f>HYPERLINK("doors://fe-dorapcm3.de.bosch.com:36679/?version=2&amp;prodID=0&amp;view=00000015&amp;urn=urn:telelogic::1-52394082008461e6-O-8934-00059142","BSW_SWS_AR4_0_R2_DIODriver-8934")</f>
        <v>BSW_SWS_AR4_0_R2_DIODriver-8934</v>
      </c>
    </row>
    <row r="1350" spans="1:20" x14ac:dyDescent="0.2">
      <c r="A1350" t="s">
        <v>3657</v>
      </c>
      <c r="B1350" t="s">
        <v>1617</v>
      </c>
      <c r="C1350" t="s">
        <v>3658</v>
      </c>
      <c r="D1350" s="2" t="s">
        <v>3659</v>
      </c>
      <c r="K1350" t="s">
        <v>618</v>
      </c>
      <c r="P1350" t="s">
        <v>619</v>
      </c>
      <c r="Q1350" t="s">
        <v>620</v>
      </c>
      <c r="R1350" t="s">
        <v>1860</v>
      </c>
      <c r="T1350" s="3" t="str">
        <f>HYPERLINK("doors://fe-dorapcm3.de.bosch.com:36679/?version=2&amp;prodID=0&amp;view=00000015&amp;urn=urn:telelogic::1-52394082008461e6-O-8935-00059142","BSW_SWS_AR4_0_R2_DIODriver-8935")</f>
        <v>BSW_SWS_AR4_0_R2_DIODriver-8935</v>
      </c>
    </row>
    <row r="1351" spans="1:20" ht="25.5" x14ac:dyDescent="0.2">
      <c r="A1351" t="s">
        <v>3660</v>
      </c>
      <c r="B1351" t="s">
        <v>1617</v>
      </c>
      <c r="C1351" t="s">
        <v>3661</v>
      </c>
      <c r="D1351" s="6" t="s">
        <v>3175</v>
      </c>
      <c r="K1351" t="s">
        <v>618</v>
      </c>
      <c r="P1351" t="s">
        <v>619</v>
      </c>
      <c r="Q1351" t="s">
        <v>620</v>
      </c>
      <c r="R1351" t="s">
        <v>1860</v>
      </c>
      <c r="T1351" s="3" t="str">
        <f>HYPERLINK("doors://fe-dorapcm3.de.bosch.com:36679/?version=2&amp;prodID=0&amp;view=00000015&amp;urn=urn:telelogic::1-52394082008461e6-O-8937-00059142","BSW_SWS_AR4_0_R2_DIODriver-8937")</f>
        <v>BSW_SWS_AR4_0_R2_DIODriver-8937</v>
      </c>
    </row>
    <row r="1352" spans="1:20" x14ac:dyDescent="0.2">
      <c r="A1352" t="s">
        <v>3662</v>
      </c>
      <c r="B1352" t="s">
        <v>1617</v>
      </c>
      <c r="C1352" t="s">
        <v>3663</v>
      </c>
      <c r="D1352" t="s">
        <v>3664</v>
      </c>
      <c r="K1352" t="s">
        <v>618</v>
      </c>
      <c r="P1352" t="s">
        <v>619</v>
      </c>
      <c r="Q1352" t="s">
        <v>620</v>
      </c>
      <c r="R1352" t="s">
        <v>1860</v>
      </c>
      <c r="T1352" s="3" t="str">
        <f>HYPERLINK("doors://fe-dorapcm3.de.bosch.com:36679/?version=2&amp;prodID=0&amp;view=00000015&amp;urn=urn:telelogic::1-52394082008461e6-O-8938-00059142","BSW_SWS_AR4_0_R2_DIODriver-8938")</f>
        <v>BSW_SWS_AR4_0_R2_DIODriver-8938</v>
      </c>
    </row>
    <row r="1353" spans="1:20" x14ac:dyDescent="0.2">
      <c r="A1353" t="s">
        <v>3665</v>
      </c>
      <c r="B1353" t="s">
        <v>1617</v>
      </c>
      <c r="C1353" t="s">
        <v>3666</v>
      </c>
      <c r="D1353" s="5" t="s">
        <v>3159</v>
      </c>
      <c r="K1353" t="s">
        <v>618</v>
      </c>
      <c r="P1353" t="s">
        <v>619</v>
      </c>
      <c r="Q1353" t="s">
        <v>620</v>
      </c>
      <c r="R1353" t="s">
        <v>1860</v>
      </c>
      <c r="T1353" s="3" t="str">
        <f>HYPERLINK("doors://fe-dorapcm3.de.bosch.com:36679/?version=2&amp;prodID=0&amp;view=00000015&amp;urn=urn:telelogic::1-52394082008461e6-O-8940-00059142","BSW_SWS_AR4_0_R2_DIODriver-8940")</f>
        <v>BSW_SWS_AR4_0_R2_DIODriver-8940</v>
      </c>
    </row>
    <row r="1354" spans="1:20" x14ac:dyDescent="0.2">
      <c r="A1354" t="s">
        <v>3667</v>
      </c>
      <c r="B1354" t="s">
        <v>1617</v>
      </c>
      <c r="C1354" t="s">
        <v>3668</v>
      </c>
      <c r="D1354" t="s">
        <v>3669</v>
      </c>
      <c r="K1354" t="s">
        <v>618</v>
      </c>
      <c r="P1354" t="s">
        <v>619</v>
      </c>
      <c r="Q1354" t="s">
        <v>620</v>
      </c>
      <c r="R1354" t="s">
        <v>1860</v>
      </c>
      <c r="T1354" s="3" t="str">
        <f>HYPERLINK("doors://fe-dorapcm3.de.bosch.com:36679/?version=2&amp;prodID=0&amp;view=00000015&amp;urn=urn:telelogic::1-52394082008461e6-O-8941-00059142","BSW_SWS_AR4_0_R2_DIODriver-8941")</f>
        <v>BSW_SWS_AR4_0_R2_DIODriver-8941</v>
      </c>
    </row>
    <row r="1355" spans="1:20" x14ac:dyDescent="0.2">
      <c r="A1355" t="s">
        <v>3670</v>
      </c>
      <c r="B1355" t="s">
        <v>1617</v>
      </c>
      <c r="C1355" t="s">
        <v>3671</v>
      </c>
      <c r="D1355" s="5" t="s">
        <v>3122</v>
      </c>
      <c r="K1355" t="s">
        <v>618</v>
      </c>
      <c r="P1355" t="s">
        <v>619</v>
      </c>
      <c r="Q1355" t="s">
        <v>620</v>
      </c>
      <c r="R1355" t="s">
        <v>1860</v>
      </c>
      <c r="T1355" s="3" t="str">
        <f>HYPERLINK("doors://fe-dorapcm3.de.bosch.com:36679/?version=2&amp;prodID=0&amp;view=00000015&amp;urn=urn:telelogic::1-52394082008461e6-O-8943-00059142","BSW_SWS_AR4_0_R2_DIODriver-8943")</f>
        <v>BSW_SWS_AR4_0_R2_DIODriver-8943</v>
      </c>
    </row>
    <row r="1356" spans="1:20" x14ac:dyDescent="0.2">
      <c r="A1356" t="s">
        <v>3672</v>
      </c>
      <c r="B1356" t="s">
        <v>1617</v>
      </c>
      <c r="C1356" t="s">
        <v>3673</v>
      </c>
      <c r="D1356">
        <v>1</v>
      </c>
      <c r="K1356" t="s">
        <v>618</v>
      </c>
      <c r="P1356" t="s">
        <v>619</v>
      </c>
      <c r="Q1356" t="s">
        <v>620</v>
      </c>
      <c r="R1356" t="s">
        <v>1860</v>
      </c>
      <c r="T1356" s="3" t="str">
        <f>HYPERLINK("doors://fe-dorapcm3.de.bosch.com:36679/?version=2&amp;prodID=0&amp;view=00000015&amp;urn=urn:telelogic::1-52394082008461e6-O-8944-00059142","BSW_SWS_AR4_0_R2_DIODriver-8944")</f>
        <v>BSW_SWS_AR4_0_R2_DIODriver-8944</v>
      </c>
    </row>
    <row r="1357" spans="1:20" x14ac:dyDescent="0.2">
      <c r="A1357" t="s">
        <v>3674</v>
      </c>
      <c r="B1357" t="s">
        <v>1617</v>
      </c>
      <c r="C1357" t="s">
        <v>3675</v>
      </c>
      <c r="D1357" s="5" t="s">
        <v>3190</v>
      </c>
      <c r="K1357" t="s">
        <v>618</v>
      </c>
      <c r="P1357" t="s">
        <v>619</v>
      </c>
      <c r="Q1357" t="s">
        <v>620</v>
      </c>
      <c r="R1357" t="s">
        <v>1860</v>
      </c>
      <c r="T1357" s="3" t="str">
        <f>HYPERLINK("doors://fe-dorapcm3.de.bosch.com:36679/?version=2&amp;prodID=0&amp;view=00000015&amp;urn=urn:telelogic::1-52394082008461e6-O-8946-00059142","BSW_SWS_AR4_0_R2_DIODriver-8946")</f>
        <v>BSW_SWS_AR4_0_R2_DIODriver-8946</v>
      </c>
    </row>
    <row r="1358" spans="1:20" x14ac:dyDescent="0.2">
      <c r="A1358" t="s">
        <v>3676</v>
      </c>
      <c r="B1358" t="s">
        <v>1617</v>
      </c>
      <c r="C1358" t="s">
        <v>3677</v>
      </c>
      <c r="D1358" t="s">
        <v>3678</v>
      </c>
      <c r="K1358" t="s">
        <v>618</v>
      </c>
      <c r="P1358" t="s">
        <v>619</v>
      </c>
      <c r="Q1358" t="s">
        <v>620</v>
      </c>
      <c r="R1358" t="s">
        <v>1860</v>
      </c>
      <c r="T1358" s="3" t="str">
        <f>HYPERLINK("doors://fe-dorapcm3.de.bosch.com:36679/?version=2&amp;prodID=0&amp;view=00000015&amp;urn=urn:telelogic::1-52394082008461e6-O-8947-00059142","BSW_SWS_AR4_0_R2_DIODriver-8947")</f>
        <v>BSW_SWS_AR4_0_R2_DIODriver-8947</v>
      </c>
    </row>
    <row r="1359" spans="1:20" x14ac:dyDescent="0.2">
      <c r="A1359" t="s">
        <v>3679</v>
      </c>
      <c r="B1359" t="s">
        <v>1617</v>
      </c>
      <c r="C1359" t="s">
        <v>3680</v>
      </c>
      <c r="D1359" s="5" t="s">
        <v>3404</v>
      </c>
      <c r="K1359" t="s">
        <v>618</v>
      </c>
      <c r="P1359" t="s">
        <v>619</v>
      </c>
      <c r="Q1359" t="s">
        <v>620</v>
      </c>
      <c r="R1359" t="s">
        <v>1860</v>
      </c>
      <c r="T1359" s="3" t="str">
        <f>HYPERLINK("doors://fe-dorapcm3.de.bosch.com:36679/?version=2&amp;prodID=0&amp;view=00000015&amp;urn=urn:telelogic::1-52394082008461e6-O-8949-00059142","BSW_SWS_AR4_0_R2_DIODriver-8949")</f>
        <v>BSW_SWS_AR4_0_R2_DIODriver-8949</v>
      </c>
    </row>
    <row r="1360" spans="1:20" x14ac:dyDescent="0.2">
      <c r="A1360" t="s">
        <v>3681</v>
      </c>
      <c r="B1360" t="s">
        <v>1617</v>
      </c>
      <c r="C1360" t="s">
        <v>3682</v>
      </c>
      <c r="D1360" t="s">
        <v>3407</v>
      </c>
      <c r="K1360" t="s">
        <v>618</v>
      </c>
      <c r="P1360" t="s">
        <v>619</v>
      </c>
      <c r="Q1360" t="s">
        <v>620</v>
      </c>
      <c r="R1360" t="s">
        <v>1860</v>
      </c>
      <c r="T1360" s="3" t="str">
        <f>HYPERLINK("doors://fe-dorapcm3.de.bosch.com:36679/?version=2&amp;prodID=0&amp;view=00000015&amp;urn=urn:telelogic::1-52394082008461e6-O-8950-00059142","BSW_SWS_AR4_0_R2_DIODriver-8950")</f>
        <v>BSW_SWS_AR4_0_R2_DIODriver-8950</v>
      </c>
    </row>
    <row r="1361" spans="1:20" x14ac:dyDescent="0.2">
      <c r="A1361" t="s">
        <v>3683</v>
      </c>
      <c r="B1361" t="s">
        <v>1617</v>
      </c>
      <c r="C1361" t="s">
        <v>3684</v>
      </c>
      <c r="D1361" t="s">
        <v>2755</v>
      </c>
      <c r="K1361" t="s">
        <v>618</v>
      </c>
      <c r="P1361" t="s">
        <v>619</v>
      </c>
      <c r="Q1361" t="s">
        <v>620</v>
      </c>
      <c r="R1361" t="s">
        <v>1860</v>
      </c>
      <c r="T1361" s="3" t="str">
        <f>HYPERLINK("doors://fe-dorapcm3.de.bosch.com:36679/?version=2&amp;prodID=0&amp;view=00000015&amp;urn=urn:telelogic::1-52394082008461e6-O-8951-00059142","BSW_SWS_AR4_0_R2_DIODriver-8951")</f>
        <v>BSW_SWS_AR4_0_R2_DIODriver-8951</v>
      </c>
    </row>
    <row r="1362" spans="1:20" x14ac:dyDescent="0.2">
      <c r="A1362" t="s">
        <v>3685</v>
      </c>
      <c r="B1362" t="s">
        <v>1617</v>
      </c>
      <c r="C1362" t="s">
        <v>3686</v>
      </c>
      <c r="D1362" s="5" t="s">
        <v>3196</v>
      </c>
      <c r="K1362" t="s">
        <v>618</v>
      </c>
      <c r="P1362" t="s">
        <v>619</v>
      </c>
      <c r="Q1362" t="s">
        <v>620</v>
      </c>
      <c r="R1362" t="s">
        <v>1860</v>
      </c>
      <c r="T1362" s="3" t="str">
        <f>HYPERLINK("doors://fe-dorapcm3.de.bosch.com:36679/?version=2&amp;prodID=0&amp;view=00000015&amp;urn=urn:telelogic::1-52394082008461e6-O-8953-00059142","BSW_SWS_AR4_0_R2_DIODriver-8953")</f>
        <v>BSW_SWS_AR4_0_R2_DIODriver-8953</v>
      </c>
    </row>
    <row r="1363" spans="1:20" x14ac:dyDescent="0.2">
      <c r="A1363" t="s">
        <v>3687</v>
      </c>
      <c r="B1363" t="s">
        <v>1617</v>
      </c>
      <c r="C1363" t="s">
        <v>3688</v>
      </c>
      <c r="D1363" t="s">
        <v>3199</v>
      </c>
      <c r="K1363" t="s">
        <v>618</v>
      </c>
      <c r="P1363" t="s">
        <v>619</v>
      </c>
      <c r="Q1363" t="s">
        <v>620</v>
      </c>
      <c r="R1363" t="s">
        <v>1860</v>
      </c>
      <c r="T1363" s="3" t="str">
        <f>HYPERLINK("doors://fe-dorapcm3.de.bosch.com:36679/?version=2&amp;prodID=0&amp;view=00000015&amp;urn=urn:telelogic::1-52394082008461e6-O-8954-00059142","BSW_SWS_AR4_0_R2_DIODriver-8954")</f>
        <v>BSW_SWS_AR4_0_R2_DIODriver-8954</v>
      </c>
    </row>
    <row r="1364" spans="1:20" x14ac:dyDescent="0.2">
      <c r="A1364" t="s">
        <v>3689</v>
      </c>
      <c r="B1364" t="s">
        <v>1617</v>
      </c>
      <c r="C1364" t="s">
        <v>3690</v>
      </c>
      <c r="D1364" s="5" t="s">
        <v>3202</v>
      </c>
      <c r="K1364" t="s">
        <v>618</v>
      </c>
      <c r="P1364" t="s">
        <v>619</v>
      </c>
      <c r="Q1364" t="s">
        <v>620</v>
      </c>
      <c r="R1364" t="s">
        <v>1860</v>
      </c>
      <c r="T1364" s="3" t="str">
        <f>HYPERLINK("doors://fe-dorapcm3.de.bosch.com:36679/?version=2&amp;prodID=0&amp;view=00000015&amp;urn=urn:telelogic::1-52394082008461e6-O-8956-00059142","BSW_SWS_AR4_0_R2_DIODriver-8956")</f>
        <v>BSW_SWS_AR4_0_R2_DIODriver-8956</v>
      </c>
    </row>
    <row r="1365" spans="1:20" x14ac:dyDescent="0.2">
      <c r="A1365" t="s">
        <v>3691</v>
      </c>
      <c r="B1365" t="s">
        <v>1617</v>
      </c>
      <c r="C1365" t="s">
        <v>3692</v>
      </c>
      <c r="D1365" s="5" t="s">
        <v>3205</v>
      </c>
      <c r="K1365" t="s">
        <v>618</v>
      </c>
      <c r="P1365" t="s">
        <v>619</v>
      </c>
      <c r="Q1365" t="s">
        <v>620</v>
      </c>
      <c r="R1365" t="s">
        <v>1860</v>
      </c>
      <c r="T1365" s="3" t="str">
        <f>HYPERLINK("doors://fe-dorapcm3.de.bosch.com:36679/?version=2&amp;prodID=0&amp;view=00000015&amp;urn=urn:telelogic::1-52394082008461e6-O-8957-00059142","BSW_SWS_AR4_0_R2_DIODriver-8957")</f>
        <v>BSW_SWS_AR4_0_R2_DIODriver-8957</v>
      </c>
    </row>
    <row r="1366" spans="1:20" x14ac:dyDescent="0.2">
      <c r="A1366" t="s">
        <v>3693</v>
      </c>
      <c r="B1366" t="s">
        <v>1617</v>
      </c>
      <c r="C1366" t="s">
        <v>3694</v>
      </c>
      <c r="D1366" t="s">
        <v>3208</v>
      </c>
      <c r="K1366" t="s">
        <v>618</v>
      </c>
      <c r="P1366" t="s">
        <v>619</v>
      </c>
      <c r="Q1366" t="s">
        <v>620</v>
      </c>
      <c r="R1366" t="s">
        <v>1860</v>
      </c>
      <c r="T1366" s="3" t="str">
        <f>HYPERLINK("doors://fe-dorapcm3.de.bosch.com:36679/?version=2&amp;prodID=0&amp;view=00000015&amp;urn=urn:telelogic::1-52394082008461e6-O-8958-00059142","BSW_SWS_AR4_0_R2_DIODriver-8958")</f>
        <v>BSW_SWS_AR4_0_R2_DIODriver-8958</v>
      </c>
    </row>
    <row r="1367" spans="1:20" x14ac:dyDescent="0.2">
      <c r="A1367" t="s">
        <v>3695</v>
      </c>
      <c r="B1367" t="s">
        <v>1617</v>
      </c>
      <c r="C1367" t="s">
        <v>3696</v>
      </c>
      <c r="D1367" t="s">
        <v>3422</v>
      </c>
      <c r="K1367" t="s">
        <v>618</v>
      </c>
      <c r="P1367" t="s">
        <v>619</v>
      </c>
      <c r="Q1367" t="s">
        <v>620</v>
      </c>
      <c r="R1367" t="s">
        <v>1860</v>
      </c>
      <c r="T1367" s="3" t="str">
        <f>HYPERLINK("doors://fe-dorapcm3.de.bosch.com:36679/?version=2&amp;prodID=0&amp;view=00000015&amp;urn=urn:telelogic::1-52394082008461e6-O-8959-00059142","BSW_SWS_AR4_0_R2_DIODriver-8959")</f>
        <v>BSW_SWS_AR4_0_R2_DIODriver-8959</v>
      </c>
    </row>
    <row r="1368" spans="1:20" x14ac:dyDescent="0.2">
      <c r="A1368" t="s">
        <v>3697</v>
      </c>
      <c r="B1368" t="s">
        <v>1617</v>
      </c>
      <c r="C1368" t="s">
        <v>3698</v>
      </c>
      <c r="K1368" t="s">
        <v>618</v>
      </c>
      <c r="P1368" t="s">
        <v>619</v>
      </c>
      <c r="Q1368" t="s">
        <v>620</v>
      </c>
      <c r="R1368" t="s">
        <v>1860</v>
      </c>
      <c r="T1368" s="3" t="str">
        <f>HYPERLINK("doors://fe-dorapcm3.de.bosch.com:36679/?version=2&amp;prodID=0&amp;view=00000015&amp;urn=urn:telelogic::1-52394082008461e6-O-8961-00059142","BSW_SWS_AR4_0_R2_DIODriver-8961")</f>
        <v>BSW_SWS_AR4_0_R2_DIODriver-8961</v>
      </c>
    </row>
    <row r="1369" spans="1:20" x14ac:dyDescent="0.2">
      <c r="A1369" t="s">
        <v>3699</v>
      </c>
      <c r="B1369" t="s">
        <v>1617</v>
      </c>
      <c r="C1369" t="s">
        <v>3700</v>
      </c>
      <c r="D1369" s="5" t="s">
        <v>3216</v>
      </c>
      <c r="K1369" t="s">
        <v>618</v>
      </c>
      <c r="P1369" t="s">
        <v>619</v>
      </c>
      <c r="Q1369" t="s">
        <v>620</v>
      </c>
      <c r="R1369" t="s">
        <v>1860</v>
      </c>
      <c r="T1369" s="3" t="str">
        <f>HYPERLINK("doors://fe-dorapcm3.de.bosch.com:36679/?version=2&amp;prodID=0&amp;view=00000015&amp;urn=urn:telelogic::1-52394082008461e6-O-8962-00059142","BSW_SWS_AR4_0_R2_DIODriver-8962")</f>
        <v>BSW_SWS_AR4_0_R2_DIODriver-8962</v>
      </c>
    </row>
    <row r="1370" spans="1:20" x14ac:dyDescent="0.2">
      <c r="A1370" t="s">
        <v>3701</v>
      </c>
      <c r="B1370" t="s">
        <v>1617</v>
      </c>
      <c r="C1370" t="s">
        <v>3702</v>
      </c>
      <c r="D1370" t="s">
        <v>3199</v>
      </c>
      <c r="K1370" t="s">
        <v>618</v>
      </c>
      <c r="P1370" t="s">
        <v>619</v>
      </c>
      <c r="Q1370" t="s">
        <v>620</v>
      </c>
      <c r="R1370" t="s">
        <v>1860</v>
      </c>
      <c r="T1370" s="3" t="str">
        <f>HYPERLINK("doors://fe-dorapcm3.de.bosch.com:36679/?version=2&amp;prodID=0&amp;view=00000015&amp;urn=urn:telelogic::1-52394082008461e6-O-8963-00059142","BSW_SWS_AR4_0_R2_DIODriver-8963")</f>
        <v>BSW_SWS_AR4_0_R2_DIODriver-8963</v>
      </c>
    </row>
    <row r="1371" spans="1:20" x14ac:dyDescent="0.2">
      <c r="A1371" t="s">
        <v>3703</v>
      </c>
      <c r="B1371" t="s">
        <v>1617</v>
      </c>
      <c r="C1371" t="s">
        <v>3704</v>
      </c>
      <c r="D1371" t="s">
        <v>3113</v>
      </c>
      <c r="K1371" t="s">
        <v>618</v>
      </c>
      <c r="P1371" t="s">
        <v>619</v>
      </c>
      <c r="Q1371" t="s">
        <v>620</v>
      </c>
      <c r="R1371" t="s">
        <v>1860</v>
      </c>
      <c r="T1371" s="3" t="str">
        <f>HYPERLINK("doors://fe-dorapcm3.de.bosch.com:36679/?version=2&amp;prodID=0&amp;view=00000015&amp;urn=urn:telelogic::1-52394082008461e6-O-8964-00059142","BSW_SWS_AR4_0_R2_DIODriver-8964")</f>
        <v>BSW_SWS_AR4_0_R2_DIODriver-8964</v>
      </c>
    </row>
    <row r="1372" spans="1:20" x14ac:dyDescent="0.2">
      <c r="A1372" t="s">
        <v>3705</v>
      </c>
      <c r="B1372" t="s">
        <v>1617</v>
      </c>
      <c r="C1372" t="s">
        <v>3706</v>
      </c>
      <c r="K1372" t="s">
        <v>618</v>
      </c>
      <c r="P1372" t="s">
        <v>619</v>
      </c>
      <c r="Q1372" t="s">
        <v>620</v>
      </c>
      <c r="R1372" t="s">
        <v>1860</v>
      </c>
      <c r="T1372" s="3" t="str">
        <f>HYPERLINK("doors://fe-dorapcm3.de.bosch.com:36679/?version=2&amp;prodID=0&amp;view=00000015&amp;urn=urn:telelogic::1-52394082008461e6-O-8966-00059142","BSW_SWS_AR4_0_R2_DIODriver-8966")</f>
        <v>BSW_SWS_AR4_0_R2_DIODriver-8966</v>
      </c>
    </row>
    <row r="1373" spans="1:20" x14ac:dyDescent="0.2">
      <c r="A1373" t="s">
        <v>3707</v>
      </c>
      <c r="B1373" t="s">
        <v>1617</v>
      </c>
      <c r="C1373" t="s">
        <v>3708</v>
      </c>
      <c r="D1373" s="5" t="s">
        <v>3225</v>
      </c>
      <c r="K1373" t="s">
        <v>618</v>
      </c>
      <c r="P1373" t="s">
        <v>619</v>
      </c>
      <c r="Q1373" t="s">
        <v>620</v>
      </c>
      <c r="R1373" t="s">
        <v>1860</v>
      </c>
      <c r="T1373" s="3" t="str">
        <f>HYPERLINK("doors://fe-dorapcm3.de.bosch.com:36679/?version=2&amp;prodID=0&amp;view=00000015&amp;urn=urn:telelogic::1-52394082008461e6-O-8967-00059142","BSW_SWS_AR4_0_R2_DIODriver-8967")</f>
        <v>BSW_SWS_AR4_0_R2_DIODriver-8967</v>
      </c>
    </row>
    <row r="1374" spans="1:20" x14ac:dyDescent="0.2">
      <c r="A1374" t="s">
        <v>3709</v>
      </c>
      <c r="B1374" t="s">
        <v>1617</v>
      </c>
      <c r="C1374" t="s">
        <v>3710</v>
      </c>
      <c r="D1374" t="s">
        <v>3208</v>
      </c>
      <c r="K1374" t="s">
        <v>618</v>
      </c>
      <c r="P1374" t="s">
        <v>619</v>
      </c>
      <c r="Q1374" t="s">
        <v>620</v>
      </c>
      <c r="R1374" t="s">
        <v>1860</v>
      </c>
      <c r="T1374" s="3" t="str">
        <f>HYPERLINK("doors://fe-dorapcm3.de.bosch.com:36679/?version=2&amp;prodID=0&amp;view=00000015&amp;urn=urn:telelogic::1-52394082008461e6-O-8968-00059142","BSW_SWS_AR4_0_R2_DIODriver-8968")</f>
        <v>BSW_SWS_AR4_0_R2_DIODriver-8968</v>
      </c>
    </row>
    <row r="1375" spans="1:20" x14ac:dyDescent="0.2">
      <c r="A1375" t="s">
        <v>3711</v>
      </c>
      <c r="B1375" t="s">
        <v>1617</v>
      </c>
      <c r="C1375" t="s">
        <v>3712</v>
      </c>
      <c r="D1375" t="s">
        <v>3439</v>
      </c>
      <c r="K1375" t="s">
        <v>618</v>
      </c>
      <c r="P1375" t="s">
        <v>619</v>
      </c>
      <c r="Q1375" t="s">
        <v>620</v>
      </c>
      <c r="R1375" t="s">
        <v>1860</v>
      </c>
      <c r="T1375" s="3" t="str">
        <f>HYPERLINK("doors://fe-dorapcm3.de.bosch.com:36679/?version=2&amp;prodID=0&amp;view=00000015&amp;urn=urn:telelogic::1-52394082008461e6-O-8969-00059142","BSW_SWS_AR4_0_R2_DIODriver-8969")</f>
        <v>BSW_SWS_AR4_0_R2_DIODriver-8969</v>
      </c>
    </row>
    <row r="1376" spans="1:20" x14ac:dyDescent="0.2">
      <c r="A1376" t="s">
        <v>3713</v>
      </c>
      <c r="B1376" t="s">
        <v>1617</v>
      </c>
      <c r="C1376" t="s">
        <v>3714</v>
      </c>
      <c r="D1376" s="5" t="s">
        <v>3125</v>
      </c>
      <c r="K1376" t="s">
        <v>618</v>
      </c>
      <c r="P1376" t="s">
        <v>619</v>
      </c>
      <c r="Q1376" t="s">
        <v>620</v>
      </c>
      <c r="R1376" t="s">
        <v>1860</v>
      </c>
      <c r="T1376" s="3" t="str">
        <f>HYPERLINK("doors://fe-dorapcm3.de.bosch.com:36679/?version=2&amp;prodID=0&amp;view=00000015&amp;urn=urn:telelogic::1-52394082008461e6-O-8971-00059142","BSW_SWS_AR4_0_R2_DIODriver-8971")</f>
        <v>BSW_SWS_AR4_0_R2_DIODriver-8971</v>
      </c>
    </row>
    <row r="1377" spans="1:20" x14ac:dyDescent="0.2">
      <c r="A1377" t="s">
        <v>3715</v>
      </c>
      <c r="B1377" t="s">
        <v>1617</v>
      </c>
      <c r="C1377" t="s">
        <v>3716</v>
      </c>
      <c r="K1377" t="s">
        <v>618</v>
      </c>
      <c r="P1377" t="s">
        <v>619</v>
      </c>
      <c r="Q1377" t="s">
        <v>620</v>
      </c>
      <c r="R1377" t="s">
        <v>1860</v>
      </c>
      <c r="T1377" s="3" t="str">
        <f>HYPERLINK("doors://fe-dorapcm3.de.bosch.com:36679/?version=2&amp;prodID=0&amp;view=00000015&amp;urn=urn:telelogic::1-52394082008461e6-O-8972-00059142","BSW_SWS_AR4_0_R2_DIODriver-8972")</f>
        <v>BSW_SWS_AR4_0_R2_DIODriver-8972</v>
      </c>
    </row>
    <row r="1378" spans="1:20" x14ac:dyDescent="0.2">
      <c r="A1378" t="s">
        <v>3717</v>
      </c>
      <c r="B1378" t="s">
        <v>614</v>
      </c>
      <c r="C1378" t="s">
        <v>3718</v>
      </c>
      <c r="D1378" t="s">
        <v>3113</v>
      </c>
      <c r="K1378" t="s">
        <v>618</v>
      </c>
      <c r="P1378" t="s">
        <v>619</v>
      </c>
      <c r="Q1378" t="s">
        <v>651</v>
      </c>
      <c r="R1378" t="s">
        <v>621</v>
      </c>
      <c r="S1378" t="s">
        <v>622</v>
      </c>
      <c r="T1378" s="3" t="str">
        <f>HYPERLINK("doors://fe-dorapcm3.de.bosch.com:36679/?version=2&amp;prodID=0&amp;view=00000015&amp;urn=urn:telelogic::1-52394082008461e6-O-8973-00059142","BSW_SWS_AR4_0_R2_DIODriver-8973")</f>
        <v>BSW_SWS_AR4_0_R2_DIODriver-8973</v>
      </c>
    </row>
    <row r="1379" spans="1:20" x14ac:dyDescent="0.2">
      <c r="A1379" t="s">
        <v>3719</v>
      </c>
      <c r="B1379" t="s">
        <v>1617</v>
      </c>
      <c r="C1379" t="s">
        <v>3720</v>
      </c>
      <c r="D1379" s="5" t="s">
        <v>3149</v>
      </c>
      <c r="K1379" t="s">
        <v>618</v>
      </c>
      <c r="P1379" t="s">
        <v>619</v>
      </c>
      <c r="Q1379" t="s">
        <v>620</v>
      </c>
      <c r="R1379" t="s">
        <v>1860</v>
      </c>
      <c r="T1379" s="3" t="str">
        <f>HYPERLINK("doors://fe-dorapcm3.de.bosch.com:36679/?version=2&amp;prodID=0&amp;view=00000015&amp;urn=urn:telelogic::1-52394082008461e6-O-8976-00059142","BSW_SWS_AR4_0_R2_DIODriver-8976")</f>
        <v>BSW_SWS_AR4_0_R2_DIODriver-8976</v>
      </c>
    </row>
    <row r="1380" spans="1:20" x14ac:dyDescent="0.2">
      <c r="A1380" t="s">
        <v>3721</v>
      </c>
      <c r="B1380" t="s">
        <v>1617</v>
      </c>
      <c r="C1380" t="s">
        <v>3722</v>
      </c>
      <c r="D1380" s="2" t="s">
        <v>3723</v>
      </c>
      <c r="K1380" t="s">
        <v>618</v>
      </c>
      <c r="P1380" t="s">
        <v>619</v>
      </c>
      <c r="Q1380" t="s">
        <v>620</v>
      </c>
      <c r="R1380" t="s">
        <v>1860</v>
      </c>
      <c r="T1380" s="3" t="str">
        <f>HYPERLINK("doors://fe-dorapcm3.de.bosch.com:36679/?version=2&amp;prodID=0&amp;view=00000015&amp;urn=urn:telelogic::1-52394082008461e6-O-8977-00059142","BSW_SWS_AR4_0_R2_DIODriver-8977")</f>
        <v>BSW_SWS_AR4_0_R2_DIODriver-8977</v>
      </c>
    </row>
    <row r="1381" spans="1:20" ht="25.5" x14ac:dyDescent="0.2">
      <c r="A1381" t="s">
        <v>3724</v>
      </c>
      <c r="B1381" t="s">
        <v>1617</v>
      </c>
      <c r="C1381" t="s">
        <v>3725</v>
      </c>
      <c r="D1381" s="6" t="s">
        <v>3175</v>
      </c>
      <c r="K1381" t="s">
        <v>618</v>
      </c>
      <c r="P1381" t="s">
        <v>619</v>
      </c>
      <c r="Q1381" t="s">
        <v>620</v>
      </c>
      <c r="R1381" t="s">
        <v>1860</v>
      </c>
      <c r="T1381" s="3" t="str">
        <f>HYPERLINK("doors://fe-dorapcm3.de.bosch.com:36679/?version=2&amp;prodID=0&amp;view=00000015&amp;urn=urn:telelogic::1-52394082008461e6-O-8979-00059142","BSW_SWS_AR4_0_R2_DIODriver-8979")</f>
        <v>BSW_SWS_AR4_0_R2_DIODriver-8979</v>
      </c>
    </row>
    <row r="1382" spans="1:20" x14ac:dyDescent="0.2">
      <c r="A1382" t="s">
        <v>3726</v>
      </c>
      <c r="B1382" t="s">
        <v>1617</v>
      </c>
      <c r="C1382" t="s">
        <v>3727</v>
      </c>
      <c r="D1382" t="s">
        <v>3728</v>
      </c>
      <c r="K1382" t="s">
        <v>618</v>
      </c>
      <c r="P1382" t="s">
        <v>619</v>
      </c>
      <c r="Q1382" t="s">
        <v>620</v>
      </c>
      <c r="R1382" t="s">
        <v>1860</v>
      </c>
      <c r="T1382" s="3" t="str">
        <f>HYPERLINK("doors://fe-dorapcm3.de.bosch.com:36679/?version=2&amp;prodID=0&amp;view=00000015&amp;urn=urn:telelogic::1-52394082008461e6-O-8980-00059142","BSW_SWS_AR4_0_R2_DIODriver-8980")</f>
        <v>BSW_SWS_AR4_0_R2_DIODriver-8980</v>
      </c>
    </row>
    <row r="1383" spans="1:20" x14ac:dyDescent="0.2">
      <c r="A1383" t="s">
        <v>3729</v>
      </c>
      <c r="B1383" t="s">
        <v>1617</v>
      </c>
      <c r="C1383" t="s">
        <v>3730</v>
      </c>
      <c r="D1383" s="5" t="s">
        <v>3159</v>
      </c>
      <c r="K1383" t="s">
        <v>618</v>
      </c>
      <c r="P1383" t="s">
        <v>619</v>
      </c>
      <c r="Q1383" t="s">
        <v>620</v>
      </c>
      <c r="R1383" t="s">
        <v>1860</v>
      </c>
      <c r="T1383" s="3" t="str">
        <f>HYPERLINK("doors://fe-dorapcm3.de.bosch.com:36679/?version=2&amp;prodID=0&amp;view=00000015&amp;urn=urn:telelogic::1-52394082008461e6-O-8982-00059142","BSW_SWS_AR4_0_R2_DIODriver-8982")</f>
        <v>BSW_SWS_AR4_0_R2_DIODriver-8982</v>
      </c>
    </row>
    <row r="1384" spans="1:20" x14ac:dyDescent="0.2">
      <c r="A1384" t="s">
        <v>3731</v>
      </c>
      <c r="B1384" t="s">
        <v>1617</v>
      </c>
      <c r="C1384" t="s">
        <v>3732</v>
      </c>
      <c r="D1384" t="s">
        <v>3733</v>
      </c>
      <c r="K1384" t="s">
        <v>618</v>
      </c>
      <c r="P1384" t="s">
        <v>619</v>
      </c>
      <c r="Q1384" t="s">
        <v>620</v>
      </c>
      <c r="R1384" t="s">
        <v>1860</v>
      </c>
      <c r="T1384" s="3" t="str">
        <f>HYPERLINK("doors://fe-dorapcm3.de.bosch.com:36679/?version=2&amp;prodID=0&amp;view=00000015&amp;urn=urn:telelogic::1-52394082008461e6-O-8983-00059142","BSW_SWS_AR4_0_R2_DIODriver-8983")</f>
        <v>BSW_SWS_AR4_0_R2_DIODriver-8983</v>
      </c>
    </row>
    <row r="1385" spans="1:20" x14ac:dyDescent="0.2">
      <c r="A1385" t="s">
        <v>3734</v>
      </c>
      <c r="B1385" t="s">
        <v>1617</v>
      </c>
      <c r="C1385" t="s">
        <v>3735</v>
      </c>
      <c r="D1385" s="5" t="s">
        <v>3122</v>
      </c>
      <c r="K1385" t="s">
        <v>618</v>
      </c>
      <c r="P1385" t="s">
        <v>619</v>
      </c>
      <c r="Q1385" t="s">
        <v>620</v>
      </c>
      <c r="R1385" t="s">
        <v>1860</v>
      </c>
      <c r="T1385" s="3" t="str">
        <f>HYPERLINK("doors://fe-dorapcm3.de.bosch.com:36679/?version=2&amp;prodID=0&amp;view=00000015&amp;urn=urn:telelogic::1-52394082008461e6-O-8985-00059142","BSW_SWS_AR4_0_R2_DIODriver-8985")</f>
        <v>BSW_SWS_AR4_0_R2_DIODriver-8985</v>
      </c>
    </row>
    <row r="1386" spans="1:20" x14ac:dyDescent="0.2">
      <c r="A1386" t="s">
        <v>3736</v>
      </c>
      <c r="B1386" t="s">
        <v>1617</v>
      </c>
      <c r="C1386" t="s">
        <v>3737</v>
      </c>
      <c r="D1386">
        <v>1</v>
      </c>
      <c r="K1386" t="s">
        <v>618</v>
      </c>
      <c r="P1386" t="s">
        <v>619</v>
      </c>
      <c r="Q1386" t="s">
        <v>620</v>
      </c>
      <c r="R1386" t="s">
        <v>1860</v>
      </c>
      <c r="T1386" s="3" t="str">
        <f>HYPERLINK("doors://fe-dorapcm3.de.bosch.com:36679/?version=2&amp;prodID=0&amp;view=00000015&amp;urn=urn:telelogic::1-52394082008461e6-O-8986-00059142","BSW_SWS_AR4_0_R2_DIODriver-8986")</f>
        <v>BSW_SWS_AR4_0_R2_DIODriver-8986</v>
      </c>
    </row>
    <row r="1387" spans="1:20" x14ac:dyDescent="0.2">
      <c r="A1387" t="s">
        <v>3738</v>
      </c>
      <c r="B1387" t="s">
        <v>1617</v>
      </c>
      <c r="C1387" t="s">
        <v>3739</v>
      </c>
      <c r="D1387" s="5" t="s">
        <v>3190</v>
      </c>
      <c r="K1387" t="s">
        <v>618</v>
      </c>
      <c r="P1387" t="s">
        <v>619</v>
      </c>
      <c r="Q1387" t="s">
        <v>620</v>
      </c>
      <c r="R1387" t="s">
        <v>1860</v>
      </c>
      <c r="T1387" s="3" t="str">
        <f>HYPERLINK("doors://fe-dorapcm3.de.bosch.com:36679/?version=2&amp;prodID=0&amp;view=00000015&amp;urn=urn:telelogic::1-52394082008461e6-O-8988-00059142","BSW_SWS_AR4_0_R2_DIODriver-8988")</f>
        <v>BSW_SWS_AR4_0_R2_DIODriver-8988</v>
      </c>
    </row>
    <row r="1388" spans="1:20" x14ac:dyDescent="0.2">
      <c r="A1388" t="s">
        <v>3740</v>
      </c>
      <c r="B1388" t="s">
        <v>1617</v>
      </c>
      <c r="C1388" t="s">
        <v>3741</v>
      </c>
      <c r="D1388" t="s">
        <v>3678</v>
      </c>
      <c r="K1388" t="s">
        <v>618</v>
      </c>
      <c r="P1388" t="s">
        <v>619</v>
      </c>
      <c r="Q1388" t="s">
        <v>620</v>
      </c>
      <c r="R1388" t="s">
        <v>1860</v>
      </c>
      <c r="T1388" s="3" t="str">
        <f>HYPERLINK("doors://fe-dorapcm3.de.bosch.com:36679/?version=2&amp;prodID=0&amp;view=00000015&amp;urn=urn:telelogic::1-52394082008461e6-O-8989-00059142","BSW_SWS_AR4_0_R2_DIODriver-8989")</f>
        <v>BSW_SWS_AR4_0_R2_DIODriver-8989</v>
      </c>
    </row>
    <row r="1389" spans="1:20" x14ac:dyDescent="0.2">
      <c r="A1389" t="s">
        <v>3742</v>
      </c>
      <c r="B1389" t="s">
        <v>1617</v>
      </c>
      <c r="C1389" t="s">
        <v>3743</v>
      </c>
      <c r="D1389" s="5" t="s">
        <v>3404</v>
      </c>
      <c r="K1389" t="s">
        <v>618</v>
      </c>
      <c r="P1389" t="s">
        <v>619</v>
      </c>
      <c r="Q1389" t="s">
        <v>620</v>
      </c>
      <c r="R1389" t="s">
        <v>1860</v>
      </c>
      <c r="T1389" s="3" t="str">
        <f>HYPERLINK("doors://fe-dorapcm3.de.bosch.com:36679/?version=2&amp;prodID=0&amp;view=00000015&amp;urn=urn:telelogic::1-52394082008461e6-O-8991-00059142","BSW_SWS_AR4_0_R2_DIODriver-8991")</f>
        <v>BSW_SWS_AR4_0_R2_DIODriver-8991</v>
      </c>
    </row>
    <row r="1390" spans="1:20" x14ac:dyDescent="0.2">
      <c r="A1390" t="s">
        <v>3744</v>
      </c>
      <c r="B1390" t="s">
        <v>1617</v>
      </c>
      <c r="C1390" t="s">
        <v>3745</v>
      </c>
      <c r="D1390" t="s">
        <v>3746</v>
      </c>
      <c r="K1390" t="s">
        <v>618</v>
      </c>
      <c r="P1390" t="s">
        <v>619</v>
      </c>
      <c r="Q1390" t="s">
        <v>620</v>
      </c>
      <c r="R1390" t="s">
        <v>1860</v>
      </c>
      <c r="T1390" s="3" t="str">
        <f>HYPERLINK("doors://fe-dorapcm3.de.bosch.com:36679/?version=2&amp;prodID=0&amp;view=00000015&amp;urn=urn:telelogic::1-52394082008461e6-O-8992-00059142","BSW_SWS_AR4_0_R2_DIODriver-8992")</f>
        <v>BSW_SWS_AR4_0_R2_DIODriver-8992</v>
      </c>
    </row>
    <row r="1391" spans="1:20" x14ac:dyDescent="0.2">
      <c r="A1391" t="s">
        <v>3747</v>
      </c>
      <c r="B1391" t="s">
        <v>1617</v>
      </c>
      <c r="C1391" t="s">
        <v>3748</v>
      </c>
      <c r="D1391" t="s">
        <v>2755</v>
      </c>
      <c r="K1391" t="s">
        <v>618</v>
      </c>
      <c r="P1391" t="s">
        <v>619</v>
      </c>
      <c r="Q1391" t="s">
        <v>620</v>
      </c>
      <c r="R1391" t="s">
        <v>1860</v>
      </c>
      <c r="T1391" s="3" t="str">
        <f>HYPERLINK("doors://fe-dorapcm3.de.bosch.com:36679/?version=2&amp;prodID=0&amp;view=00000015&amp;urn=urn:telelogic::1-52394082008461e6-O-8993-00059142","BSW_SWS_AR4_0_R2_DIODriver-8993")</f>
        <v>BSW_SWS_AR4_0_R2_DIODriver-8993</v>
      </c>
    </row>
    <row r="1392" spans="1:20" x14ac:dyDescent="0.2">
      <c r="A1392" t="s">
        <v>3749</v>
      </c>
      <c r="B1392" t="s">
        <v>1617</v>
      </c>
      <c r="C1392" t="s">
        <v>3750</v>
      </c>
      <c r="D1392" s="5" t="s">
        <v>3196</v>
      </c>
      <c r="K1392" t="s">
        <v>618</v>
      </c>
      <c r="P1392" t="s">
        <v>619</v>
      </c>
      <c r="Q1392" t="s">
        <v>620</v>
      </c>
      <c r="R1392" t="s">
        <v>1860</v>
      </c>
      <c r="T1392" s="3" t="str">
        <f>HYPERLINK("doors://fe-dorapcm3.de.bosch.com:36679/?version=2&amp;prodID=0&amp;view=00000015&amp;urn=urn:telelogic::1-52394082008461e6-O-8995-00059142","BSW_SWS_AR4_0_R2_DIODriver-8995")</f>
        <v>BSW_SWS_AR4_0_R2_DIODriver-8995</v>
      </c>
    </row>
    <row r="1393" spans="1:20" x14ac:dyDescent="0.2">
      <c r="A1393" t="s">
        <v>3751</v>
      </c>
      <c r="B1393" t="s">
        <v>1617</v>
      </c>
      <c r="C1393" t="s">
        <v>3752</v>
      </c>
      <c r="D1393" t="s">
        <v>3199</v>
      </c>
      <c r="K1393" t="s">
        <v>618</v>
      </c>
      <c r="P1393" t="s">
        <v>619</v>
      </c>
      <c r="Q1393" t="s">
        <v>620</v>
      </c>
      <c r="R1393" t="s">
        <v>1860</v>
      </c>
      <c r="T1393" s="3" t="str">
        <f>HYPERLINK("doors://fe-dorapcm3.de.bosch.com:36679/?version=2&amp;prodID=0&amp;view=00000015&amp;urn=urn:telelogic::1-52394082008461e6-O-8996-00059142","BSW_SWS_AR4_0_R2_DIODriver-8996")</f>
        <v>BSW_SWS_AR4_0_R2_DIODriver-8996</v>
      </c>
    </row>
    <row r="1394" spans="1:20" x14ac:dyDescent="0.2">
      <c r="A1394" t="s">
        <v>3753</v>
      </c>
      <c r="B1394" t="s">
        <v>1617</v>
      </c>
      <c r="C1394" t="s">
        <v>3754</v>
      </c>
      <c r="D1394" s="5" t="s">
        <v>3202</v>
      </c>
      <c r="K1394" t="s">
        <v>618</v>
      </c>
      <c r="P1394" t="s">
        <v>619</v>
      </c>
      <c r="Q1394" t="s">
        <v>620</v>
      </c>
      <c r="R1394" t="s">
        <v>1860</v>
      </c>
      <c r="T1394" s="3" t="str">
        <f>HYPERLINK("doors://fe-dorapcm3.de.bosch.com:36679/?version=2&amp;prodID=0&amp;view=00000015&amp;urn=urn:telelogic::1-52394082008461e6-O-8998-00059142","BSW_SWS_AR4_0_R2_DIODriver-8998")</f>
        <v>BSW_SWS_AR4_0_R2_DIODriver-8998</v>
      </c>
    </row>
    <row r="1395" spans="1:20" x14ac:dyDescent="0.2">
      <c r="A1395" t="s">
        <v>3755</v>
      </c>
      <c r="B1395" t="s">
        <v>1617</v>
      </c>
      <c r="C1395" t="s">
        <v>3756</v>
      </c>
      <c r="D1395" s="5" t="s">
        <v>3205</v>
      </c>
      <c r="K1395" t="s">
        <v>618</v>
      </c>
      <c r="P1395" t="s">
        <v>619</v>
      </c>
      <c r="Q1395" t="s">
        <v>620</v>
      </c>
      <c r="R1395" t="s">
        <v>1860</v>
      </c>
      <c r="T1395" s="3" t="str">
        <f>HYPERLINK("doors://fe-dorapcm3.de.bosch.com:36679/?version=2&amp;prodID=0&amp;view=00000015&amp;urn=urn:telelogic::1-52394082008461e6-O-8999-00059142","BSW_SWS_AR4_0_R2_DIODriver-8999")</f>
        <v>BSW_SWS_AR4_0_R2_DIODriver-8999</v>
      </c>
    </row>
    <row r="1396" spans="1:20" x14ac:dyDescent="0.2">
      <c r="A1396" t="s">
        <v>3757</v>
      </c>
      <c r="B1396" t="s">
        <v>1617</v>
      </c>
      <c r="C1396" t="s">
        <v>3758</v>
      </c>
      <c r="D1396" t="s">
        <v>3208</v>
      </c>
      <c r="K1396" t="s">
        <v>618</v>
      </c>
      <c r="P1396" t="s">
        <v>619</v>
      </c>
      <c r="Q1396" t="s">
        <v>620</v>
      </c>
      <c r="R1396" t="s">
        <v>1860</v>
      </c>
      <c r="T1396" s="3" t="str">
        <f>HYPERLINK("doors://fe-dorapcm3.de.bosch.com:36679/?version=2&amp;prodID=0&amp;view=00000015&amp;urn=urn:telelogic::1-52394082008461e6-O-9000-00059142","BSW_SWS_AR4_0_R2_DIODriver-9000")</f>
        <v>BSW_SWS_AR4_0_R2_DIODriver-9000</v>
      </c>
    </row>
    <row r="1397" spans="1:20" x14ac:dyDescent="0.2">
      <c r="A1397" t="s">
        <v>3759</v>
      </c>
      <c r="B1397" t="s">
        <v>1617</v>
      </c>
      <c r="C1397" t="s">
        <v>3760</v>
      </c>
      <c r="D1397" t="s">
        <v>3422</v>
      </c>
      <c r="K1397" t="s">
        <v>618</v>
      </c>
      <c r="P1397" t="s">
        <v>619</v>
      </c>
      <c r="Q1397" t="s">
        <v>620</v>
      </c>
      <c r="R1397" t="s">
        <v>1860</v>
      </c>
      <c r="T1397" s="3" t="str">
        <f>HYPERLINK("doors://fe-dorapcm3.de.bosch.com:36679/?version=2&amp;prodID=0&amp;view=00000015&amp;urn=urn:telelogic::1-52394082008461e6-O-9001-00059142","BSW_SWS_AR4_0_R2_DIODriver-9001")</f>
        <v>BSW_SWS_AR4_0_R2_DIODriver-9001</v>
      </c>
    </row>
    <row r="1398" spans="1:20" x14ac:dyDescent="0.2">
      <c r="A1398" t="s">
        <v>3761</v>
      </c>
      <c r="B1398" t="s">
        <v>1617</v>
      </c>
      <c r="C1398" t="s">
        <v>3762</v>
      </c>
      <c r="K1398" t="s">
        <v>618</v>
      </c>
      <c r="P1398" t="s">
        <v>619</v>
      </c>
      <c r="Q1398" t="s">
        <v>620</v>
      </c>
      <c r="R1398" t="s">
        <v>1860</v>
      </c>
      <c r="T1398" s="3" t="str">
        <f>HYPERLINK("doors://fe-dorapcm3.de.bosch.com:36679/?version=2&amp;prodID=0&amp;view=00000015&amp;urn=urn:telelogic::1-52394082008461e6-O-9003-00059142","BSW_SWS_AR4_0_R2_DIODriver-9003")</f>
        <v>BSW_SWS_AR4_0_R2_DIODriver-9003</v>
      </c>
    </row>
    <row r="1399" spans="1:20" x14ac:dyDescent="0.2">
      <c r="A1399" t="s">
        <v>3763</v>
      </c>
      <c r="B1399" t="s">
        <v>1617</v>
      </c>
      <c r="C1399" t="s">
        <v>3764</v>
      </c>
      <c r="D1399" s="5" t="s">
        <v>3216</v>
      </c>
      <c r="K1399" t="s">
        <v>618</v>
      </c>
      <c r="P1399" t="s">
        <v>619</v>
      </c>
      <c r="Q1399" t="s">
        <v>620</v>
      </c>
      <c r="R1399" t="s">
        <v>1860</v>
      </c>
      <c r="T1399" s="3" t="str">
        <f>HYPERLINK("doors://fe-dorapcm3.de.bosch.com:36679/?version=2&amp;prodID=0&amp;view=00000015&amp;urn=urn:telelogic::1-52394082008461e6-O-9004-00059142","BSW_SWS_AR4_0_R2_DIODriver-9004")</f>
        <v>BSW_SWS_AR4_0_R2_DIODriver-9004</v>
      </c>
    </row>
    <row r="1400" spans="1:20" x14ac:dyDescent="0.2">
      <c r="A1400" t="s">
        <v>3765</v>
      </c>
      <c r="B1400" t="s">
        <v>1617</v>
      </c>
      <c r="C1400" t="s">
        <v>3766</v>
      </c>
      <c r="D1400" t="s">
        <v>3199</v>
      </c>
      <c r="K1400" t="s">
        <v>618</v>
      </c>
      <c r="P1400" t="s">
        <v>619</v>
      </c>
      <c r="Q1400" t="s">
        <v>620</v>
      </c>
      <c r="R1400" t="s">
        <v>1860</v>
      </c>
      <c r="T1400" s="3" t="str">
        <f>HYPERLINK("doors://fe-dorapcm3.de.bosch.com:36679/?version=2&amp;prodID=0&amp;view=00000015&amp;urn=urn:telelogic::1-52394082008461e6-O-9005-00059142","BSW_SWS_AR4_0_R2_DIODriver-9005")</f>
        <v>BSW_SWS_AR4_0_R2_DIODriver-9005</v>
      </c>
    </row>
    <row r="1401" spans="1:20" x14ac:dyDescent="0.2">
      <c r="A1401" t="s">
        <v>3767</v>
      </c>
      <c r="B1401" t="s">
        <v>1617</v>
      </c>
      <c r="C1401" t="s">
        <v>3768</v>
      </c>
      <c r="D1401" t="s">
        <v>3113</v>
      </c>
      <c r="K1401" t="s">
        <v>618</v>
      </c>
      <c r="P1401" t="s">
        <v>619</v>
      </c>
      <c r="Q1401" t="s">
        <v>620</v>
      </c>
      <c r="R1401" t="s">
        <v>1860</v>
      </c>
      <c r="T1401" s="3" t="str">
        <f>HYPERLINK("doors://fe-dorapcm3.de.bosch.com:36679/?version=2&amp;prodID=0&amp;view=00000015&amp;urn=urn:telelogic::1-52394082008461e6-O-9006-00059142","BSW_SWS_AR4_0_R2_DIODriver-9006")</f>
        <v>BSW_SWS_AR4_0_R2_DIODriver-9006</v>
      </c>
    </row>
    <row r="1402" spans="1:20" x14ac:dyDescent="0.2">
      <c r="A1402" t="s">
        <v>3769</v>
      </c>
      <c r="B1402" t="s">
        <v>1617</v>
      </c>
      <c r="C1402" t="s">
        <v>3770</v>
      </c>
      <c r="K1402" t="s">
        <v>618</v>
      </c>
      <c r="P1402" t="s">
        <v>619</v>
      </c>
      <c r="Q1402" t="s">
        <v>620</v>
      </c>
      <c r="R1402" t="s">
        <v>1860</v>
      </c>
      <c r="T1402" s="3" t="str">
        <f>HYPERLINK("doors://fe-dorapcm3.de.bosch.com:36679/?version=2&amp;prodID=0&amp;view=00000015&amp;urn=urn:telelogic::1-52394082008461e6-O-9008-00059142","BSW_SWS_AR4_0_R2_DIODriver-9008")</f>
        <v>BSW_SWS_AR4_0_R2_DIODriver-9008</v>
      </c>
    </row>
    <row r="1403" spans="1:20" x14ac:dyDescent="0.2">
      <c r="A1403" t="s">
        <v>3771</v>
      </c>
      <c r="B1403" t="s">
        <v>1617</v>
      </c>
      <c r="C1403" t="s">
        <v>3772</v>
      </c>
      <c r="D1403" s="5" t="s">
        <v>3225</v>
      </c>
      <c r="K1403" t="s">
        <v>618</v>
      </c>
      <c r="P1403" t="s">
        <v>619</v>
      </c>
      <c r="Q1403" t="s">
        <v>620</v>
      </c>
      <c r="R1403" t="s">
        <v>1860</v>
      </c>
      <c r="T1403" s="3" t="str">
        <f>HYPERLINK("doors://fe-dorapcm3.de.bosch.com:36679/?version=2&amp;prodID=0&amp;view=00000015&amp;urn=urn:telelogic::1-52394082008461e6-O-9009-00059142","BSW_SWS_AR4_0_R2_DIODriver-9009")</f>
        <v>BSW_SWS_AR4_0_R2_DIODriver-9009</v>
      </c>
    </row>
    <row r="1404" spans="1:20" x14ac:dyDescent="0.2">
      <c r="A1404" t="s">
        <v>3773</v>
      </c>
      <c r="B1404" t="s">
        <v>1617</v>
      </c>
      <c r="C1404" t="s">
        <v>3774</v>
      </c>
      <c r="D1404" t="s">
        <v>3208</v>
      </c>
      <c r="K1404" t="s">
        <v>618</v>
      </c>
      <c r="P1404" t="s">
        <v>619</v>
      </c>
      <c r="Q1404" t="s">
        <v>620</v>
      </c>
      <c r="R1404" t="s">
        <v>1860</v>
      </c>
      <c r="T1404" s="3" t="str">
        <f>HYPERLINK("doors://fe-dorapcm3.de.bosch.com:36679/?version=2&amp;prodID=0&amp;view=00000015&amp;urn=urn:telelogic::1-52394082008461e6-O-9010-00059142","BSW_SWS_AR4_0_R2_DIODriver-9010")</f>
        <v>BSW_SWS_AR4_0_R2_DIODriver-9010</v>
      </c>
    </row>
    <row r="1405" spans="1:20" x14ac:dyDescent="0.2">
      <c r="A1405" t="s">
        <v>3775</v>
      </c>
      <c r="B1405" t="s">
        <v>1617</v>
      </c>
      <c r="C1405" t="s">
        <v>3776</v>
      </c>
      <c r="D1405" t="s">
        <v>3439</v>
      </c>
      <c r="K1405" t="s">
        <v>618</v>
      </c>
      <c r="P1405" t="s">
        <v>619</v>
      </c>
      <c r="Q1405" t="s">
        <v>620</v>
      </c>
      <c r="R1405" t="s">
        <v>1860</v>
      </c>
      <c r="T1405" s="3" t="str">
        <f>HYPERLINK("doors://fe-dorapcm3.de.bosch.com:36679/?version=2&amp;prodID=0&amp;view=00000015&amp;urn=urn:telelogic::1-52394082008461e6-O-9011-00059142","BSW_SWS_AR4_0_R2_DIODriver-9011")</f>
        <v>BSW_SWS_AR4_0_R2_DIODriver-9011</v>
      </c>
    </row>
    <row r="1406" spans="1:20" x14ac:dyDescent="0.2">
      <c r="A1406" t="s">
        <v>3777</v>
      </c>
      <c r="B1406" t="s">
        <v>1617</v>
      </c>
      <c r="C1406" t="s">
        <v>3778</v>
      </c>
      <c r="D1406" s="5" t="s">
        <v>3125</v>
      </c>
      <c r="K1406" t="s">
        <v>618</v>
      </c>
      <c r="P1406" t="s">
        <v>619</v>
      </c>
      <c r="Q1406" t="s">
        <v>620</v>
      </c>
      <c r="R1406" t="s">
        <v>1860</v>
      </c>
      <c r="T1406" s="3" t="str">
        <f>HYPERLINK("doors://fe-dorapcm3.de.bosch.com:36679/?version=2&amp;prodID=0&amp;view=00000015&amp;urn=urn:telelogic::1-52394082008461e6-O-9013-00059142","BSW_SWS_AR4_0_R2_DIODriver-9013")</f>
        <v>BSW_SWS_AR4_0_R2_DIODriver-9013</v>
      </c>
    </row>
    <row r="1407" spans="1:20" x14ac:dyDescent="0.2">
      <c r="A1407" t="s">
        <v>3779</v>
      </c>
      <c r="B1407" t="s">
        <v>1617</v>
      </c>
      <c r="C1407" t="s">
        <v>3780</v>
      </c>
      <c r="K1407" t="s">
        <v>618</v>
      </c>
      <c r="P1407" t="s">
        <v>619</v>
      </c>
      <c r="Q1407" t="s">
        <v>620</v>
      </c>
      <c r="R1407" t="s">
        <v>1860</v>
      </c>
      <c r="T1407" s="3" t="str">
        <f>HYPERLINK("doors://fe-dorapcm3.de.bosch.com:36679/?version=2&amp;prodID=0&amp;view=00000015&amp;urn=urn:telelogic::1-52394082008461e6-O-9014-00059142","BSW_SWS_AR4_0_R2_DIODriver-9014")</f>
        <v>BSW_SWS_AR4_0_R2_DIODriver-9014</v>
      </c>
    </row>
    <row r="1408" spans="1:20" x14ac:dyDescent="0.2">
      <c r="A1408" t="s">
        <v>3781</v>
      </c>
      <c r="B1408" t="s">
        <v>614</v>
      </c>
      <c r="C1408" t="s">
        <v>3782</v>
      </c>
      <c r="D1408" t="s">
        <v>3113</v>
      </c>
      <c r="K1408" t="s">
        <v>618</v>
      </c>
      <c r="P1408" t="s">
        <v>619</v>
      </c>
      <c r="Q1408" t="s">
        <v>651</v>
      </c>
      <c r="R1408" t="s">
        <v>621</v>
      </c>
      <c r="S1408" t="s">
        <v>622</v>
      </c>
      <c r="T1408" s="3" t="str">
        <f>HYPERLINK("doors://fe-dorapcm3.de.bosch.com:36679/?version=2&amp;prodID=0&amp;view=00000015&amp;urn=urn:telelogic::1-52394082008461e6-O-9015-00059142","BSW_SWS_AR4_0_R2_DIODriver-9015")</f>
        <v>BSW_SWS_AR4_0_R2_DIODriver-9015</v>
      </c>
    </row>
    <row r="1409" spans="1:20" x14ac:dyDescent="0.2">
      <c r="A1409" t="s">
        <v>3783</v>
      </c>
      <c r="B1409" t="s">
        <v>1617</v>
      </c>
      <c r="C1409" t="s">
        <v>3784</v>
      </c>
      <c r="D1409" s="5" t="s">
        <v>3353</v>
      </c>
      <c r="K1409" t="s">
        <v>618</v>
      </c>
      <c r="P1409" t="s">
        <v>619</v>
      </c>
      <c r="Q1409" t="s">
        <v>620</v>
      </c>
      <c r="R1409" t="s">
        <v>1860</v>
      </c>
      <c r="T1409" s="3" t="str">
        <f>HYPERLINK("doors://fe-dorapcm3.de.bosch.com:36679/?version=2&amp;prodID=0&amp;view=00000015&amp;urn=urn:telelogic::1-52394082008461e6-O-9018-00059142","BSW_SWS_AR4_0_R2_DIODriver-9018")</f>
        <v>BSW_SWS_AR4_0_R2_DIODriver-9018</v>
      </c>
    </row>
    <row r="1410" spans="1:20" x14ac:dyDescent="0.2">
      <c r="A1410" t="s">
        <v>3785</v>
      </c>
      <c r="B1410" t="s">
        <v>76</v>
      </c>
      <c r="C1410" t="s">
        <v>3786</v>
      </c>
      <c r="D1410" t="s">
        <v>3113</v>
      </c>
      <c r="T1410" s="3" t="str">
        <f>HYPERLINK("doors://fe-dorapcm3.de.bosch.com:36679/?version=2&amp;prodID=0&amp;view=00000015&amp;urn=urn:telelogic::1-52394082008461e6-O-9019-00059142","BSW_SWS_AR4_0_R2_DIODriver-9019")</f>
        <v>BSW_SWS_AR4_0_R2_DIODriver-9019</v>
      </c>
    </row>
    <row r="1411" spans="1:20" x14ac:dyDescent="0.2">
      <c r="A1411" t="s">
        <v>3787</v>
      </c>
      <c r="B1411" t="s">
        <v>614</v>
      </c>
      <c r="C1411" t="s">
        <v>3788</v>
      </c>
      <c r="D1411" s="2" t="s">
        <v>3789</v>
      </c>
      <c r="J1411" s="2" t="s">
        <v>617</v>
      </c>
      <c r="K1411" t="s">
        <v>618</v>
      </c>
      <c r="P1411" t="s">
        <v>619</v>
      </c>
      <c r="Q1411" s="2" t="s">
        <v>620</v>
      </c>
      <c r="R1411" t="s">
        <v>621</v>
      </c>
      <c r="S1411" s="2" t="s">
        <v>622</v>
      </c>
      <c r="T1411" s="3" t="str">
        <f>HYPERLINK("doors://fe-dorapcm3.de.bosch.com:36679/?version=2&amp;prodID=0&amp;view=00000015&amp;urn=urn:telelogic::1-52394082008461e6-O-9020-00059142","BSW_SWS_AR4_0_R2_DIODriver-9020")</f>
        <v>BSW_SWS_AR4_0_R2_DIODriver-9020</v>
      </c>
    </row>
    <row r="1412" spans="1:20" x14ac:dyDescent="0.2">
      <c r="A1412" t="s">
        <v>3790</v>
      </c>
      <c r="B1412" t="s">
        <v>1617</v>
      </c>
      <c r="C1412" t="s">
        <v>3791</v>
      </c>
      <c r="D1412" s="5" t="s">
        <v>3149</v>
      </c>
      <c r="K1412" t="s">
        <v>618</v>
      </c>
      <c r="P1412" t="s">
        <v>619</v>
      </c>
      <c r="Q1412" t="s">
        <v>620</v>
      </c>
      <c r="R1412" t="s">
        <v>1860</v>
      </c>
      <c r="T1412" s="3" t="str">
        <f>HYPERLINK("doors://fe-dorapcm3.de.bosch.com:36679/?version=2&amp;prodID=0&amp;view=00000015&amp;urn=urn:telelogic::1-52394082008461e6-O-9023-00059142","BSW_SWS_AR4_0_R2_DIODriver-9023")</f>
        <v>BSW_SWS_AR4_0_R2_DIODriver-9023</v>
      </c>
    </row>
    <row r="1413" spans="1:20" x14ac:dyDescent="0.2">
      <c r="A1413" t="s">
        <v>3792</v>
      </c>
      <c r="B1413" t="s">
        <v>1617</v>
      </c>
      <c r="C1413" t="s">
        <v>3793</v>
      </c>
      <c r="D1413" s="2" t="s">
        <v>3794</v>
      </c>
      <c r="K1413" t="s">
        <v>618</v>
      </c>
      <c r="P1413" t="s">
        <v>619</v>
      </c>
      <c r="Q1413" t="s">
        <v>620</v>
      </c>
      <c r="R1413" t="s">
        <v>1860</v>
      </c>
      <c r="T1413" s="3" t="str">
        <f>HYPERLINK("doors://fe-dorapcm3.de.bosch.com:36679/?version=2&amp;prodID=0&amp;view=00000015&amp;urn=urn:telelogic::1-52394082008461e6-O-9024-00059142","BSW_SWS_AR4_0_R2_DIODriver-9024")</f>
        <v>BSW_SWS_AR4_0_R2_DIODriver-9024</v>
      </c>
    </row>
    <row r="1414" spans="1:20" x14ac:dyDescent="0.2">
      <c r="A1414" t="s">
        <v>3795</v>
      </c>
      <c r="B1414" t="s">
        <v>1617</v>
      </c>
      <c r="C1414" t="s">
        <v>3796</v>
      </c>
      <c r="D1414" s="5" t="s">
        <v>3119</v>
      </c>
      <c r="K1414" t="s">
        <v>618</v>
      </c>
      <c r="P1414" t="s">
        <v>619</v>
      </c>
      <c r="Q1414" t="s">
        <v>620</v>
      </c>
      <c r="R1414" t="s">
        <v>1860</v>
      </c>
      <c r="T1414" s="3" t="str">
        <f>HYPERLINK("doors://fe-dorapcm3.de.bosch.com:36679/?version=2&amp;prodID=0&amp;view=00000015&amp;urn=urn:telelogic::1-52394082008461e6-O-9026-00059142","BSW_SWS_AR4_0_R2_DIODriver-9026")</f>
        <v>BSW_SWS_AR4_0_R2_DIODriver-9026</v>
      </c>
    </row>
    <row r="1415" spans="1:20" x14ac:dyDescent="0.2">
      <c r="A1415" t="s">
        <v>3797</v>
      </c>
      <c r="B1415" t="s">
        <v>1617</v>
      </c>
      <c r="C1415" t="s">
        <v>3798</v>
      </c>
      <c r="D1415" t="s">
        <v>3799</v>
      </c>
      <c r="K1415" t="s">
        <v>618</v>
      </c>
      <c r="P1415" t="s">
        <v>619</v>
      </c>
      <c r="Q1415" t="s">
        <v>620</v>
      </c>
      <c r="R1415" t="s">
        <v>1860</v>
      </c>
      <c r="T1415" s="3" t="str">
        <f>HYPERLINK("doors://fe-dorapcm3.de.bosch.com:36679/?version=2&amp;prodID=0&amp;view=00000015&amp;urn=urn:telelogic::1-52394082008461e6-O-9027-00059142","BSW_SWS_AR4_0_R2_DIODriver-9027")</f>
        <v>BSW_SWS_AR4_0_R2_DIODriver-9027</v>
      </c>
    </row>
    <row r="1416" spans="1:20" x14ac:dyDescent="0.2">
      <c r="A1416" t="s">
        <v>3800</v>
      </c>
      <c r="B1416" t="s">
        <v>1617</v>
      </c>
      <c r="C1416" t="s">
        <v>3801</v>
      </c>
      <c r="D1416" s="5" t="s">
        <v>3159</v>
      </c>
      <c r="K1416" t="s">
        <v>618</v>
      </c>
      <c r="P1416" t="s">
        <v>619</v>
      </c>
      <c r="Q1416" t="s">
        <v>620</v>
      </c>
      <c r="R1416" t="s">
        <v>1860</v>
      </c>
      <c r="T1416" s="3" t="str">
        <f>HYPERLINK("doors://fe-dorapcm3.de.bosch.com:36679/?version=2&amp;prodID=0&amp;view=00000015&amp;urn=urn:telelogic::1-52394082008461e6-O-9029-00059142","BSW_SWS_AR4_0_R2_DIODriver-9029")</f>
        <v>BSW_SWS_AR4_0_R2_DIODriver-9029</v>
      </c>
    </row>
    <row r="1417" spans="1:20" x14ac:dyDescent="0.2">
      <c r="A1417" t="s">
        <v>3802</v>
      </c>
      <c r="B1417" t="s">
        <v>1617</v>
      </c>
      <c r="C1417" t="s">
        <v>3803</v>
      </c>
      <c r="D1417" t="s">
        <v>3804</v>
      </c>
      <c r="K1417" t="s">
        <v>618</v>
      </c>
      <c r="P1417" t="s">
        <v>619</v>
      </c>
      <c r="Q1417" t="s">
        <v>620</v>
      </c>
      <c r="R1417" t="s">
        <v>1860</v>
      </c>
      <c r="T1417" s="3" t="str">
        <f>HYPERLINK("doors://fe-dorapcm3.de.bosch.com:36679/?version=2&amp;prodID=0&amp;view=00000015&amp;urn=urn:telelogic::1-52394082008461e6-O-9030-00059142","BSW_SWS_AR4_0_R2_DIODriver-9030")</f>
        <v>BSW_SWS_AR4_0_R2_DIODriver-9030</v>
      </c>
    </row>
    <row r="1418" spans="1:20" x14ac:dyDescent="0.2">
      <c r="A1418" t="s">
        <v>3805</v>
      </c>
      <c r="B1418" t="s">
        <v>1617</v>
      </c>
      <c r="C1418" t="s">
        <v>3806</v>
      </c>
      <c r="D1418" s="5" t="s">
        <v>3165</v>
      </c>
      <c r="K1418" t="s">
        <v>618</v>
      </c>
      <c r="P1418" t="s">
        <v>619</v>
      </c>
      <c r="Q1418" t="s">
        <v>620</v>
      </c>
      <c r="R1418" t="s">
        <v>1860</v>
      </c>
      <c r="T1418" s="3" t="str">
        <f>HYPERLINK("doors://fe-dorapcm3.de.bosch.com:36679/?version=2&amp;prodID=0&amp;view=00000015&amp;urn=urn:telelogic::1-52394082008461e6-O-9032-00059142","BSW_SWS_AR4_0_R2_DIODriver-9032")</f>
        <v>BSW_SWS_AR4_0_R2_DIODriver-9032</v>
      </c>
    </row>
    <row r="1419" spans="1:20" x14ac:dyDescent="0.2">
      <c r="A1419" t="s">
        <v>3807</v>
      </c>
      <c r="B1419" t="s">
        <v>614</v>
      </c>
      <c r="C1419" t="s">
        <v>3808</v>
      </c>
      <c r="D1419" t="s">
        <v>3113</v>
      </c>
      <c r="J1419" t="s">
        <v>617</v>
      </c>
      <c r="K1419" t="s">
        <v>618</v>
      </c>
      <c r="P1419" t="s">
        <v>619</v>
      </c>
      <c r="Q1419" t="s">
        <v>620</v>
      </c>
      <c r="R1419" t="s">
        <v>621</v>
      </c>
      <c r="S1419" t="s">
        <v>622</v>
      </c>
      <c r="T1419" s="3" t="str">
        <f>HYPERLINK("doors://fe-dorapcm3.de.bosch.com:36679/?version=2&amp;prodID=0&amp;view=00000015&amp;urn=urn:telelogic::1-52394082008461e6-O-9033-00059142","BSW_SWS_AR4_0_R2_DIODriver-9033")</f>
        <v>BSW_SWS_AR4_0_R2_DIODriver-9033</v>
      </c>
    </row>
    <row r="1420" spans="1:20" x14ac:dyDescent="0.2">
      <c r="A1420" t="s">
        <v>3809</v>
      </c>
      <c r="B1420" t="s">
        <v>1617</v>
      </c>
      <c r="C1420" t="s">
        <v>3810</v>
      </c>
      <c r="D1420" s="5" t="s">
        <v>3116</v>
      </c>
      <c r="K1420" t="s">
        <v>618</v>
      </c>
      <c r="P1420" t="s">
        <v>619</v>
      </c>
      <c r="Q1420" t="s">
        <v>620</v>
      </c>
      <c r="R1420" t="s">
        <v>1860</v>
      </c>
      <c r="T1420" s="3" t="str">
        <f>HYPERLINK("doors://fe-dorapcm3.de.bosch.com:36679/?version=2&amp;prodID=0&amp;view=00000015&amp;urn=urn:telelogic::1-52394082008461e6-O-9036-00059142","BSW_SWS_AR4_0_R2_DIODriver-9036")</f>
        <v>BSW_SWS_AR4_0_R2_DIODriver-9036</v>
      </c>
    </row>
    <row r="1421" spans="1:20" x14ac:dyDescent="0.2">
      <c r="A1421" t="s">
        <v>3811</v>
      </c>
      <c r="B1421" t="s">
        <v>1617</v>
      </c>
      <c r="C1421" t="s">
        <v>3812</v>
      </c>
      <c r="D1421" s="5" t="s">
        <v>3119</v>
      </c>
      <c r="K1421" t="s">
        <v>618</v>
      </c>
      <c r="P1421" t="s">
        <v>619</v>
      </c>
      <c r="Q1421" t="s">
        <v>620</v>
      </c>
      <c r="R1421" t="s">
        <v>1860</v>
      </c>
      <c r="T1421" s="3" t="str">
        <f>HYPERLINK("doors://fe-dorapcm3.de.bosch.com:36679/?version=2&amp;prodID=0&amp;view=00000015&amp;urn=urn:telelogic::1-52394082008461e6-O-9038-00059142","BSW_SWS_AR4_0_R2_DIODriver-9038")</f>
        <v>BSW_SWS_AR4_0_R2_DIODriver-9038</v>
      </c>
    </row>
    <row r="1422" spans="1:20" x14ac:dyDescent="0.2">
      <c r="A1422" t="s">
        <v>3813</v>
      </c>
      <c r="B1422" t="s">
        <v>1617</v>
      </c>
      <c r="C1422" t="s">
        <v>3814</v>
      </c>
      <c r="D1422" s="5" t="s">
        <v>3122</v>
      </c>
      <c r="K1422" t="s">
        <v>618</v>
      </c>
      <c r="P1422" t="s">
        <v>619</v>
      </c>
      <c r="Q1422" t="s">
        <v>620</v>
      </c>
      <c r="R1422" t="s">
        <v>1860</v>
      </c>
      <c r="T1422" s="3" t="str">
        <f>HYPERLINK("doors://fe-dorapcm3.de.bosch.com:36679/?version=2&amp;prodID=0&amp;view=00000015&amp;urn=urn:telelogic::1-52394082008461e6-O-9039-00059142","BSW_SWS_AR4_0_R2_DIODriver-9039")</f>
        <v>BSW_SWS_AR4_0_R2_DIODriver-9039</v>
      </c>
    </row>
    <row r="1423" spans="1:20" x14ac:dyDescent="0.2">
      <c r="A1423" t="s">
        <v>3815</v>
      </c>
      <c r="B1423" t="s">
        <v>1617</v>
      </c>
      <c r="C1423" t="s">
        <v>3816</v>
      </c>
      <c r="D1423" s="5" t="s">
        <v>3125</v>
      </c>
      <c r="K1423" t="s">
        <v>618</v>
      </c>
      <c r="P1423" t="s">
        <v>619</v>
      </c>
      <c r="Q1423" t="s">
        <v>620</v>
      </c>
      <c r="R1423" t="s">
        <v>1860</v>
      </c>
      <c r="T1423" s="3" t="str">
        <f>HYPERLINK("doors://fe-dorapcm3.de.bosch.com:36679/?version=2&amp;prodID=0&amp;view=00000015&amp;urn=urn:telelogic::1-52394082008461e6-O-9040-00059142","BSW_SWS_AR4_0_R2_DIODriver-9040")</f>
        <v>BSW_SWS_AR4_0_R2_DIODriver-9040</v>
      </c>
    </row>
    <row r="1424" spans="1:20" x14ac:dyDescent="0.2">
      <c r="A1424" t="s">
        <v>3817</v>
      </c>
      <c r="B1424" t="s">
        <v>1617</v>
      </c>
      <c r="C1424" t="s">
        <v>3818</v>
      </c>
      <c r="D1424" t="s">
        <v>3368</v>
      </c>
      <c r="K1424" t="s">
        <v>618</v>
      </c>
      <c r="P1424" t="s">
        <v>619</v>
      </c>
      <c r="Q1424" t="s">
        <v>620</v>
      </c>
      <c r="R1424" t="s">
        <v>1860</v>
      </c>
      <c r="T1424" s="3" t="str">
        <f>HYPERLINK("doors://fe-dorapcm3.de.bosch.com:36679/?version=2&amp;prodID=0&amp;view=00000015&amp;urn=urn:telelogic::1-52394082008461e6-O-9042-00059142","BSW_SWS_AR4_0_R2_DIODriver-9042")</f>
        <v>BSW_SWS_AR4_0_R2_DIODriver-9042</v>
      </c>
    </row>
    <row r="1425" spans="1:20" x14ac:dyDescent="0.2">
      <c r="A1425" t="s">
        <v>3819</v>
      </c>
      <c r="B1425" t="s">
        <v>1617</v>
      </c>
      <c r="C1425" t="s">
        <v>3820</v>
      </c>
      <c r="D1425" t="s">
        <v>3821</v>
      </c>
      <c r="K1425" t="s">
        <v>618</v>
      </c>
      <c r="P1425" t="s">
        <v>619</v>
      </c>
      <c r="Q1425" t="s">
        <v>620</v>
      </c>
      <c r="R1425" t="s">
        <v>1860</v>
      </c>
      <c r="T1425" s="3" t="str">
        <f>HYPERLINK("doors://fe-dorapcm3.de.bosch.com:36679/?version=2&amp;prodID=0&amp;view=00000015&amp;urn=urn:telelogic::1-52394082008461e6-O-9043-00059142","BSW_SWS_AR4_0_R2_DIODriver-9043")</f>
        <v>BSW_SWS_AR4_0_R2_DIODriver-9043</v>
      </c>
    </row>
    <row r="1426" spans="1:20" x14ac:dyDescent="0.2">
      <c r="A1426" t="s">
        <v>3822</v>
      </c>
      <c r="B1426" t="s">
        <v>1617</v>
      </c>
      <c r="C1426" t="s">
        <v>3823</v>
      </c>
      <c r="D1426" t="s">
        <v>3824</v>
      </c>
      <c r="K1426" t="s">
        <v>618</v>
      </c>
      <c r="P1426" t="s">
        <v>619</v>
      </c>
      <c r="Q1426" t="s">
        <v>620</v>
      </c>
      <c r="R1426" t="s">
        <v>1860</v>
      </c>
      <c r="T1426" s="3" t="str">
        <f>HYPERLINK("doors://fe-dorapcm3.de.bosch.com:36679/?version=2&amp;prodID=0&amp;view=00000015&amp;urn=urn:telelogic::1-52394082008461e6-O-9044-00059142","BSW_SWS_AR4_0_R2_DIODriver-9044")</f>
        <v>BSW_SWS_AR4_0_R2_DIODriver-9044</v>
      </c>
    </row>
    <row r="1427" spans="1:20" x14ac:dyDescent="0.2">
      <c r="A1427" t="s">
        <v>3825</v>
      </c>
      <c r="B1427" t="s">
        <v>614</v>
      </c>
      <c r="C1427">
        <v>10.199999999999999</v>
      </c>
      <c r="D1427" s="2" t="s">
        <v>3826</v>
      </c>
      <c r="J1427" s="2" t="s">
        <v>617</v>
      </c>
      <c r="K1427" t="s">
        <v>618</v>
      </c>
      <c r="P1427" t="s">
        <v>619</v>
      </c>
      <c r="Q1427" s="2" t="s">
        <v>620</v>
      </c>
      <c r="R1427" t="s">
        <v>621</v>
      </c>
      <c r="S1427" s="2" t="s">
        <v>622</v>
      </c>
      <c r="T1427" s="3" t="str">
        <f>HYPERLINK("doors://fe-dorapcm3.de.bosch.com:36679/?version=2&amp;prodID=0&amp;view=00000015&amp;urn=urn:telelogic::1-52394082008461e6-O-9047-00059142","BSW_SWS_AR4_0_R2_DIODriver-9047")</f>
        <v>BSW_SWS_AR4_0_R2_DIODriver-9047</v>
      </c>
    </row>
    <row r="1428" spans="1:20" x14ac:dyDescent="0.2">
      <c r="A1428" t="s">
        <v>3827</v>
      </c>
      <c r="B1428" t="s">
        <v>614</v>
      </c>
      <c r="C1428" t="s">
        <v>3828</v>
      </c>
      <c r="D1428" t="s">
        <v>3829</v>
      </c>
      <c r="J1428" t="s">
        <v>617</v>
      </c>
      <c r="K1428" t="s">
        <v>618</v>
      </c>
      <c r="P1428" t="s">
        <v>619</v>
      </c>
      <c r="Q1428" t="s">
        <v>620</v>
      </c>
      <c r="R1428" t="s">
        <v>621</v>
      </c>
      <c r="S1428" t="s">
        <v>622</v>
      </c>
      <c r="T1428" s="3" t="str">
        <f>HYPERLINK("doors://fe-dorapcm3.de.bosch.com:36679/?version=2&amp;prodID=0&amp;view=00000015&amp;urn=urn:telelogic::1-52394082008461e6-O-9048-00059142","BSW_SWS_AR4_0_R2_DIODriver-9048")</f>
        <v>BSW_SWS_AR4_0_R2_DIODriver-9048</v>
      </c>
    </row>
    <row r="1429" spans="1:20" x14ac:dyDescent="0.2">
      <c r="A1429" t="s">
        <v>3830</v>
      </c>
      <c r="B1429" t="s">
        <v>76</v>
      </c>
      <c r="C1429" t="s">
        <v>3831</v>
      </c>
      <c r="D1429" t="s">
        <v>3832</v>
      </c>
      <c r="T1429" s="3" t="str">
        <f>HYPERLINK("doors://fe-dorapcm3.de.bosch.com:36679/?version=2&amp;prodID=0&amp;view=00000015&amp;urn=urn:telelogic::1-52394082008461e6-O-9049-00059142","BSW_SWS_AR4_0_R2_DIODriver-9049")</f>
        <v>BSW_SWS_AR4_0_R2_DIODriver-9049</v>
      </c>
    </row>
    <row r="1430" spans="1:20" x14ac:dyDescent="0.2">
      <c r="A1430" t="s">
        <v>3833</v>
      </c>
      <c r="B1430" t="s">
        <v>21</v>
      </c>
      <c r="C1430">
        <v>10.3</v>
      </c>
      <c r="D1430" s="2" t="s">
        <v>3834</v>
      </c>
      <c r="T1430" s="3" t="str">
        <f>HYPERLINK("doors://fe-dorapcm3.de.bosch.com:36679/?version=2&amp;prodID=0&amp;view=00000015&amp;urn=urn:telelogic::1-52394082008461e6-O-9050-00059142","BSW_SWS_AR4_0_R2_DIODriver-9050")</f>
        <v>BSW_SWS_AR4_0_R2_DIODriver-9050</v>
      </c>
    </row>
    <row r="1431" spans="1:20" x14ac:dyDescent="0.2">
      <c r="A1431" t="s">
        <v>3835</v>
      </c>
      <c r="B1431" t="s">
        <v>76</v>
      </c>
      <c r="C1431" t="s">
        <v>3836</v>
      </c>
      <c r="D1431" t="s">
        <v>3837</v>
      </c>
      <c r="T1431" s="3" t="str">
        <f>HYPERLINK("doors://fe-dorapcm3.de.bosch.com:36679/?version=2&amp;prodID=0&amp;view=00000015&amp;urn=urn:telelogic::1-52394082008461e6-O-9051-00059142","BSW_SWS_AR4_0_R2_DIODriver-9051")</f>
        <v>BSW_SWS_AR4_0_R2_DIODriver-9051</v>
      </c>
    </row>
    <row r="1432" spans="1:20" x14ac:dyDescent="0.2">
      <c r="A1432" t="s">
        <v>3838</v>
      </c>
      <c r="B1432" t="s">
        <v>76</v>
      </c>
      <c r="C1432" t="s">
        <v>3839</v>
      </c>
      <c r="D1432" t="s">
        <v>3840</v>
      </c>
      <c r="T1432" s="3" t="str">
        <f>HYPERLINK("doors://fe-dorapcm3.de.bosch.com:36679/?version=2&amp;prodID=0&amp;view=00000015&amp;urn=urn:telelogic::1-52394082008461e6-O-9052-00059142","BSW_SWS_AR4_0_R2_DIODriver-9052")</f>
        <v>BSW_SWS_AR4_0_R2_DIODriver-9052</v>
      </c>
    </row>
    <row r="1433" spans="1:20" x14ac:dyDescent="0.2">
      <c r="A1433" t="s">
        <v>3841</v>
      </c>
      <c r="B1433" t="s">
        <v>76</v>
      </c>
      <c r="C1433" t="s">
        <v>3842</v>
      </c>
      <c r="D1433" t="s">
        <v>3843</v>
      </c>
      <c r="T1433" s="3" t="str">
        <f>HYPERLINK("doors://fe-dorapcm3.de.bosch.com:36679/?version=2&amp;prodID=0&amp;view=00000015&amp;urn=urn:telelogic::1-52394082008461e6-O-9053-00059142","BSW_SWS_AR4_0_R2_DIODriver-9053")</f>
        <v>BSW_SWS_AR4_0_R2_DIODriver-9053</v>
      </c>
    </row>
    <row r="1434" spans="1:20" x14ac:dyDescent="0.2">
      <c r="A1434" t="s">
        <v>3844</v>
      </c>
      <c r="B1434" t="s">
        <v>76</v>
      </c>
      <c r="C1434" t="s">
        <v>3845</v>
      </c>
      <c r="D1434" t="s">
        <v>3846</v>
      </c>
      <c r="T1434" s="3" t="str">
        <f>HYPERLINK("doors://fe-dorapcm3.de.bosch.com:36679/?version=2&amp;prodID=0&amp;view=00000015&amp;urn=urn:telelogic::1-52394082008461e6-O-9054-00059142","BSW_SWS_AR4_0_R2_DIODriver-9054")</f>
        <v>BSW_SWS_AR4_0_R2_DIODriver-9054</v>
      </c>
    </row>
    <row r="1435" spans="1:20" x14ac:dyDescent="0.2">
      <c r="A1435" t="s">
        <v>3847</v>
      </c>
      <c r="B1435" t="s">
        <v>76</v>
      </c>
      <c r="C1435" t="s">
        <v>3848</v>
      </c>
      <c r="D1435" t="s">
        <v>3849</v>
      </c>
      <c r="T1435" s="3" t="str">
        <f>HYPERLINK("doors://fe-dorapcm3.de.bosch.com:36679/?version=2&amp;prodID=0&amp;view=00000015&amp;urn=urn:telelogic::1-52394082008461e6-O-9055-00059142","BSW_SWS_AR4_0_R2_DIODriver-9055")</f>
        <v>BSW_SWS_AR4_0_R2_DIODriver-9055</v>
      </c>
    </row>
    <row r="1436" spans="1:20" x14ac:dyDescent="0.2">
      <c r="A1436" t="s">
        <v>3850</v>
      </c>
      <c r="B1436" t="s">
        <v>21</v>
      </c>
      <c r="C1436" t="s">
        <v>3851</v>
      </c>
      <c r="D1436" s="2" t="s">
        <v>3852</v>
      </c>
      <c r="T1436" s="3" t="str">
        <f>HYPERLINK("doors://fe-dorapcm3.de.bosch.com:36679/?version=2&amp;prodID=0&amp;view=00000015&amp;urn=urn:telelogic::1-52394082008461e6-O-9056-00059142","BSW_SWS_AR4_0_R2_DIODriver-9056")</f>
        <v>BSW_SWS_AR4_0_R2_DIODriver-9056</v>
      </c>
    </row>
    <row r="1437" spans="1:20" x14ac:dyDescent="0.2">
      <c r="A1437" t="s">
        <v>3853</v>
      </c>
      <c r="B1437" t="s">
        <v>21</v>
      </c>
      <c r="C1437" t="s">
        <v>3854</v>
      </c>
      <c r="D1437" s="2" t="s">
        <v>3855</v>
      </c>
      <c r="T1437" s="3" t="str">
        <f>HYPERLINK("doors://fe-dorapcm3.de.bosch.com:36679/?version=2&amp;prodID=0&amp;view=00000015&amp;urn=urn:telelogic::1-52394082008461e6-O-9057-00059142","BSW_SWS_AR4_0_R2_DIODriver-9057")</f>
        <v>BSW_SWS_AR4_0_R2_DIODriver-9057</v>
      </c>
    </row>
    <row r="1438" spans="1:20" x14ac:dyDescent="0.2">
      <c r="A1438" t="s">
        <v>3856</v>
      </c>
      <c r="B1438" t="s">
        <v>76</v>
      </c>
      <c r="C1438" t="s">
        <v>3857</v>
      </c>
      <c r="D1438" t="s">
        <v>3858</v>
      </c>
      <c r="T1438" s="3" t="str">
        <f>HYPERLINK("doors://fe-dorapcm3.de.bosch.com:36679/?version=2&amp;prodID=0&amp;view=00000015&amp;urn=urn:telelogic::1-52394082008461e6-O-9058-00059142","BSW_SWS_AR4_0_R2_DIODriver-9058")</f>
        <v>BSW_SWS_AR4_0_R2_DIODriver-9058</v>
      </c>
    </row>
    <row r="1439" spans="1:20" x14ac:dyDescent="0.2">
      <c r="A1439" t="s">
        <v>3859</v>
      </c>
      <c r="B1439" t="s">
        <v>76</v>
      </c>
      <c r="C1439" t="s">
        <v>3860</v>
      </c>
      <c r="D1439" t="s">
        <v>3861</v>
      </c>
      <c r="T1439" s="3" t="str">
        <f>HYPERLINK("doors://fe-dorapcm3.de.bosch.com:36679/?version=2&amp;prodID=0&amp;view=00000015&amp;urn=urn:telelogic::1-52394082008461e6-O-9059-00059142","BSW_SWS_AR4_0_R2_DIODriver-9059")</f>
        <v>BSW_SWS_AR4_0_R2_DIODriver-9059</v>
      </c>
    </row>
    <row r="1440" spans="1:20" x14ac:dyDescent="0.2">
      <c r="A1440" t="s">
        <v>3862</v>
      </c>
      <c r="B1440" t="s">
        <v>76</v>
      </c>
      <c r="C1440" t="s">
        <v>3863</v>
      </c>
      <c r="D1440" t="s">
        <v>3864</v>
      </c>
      <c r="T1440" s="3" t="str">
        <f>HYPERLINK("doors://fe-dorapcm3.de.bosch.com:36679/?version=2&amp;prodID=0&amp;view=00000015&amp;urn=urn:telelogic::1-52394082008461e6-O-9060-00059142","BSW_SWS_AR4_0_R2_DIODriver-9060")</f>
        <v>BSW_SWS_AR4_0_R2_DIODriver-9060</v>
      </c>
    </row>
    <row r="1441" spans="1:20" x14ac:dyDescent="0.2">
      <c r="A1441" t="s">
        <v>3865</v>
      </c>
      <c r="B1441" t="s">
        <v>76</v>
      </c>
      <c r="C1441" t="s">
        <v>3866</v>
      </c>
      <c r="D1441" t="s">
        <v>3867</v>
      </c>
      <c r="T1441" s="3" t="str">
        <f>HYPERLINK("doors://fe-dorapcm3.de.bosch.com:36679/?version=2&amp;prodID=0&amp;view=00000015&amp;urn=urn:telelogic::1-52394082008461e6-O-9061-00059142","BSW_SWS_AR4_0_R2_DIODriver-9061")</f>
        <v>BSW_SWS_AR4_0_R2_DIODriver-9061</v>
      </c>
    </row>
    <row r="1442" spans="1:20" x14ac:dyDescent="0.2">
      <c r="A1442" t="s">
        <v>3868</v>
      </c>
      <c r="B1442" t="s">
        <v>76</v>
      </c>
      <c r="C1442" t="s">
        <v>3869</v>
      </c>
      <c r="D1442" t="s">
        <v>3870</v>
      </c>
      <c r="T1442" s="3" t="str">
        <f>HYPERLINK("doors://fe-dorapcm3.de.bosch.com:36679/?version=2&amp;prodID=0&amp;view=00000015&amp;urn=urn:telelogic::1-52394082008461e6-O-9062-00059142","BSW_SWS_AR4_0_R2_DIODriver-9062")</f>
        <v>BSW_SWS_AR4_0_R2_DIODriver-9062</v>
      </c>
    </row>
    <row r="1443" spans="1:20" x14ac:dyDescent="0.2">
      <c r="A1443" t="s">
        <v>3871</v>
      </c>
      <c r="B1443" t="s">
        <v>76</v>
      </c>
      <c r="C1443" t="s">
        <v>3872</v>
      </c>
      <c r="D1443" t="s">
        <v>3873</v>
      </c>
      <c r="T1443" s="3" t="str">
        <f>HYPERLINK("doors://fe-dorapcm3.de.bosch.com:36679/?version=2&amp;prodID=0&amp;view=00000015&amp;urn=urn:telelogic::1-52394082008461e6-O-9063-00059142","BSW_SWS_AR4_0_R2_DIODriver-9063")</f>
        <v>BSW_SWS_AR4_0_R2_DIODriver-9063</v>
      </c>
    </row>
    <row r="1444" spans="1:20" x14ac:dyDescent="0.2">
      <c r="A1444" t="s">
        <v>3874</v>
      </c>
      <c r="B1444" t="s">
        <v>21</v>
      </c>
      <c r="C1444" t="s">
        <v>3875</v>
      </c>
      <c r="D1444" s="2" t="s">
        <v>3876</v>
      </c>
      <c r="T1444" s="3" t="str">
        <f>HYPERLINK("doors://fe-dorapcm3.de.bosch.com:36679/?version=2&amp;prodID=0&amp;view=00000015&amp;urn=urn:telelogic::1-52394082008461e6-O-9064-00059142","BSW_SWS_AR4_0_R2_DIODriver-9064")</f>
        <v>BSW_SWS_AR4_0_R2_DIODriver-9064</v>
      </c>
    </row>
    <row r="1445" spans="1:20" x14ac:dyDescent="0.2">
      <c r="A1445" t="s">
        <v>3877</v>
      </c>
      <c r="B1445" t="s">
        <v>76</v>
      </c>
      <c r="C1445" t="s">
        <v>3878</v>
      </c>
      <c r="D1445" t="s">
        <v>3879</v>
      </c>
      <c r="T1445" s="3" t="str">
        <f>HYPERLINK("doors://fe-dorapcm3.de.bosch.com:36679/?version=2&amp;prodID=0&amp;view=00000015&amp;urn=urn:telelogic::1-52394082008461e6-O-9065-00059142","BSW_SWS_AR4_0_R2_DIODriver-9065")</f>
        <v>BSW_SWS_AR4_0_R2_DIODriver-9065</v>
      </c>
    </row>
    <row r="1446" spans="1:20" x14ac:dyDescent="0.2">
      <c r="A1446" t="s">
        <v>3880</v>
      </c>
      <c r="B1446" t="s">
        <v>76</v>
      </c>
      <c r="C1446" t="s">
        <v>3881</v>
      </c>
      <c r="D1446" t="s">
        <v>3861</v>
      </c>
      <c r="T1446" s="3" t="str">
        <f>HYPERLINK("doors://fe-dorapcm3.de.bosch.com:36679/?version=2&amp;prodID=0&amp;view=00000015&amp;urn=urn:telelogic::1-52394082008461e6-O-9066-00059142","BSW_SWS_AR4_0_R2_DIODriver-9066")</f>
        <v>BSW_SWS_AR4_0_R2_DIODriver-9066</v>
      </c>
    </row>
    <row r="1447" spans="1:20" x14ac:dyDescent="0.2">
      <c r="A1447" t="s">
        <v>3882</v>
      </c>
      <c r="B1447" t="s">
        <v>76</v>
      </c>
      <c r="C1447" t="s">
        <v>3883</v>
      </c>
      <c r="D1447" t="s">
        <v>3884</v>
      </c>
      <c r="T1447" s="3" t="str">
        <f>HYPERLINK("doors://fe-dorapcm3.de.bosch.com:36679/?version=2&amp;prodID=0&amp;view=00000015&amp;urn=urn:telelogic::1-52394082008461e6-O-9067-00059142","BSW_SWS_AR4_0_R2_DIODriver-9067")</f>
        <v>BSW_SWS_AR4_0_R2_DIODriver-9067</v>
      </c>
    </row>
    <row r="1448" spans="1:20" x14ac:dyDescent="0.2">
      <c r="A1448" t="s">
        <v>3885</v>
      </c>
      <c r="B1448" t="s">
        <v>76</v>
      </c>
      <c r="C1448" t="s">
        <v>3886</v>
      </c>
      <c r="D1448" t="s">
        <v>3887</v>
      </c>
      <c r="T1448" s="3" t="str">
        <f>HYPERLINK("doors://fe-dorapcm3.de.bosch.com:36679/?version=2&amp;prodID=0&amp;view=00000015&amp;urn=urn:telelogic::1-52394082008461e6-O-9068-00059142","BSW_SWS_AR4_0_R2_DIODriver-9068")</f>
        <v>BSW_SWS_AR4_0_R2_DIODriver-9068</v>
      </c>
    </row>
    <row r="1449" spans="1:20" x14ac:dyDescent="0.2">
      <c r="A1449" t="s">
        <v>3888</v>
      </c>
      <c r="B1449" t="s">
        <v>76</v>
      </c>
      <c r="C1449" t="s">
        <v>3889</v>
      </c>
      <c r="D1449" t="s">
        <v>3890</v>
      </c>
      <c r="T1449" s="3" t="str">
        <f>HYPERLINK("doors://fe-dorapcm3.de.bosch.com:36679/?version=2&amp;prodID=0&amp;view=00000015&amp;urn=urn:telelogic::1-52394082008461e6-O-9069-00059142","BSW_SWS_AR4_0_R2_DIODriver-9069")</f>
        <v>BSW_SWS_AR4_0_R2_DIODriver-9069</v>
      </c>
    </row>
    <row r="1450" spans="1:20" x14ac:dyDescent="0.2">
      <c r="A1450" t="s">
        <v>3891</v>
      </c>
      <c r="B1450" t="s">
        <v>76</v>
      </c>
      <c r="C1450" t="s">
        <v>3892</v>
      </c>
      <c r="D1450" t="s">
        <v>3873</v>
      </c>
      <c r="T1450" s="3" t="str">
        <f>HYPERLINK("doors://fe-dorapcm3.de.bosch.com:36679/?version=2&amp;prodID=0&amp;view=00000015&amp;urn=urn:telelogic::1-52394082008461e6-O-9070-00059142","BSW_SWS_AR4_0_R2_DIODriver-9070")</f>
        <v>BSW_SWS_AR4_0_R2_DIODriver-9070</v>
      </c>
    </row>
    <row r="1451" spans="1:20" x14ac:dyDescent="0.2">
      <c r="A1451" t="s">
        <v>3893</v>
      </c>
      <c r="B1451" t="s">
        <v>21</v>
      </c>
      <c r="C1451" t="s">
        <v>3894</v>
      </c>
      <c r="D1451" s="2" t="s">
        <v>3895</v>
      </c>
      <c r="T1451" s="3" t="str">
        <f>HYPERLINK("doors://fe-dorapcm3.de.bosch.com:36679/?version=2&amp;prodID=0&amp;view=00000015&amp;urn=urn:telelogic::1-52394082008461e6-O-9071-00059142","BSW_SWS_AR4_0_R2_DIODriver-9071")</f>
        <v>BSW_SWS_AR4_0_R2_DIODriver-9071</v>
      </c>
    </row>
    <row r="1452" spans="1:20" x14ac:dyDescent="0.2">
      <c r="A1452" t="s">
        <v>3896</v>
      </c>
      <c r="B1452" t="s">
        <v>76</v>
      </c>
      <c r="C1452" t="s">
        <v>3897</v>
      </c>
      <c r="D1452" t="s">
        <v>3898</v>
      </c>
      <c r="T1452" s="3" t="str">
        <f>HYPERLINK("doors://fe-dorapcm3.de.bosch.com:36679/?version=2&amp;prodID=0&amp;view=00000015&amp;urn=urn:telelogic::1-52394082008461e6-O-9072-00059142","BSW_SWS_AR4_0_R2_DIODriver-9072")</f>
        <v>BSW_SWS_AR4_0_R2_DIODriver-9072</v>
      </c>
    </row>
    <row r="1453" spans="1:20" x14ac:dyDescent="0.2">
      <c r="A1453" t="s">
        <v>3899</v>
      </c>
      <c r="B1453" t="s">
        <v>76</v>
      </c>
      <c r="C1453" t="s">
        <v>3900</v>
      </c>
      <c r="D1453" t="s">
        <v>3861</v>
      </c>
      <c r="T1453" s="3" t="str">
        <f>HYPERLINK("doors://fe-dorapcm3.de.bosch.com:36679/?version=2&amp;prodID=0&amp;view=00000015&amp;urn=urn:telelogic::1-52394082008461e6-O-9073-00059142","BSW_SWS_AR4_0_R2_DIODriver-9073")</f>
        <v>BSW_SWS_AR4_0_R2_DIODriver-9073</v>
      </c>
    </row>
    <row r="1454" spans="1:20" x14ac:dyDescent="0.2">
      <c r="A1454" t="s">
        <v>3901</v>
      </c>
      <c r="B1454" t="s">
        <v>76</v>
      </c>
      <c r="C1454" t="s">
        <v>3902</v>
      </c>
      <c r="D1454" t="s">
        <v>3903</v>
      </c>
      <c r="T1454" s="3" t="str">
        <f>HYPERLINK("doors://fe-dorapcm3.de.bosch.com:36679/?version=2&amp;prodID=0&amp;view=00000015&amp;urn=urn:telelogic::1-52394082008461e6-O-9074-00059142","BSW_SWS_AR4_0_R2_DIODriver-9074")</f>
        <v>BSW_SWS_AR4_0_R2_DIODriver-9074</v>
      </c>
    </row>
    <row r="1455" spans="1:20" x14ac:dyDescent="0.2">
      <c r="A1455" t="s">
        <v>3904</v>
      </c>
      <c r="B1455" t="s">
        <v>76</v>
      </c>
      <c r="C1455" t="s">
        <v>3905</v>
      </c>
      <c r="D1455" t="s">
        <v>3906</v>
      </c>
      <c r="T1455" s="3" t="str">
        <f>HYPERLINK("doors://fe-dorapcm3.de.bosch.com:36679/?version=2&amp;prodID=0&amp;view=00000015&amp;urn=urn:telelogic::1-52394082008461e6-O-9075-00059142","BSW_SWS_AR4_0_R2_DIODriver-9075")</f>
        <v>BSW_SWS_AR4_0_R2_DIODriver-9075</v>
      </c>
    </row>
    <row r="1456" spans="1:20" x14ac:dyDescent="0.2">
      <c r="A1456" t="s">
        <v>3907</v>
      </c>
      <c r="B1456" t="s">
        <v>76</v>
      </c>
      <c r="C1456" t="s">
        <v>3908</v>
      </c>
      <c r="D1456" t="s">
        <v>3909</v>
      </c>
      <c r="T1456" s="3" t="str">
        <f>HYPERLINK("doors://fe-dorapcm3.de.bosch.com:36679/?version=2&amp;prodID=0&amp;view=00000015&amp;urn=urn:telelogic::1-52394082008461e6-O-9076-00059142","BSW_SWS_AR4_0_R2_DIODriver-9076")</f>
        <v>BSW_SWS_AR4_0_R2_DIODriver-9076</v>
      </c>
    </row>
    <row r="1457" spans="1:20" x14ac:dyDescent="0.2">
      <c r="A1457" t="s">
        <v>3910</v>
      </c>
      <c r="B1457" t="s">
        <v>21</v>
      </c>
      <c r="C1457" t="s">
        <v>3911</v>
      </c>
      <c r="D1457" s="2" t="s">
        <v>3912</v>
      </c>
      <c r="T1457" s="3" t="str">
        <f>HYPERLINK("doors://fe-dorapcm3.de.bosch.com:36679/?version=2&amp;prodID=0&amp;view=00000015&amp;urn=urn:telelogic::1-52394082008461e6-O-9077-00059142","BSW_SWS_AR4_0_R2_DIODriver-9077")</f>
        <v>BSW_SWS_AR4_0_R2_DIODriver-9077</v>
      </c>
    </row>
    <row r="1458" spans="1:20" x14ac:dyDescent="0.2">
      <c r="A1458" t="s">
        <v>3913</v>
      </c>
      <c r="B1458" t="s">
        <v>76</v>
      </c>
      <c r="C1458" t="s">
        <v>3914</v>
      </c>
      <c r="D1458" t="s">
        <v>3915</v>
      </c>
      <c r="T1458" s="3" t="str">
        <f>HYPERLINK("doors://fe-dorapcm3.de.bosch.com:36679/?version=2&amp;prodID=0&amp;view=00000015&amp;urn=urn:telelogic::1-52394082008461e6-O-9078-00059142","BSW_SWS_AR4_0_R2_DIODriver-9078")</f>
        <v>BSW_SWS_AR4_0_R2_DIODriver-9078</v>
      </c>
    </row>
    <row r="1459" spans="1:20" x14ac:dyDescent="0.2">
      <c r="A1459" t="s">
        <v>3916</v>
      </c>
      <c r="B1459" t="s">
        <v>76</v>
      </c>
      <c r="C1459" t="s">
        <v>3917</v>
      </c>
      <c r="D1459" t="s">
        <v>3861</v>
      </c>
      <c r="T1459" s="3" t="str">
        <f>HYPERLINK("doors://fe-dorapcm3.de.bosch.com:36679/?version=2&amp;prodID=0&amp;view=00000015&amp;urn=urn:telelogic::1-52394082008461e6-O-9079-00059142","BSW_SWS_AR4_0_R2_DIODriver-9079")</f>
        <v>BSW_SWS_AR4_0_R2_DIODriver-9079</v>
      </c>
    </row>
    <row r="1460" spans="1:20" x14ac:dyDescent="0.2">
      <c r="A1460" t="s">
        <v>3918</v>
      </c>
      <c r="B1460" t="s">
        <v>76</v>
      </c>
      <c r="C1460" t="s">
        <v>3919</v>
      </c>
      <c r="D1460" t="s">
        <v>3920</v>
      </c>
      <c r="T1460" s="3" t="str">
        <f>HYPERLINK("doors://fe-dorapcm3.de.bosch.com:36679/?version=2&amp;prodID=0&amp;view=00000015&amp;urn=urn:telelogic::1-52394082008461e6-O-9080-00059142","BSW_SWS_AR4_0_R2_DIODriver-9080")</f>
        <v>BSW_SWS_AR4_0_R2_DIODriver-9080</v>
      </c>
    </row>
    <row r="1461" spans="1:20" x14ac:dyDescent="0.2">
      <c r="A1461" t="s">
        <v>3921</v>
      </c>
      <c r="B1461" t="s">
        <v>76</v>
      </c>
      <c r="C1461" t="s">
        <v>3922</v>
      </c>
      <c r="D1461" t="s">
        <v>3923</v>
      </c>
      <c r="T1461" s="3" t="str">
        <f>HYPERLINK("doors://fe-dorapcm3.de.bosch.com:36679/?version=2&amp;prodID=0&amp;view=00000015&amp;urn=urn:telelogic::1-52394082008461e6-O-9081-00059142","BSW_SWS_AR4_0_R2_DIODriver-9081")</f>
        <v>BSW_SWS_AR4_0_R2_DIODriver-9081</v>
      </c>
    </row>
    <row r="1462" spans="1:20" x14ac:dyDescent="0.2">
      <c r="A1462" t="s">
        <v>3924</v>
      </c>
      <c r="B1462" t="s">
        <v>76</v>
      </c>
      <c r="C1462" t="s">
        <v>3925</v>
      </c>
      <c r="D1462" t="s">
        <v>3926</v>
      </c>
      <c r="T1462" s="3" t="str">
        <f>HYPERLINK("doors://fe-dorapcm3.de.bosch.com:36679/?version=2&amp;prodID=0&amp;view=00000015&amp;urn=urn:telelogic::1-52394082008461e6-O-9082-00059142","BSW_SWS_AR4_0_R2_DIODriver-9082")</f>
        <v>BSW_SWS_AR4_0_R2_DIODriver-9082</v>
      </c>
    </row>
    <row r="1463" spans="1:20" x14ac:dyDescent="0.2">
      <c r="A1463" t="s">
        <v>3927</v>
      </c>
      <c r="B1463" t="s">
        <v>76</v>
      </c>
      <c r="C1463" t="s">
        <v>3928</v>
      </c>
      <c r="D1463" t="s">
        <v>3929</v>
      </c>
      <c r="T1463" s="3" t="str">
        <f>HYPERLINK("doors://fe-dorapcm3.de.bosch.com:36679/?version=2&amp;prodID=0&amp;view=00000015&amp;urn=urn:telelogic::1-52394082008461e6-O-9083-00059142","BSW_SWS_AR4_0_R2_DIODriver-9083")</f>
        <v>BSW_SWS_AR4_0_R2_DIODriver-9083</v>
      </c>
    </row>
    <row r="1464" spans="1:20" x14ac:dyDescent="0.2">
      <c r="A1464" t="s">
        <v>3930</v>
      </c>
      <c r="B1464" t="s">
        <v>76</v>
      </c>
      <c r="C1464" t="s">
        <v>3931</v>
      </c>
      <c r="D1464" t="s">
        <v>3932</v>
      </c>
      <c r="T1464" s="3" t="str">
        <f>HYPERLINK("doors://fe-dorapcm3.de.bosch.com:36679/?version=2&amp;prodID=0&amp;view=00000015&amp;urn=urn:telelogic::1-52394082008461e6-O-9084-00059142","BSW_SWS_AR4_0_R2_DIODriver-9084")</f>
        <v>BSW_SWS_AR4_0_R2_DIODriver-9084</v>
      </c>
    </row>
    <row r="1465" spans="1:20" x14ac:dyDescent="0.2">
      <c r="A1465" t="s">
        <v>3933</v>
      </c>
      <c r="B1465" t="s">
        <v>76</v>
      </c>
      <c r="C1465" t="s">
        <v>3934</v>
      </c>
      <c r="D1465" t="s">
        <v>3935</v>
      </c>
      <c r="T1465" s="3" t="str">
        <f>HYPERLINK("doors://fe-dorapcm3.de.bosch.com:36679/?version=2&amp;prodID=0&amp;view=00000015&amp;urn=urn:telelogic::1-52394082008461e6-O-9085-00059142","BSW_SWS_AR4_0_R2_DIODriver-9085")</f>
        <v>BSW_SWS_AR4_0_R2_DIODriver-9085</v>
      </c>
    </row>
    <row r="1466" spans="1:20" x14ac:dyDescent="0.2">
      <c r="A1466" t="s">
        <v>3936</v>
      </c>
      <c r="B1466" t="s">
        <v>76</v>
      </c>
      <c r="C1466" t="s">
        <v>3937</v>
      </c>
      <c r="D1466" t="s">
        <v>3938</v>
      </c>
      <c r="T1466" s="3" t="str">
        <f>HYPERLINK("doors://fe-dorapcm3.de.bosch.com:36679/?version=2&amp;prodID=0&amp;view=00000015&amp;urn=urn:telelogic::1-52394082008461e6-O-9086-00059142","BSW_SWS_AR4_0_R2_DIODriver-9086")</f>
        <v>BSW_SWS_AR4_0_R2_DIODriver-9086</v>
      </c>
    </row>
    <row r="1467" spans="1:20" x14ac:dyDescent="0.2">
      <c r="A1467" t="s">
        <v>3939</v>
      </c>
      <c r="B1467" t="s">
        <v>76</v>
      </c>
      <c r="C1467" t="s">
        <v>3940</v>
      </c>
      <c r="D1467" t="s">
        <v>3926</v>
      </c>
      <c r="T1467" s="3" t="str">
        <f>HYPERLINK("doors://fe-dorapcm3.de.bosch.com:36679/?version=2&amp;prodID=0&amp;view=00000015&amp;urn=urn:telelogic::1-52394082008461e6-O-9087-00059142","BSW_SWS_AR4_0_R2_DIODriver-9087")</f>
        <v>BSW_SWS_AR4_0_R2_DIODriver-9087</v>
      </c>
    </row>
    <row r="1468" spans="1:20" x14ac:dyDescent="0.2">
      <c r="A1468" t="s">
        <v>3941</v>
      </c>
      <c r="B1468" t="s">
        <v>76</v>
      </c>
      <c r="C1468" t="s">
        <v>3942</v>
      </c>
      <c r="D1468" t="s">
        <v>3943</v>
      </c>
      <c r="T1468" s="3" t="str">
        <f>HYPERLINK("doors://fe-dorapcm3.de.bosch.com:36679/?version=2&amp;prodID=0&amp;view=00000015&amp;urn=urn:telelogic::1-52394082008461e6-O-9088-00059142","BSW_SWS_AR4_0_R2_DIODriver-9088")</f>
        <v>BSW_SWS_AR4_0_R2_DIODriver-9088</v>
      </c>
    </row>
    <row r="1469" spans="1:20" x14ac:dyDescent="0.2">
      <c r="A1469" t="s">
        <v>3944</v>
      </c>
      <c r="B1469" t="s">
        <v>76</v>
      </c>
      <c r="C1469" t="s">
        <v>3945</v>
      </c>
      <c r="D1469" t="s">
        <v>3946</v>
      </c>
      <c r="T1469" s="3" t="str">
        <f>HYPERLINK("doors://fe-dorapcm3.de.bosch.com:36679/?version=2&amp;prodID=0&amp;view=00000015&amp;urn=urn:telelogic::1-52394082008461e6-O-9089-00059142","BSW_SWS_AR4_0_R2_DIODriver-9089")</f>
        <v>BSW_SWS_AR4_0_R2_DIODriver-9089</v>
      </c>
    </row>
    <row r="1470" spans="1:20" x14ac:dyDescent="0.2">
      <c r="A1470" t="s">
        <v>3947</v>
      </c>
      <c r="B1470" t="s">
        <v>76</v>
      </c>
      <c r="C1470" t="s">
        <v>3948</v>
      </c>
      <c r="D1470" t="s">
        <v>3949</v>
      </c>
      <c r="T1470" s="3" t="str">
        <f>HYPERLINK("doors://fe-dorapcm3.de.bosch.com:36679/?version=2&amp;prodID=0&amp;view=00000015&amp;urn=urn:telelogic::1-52394082008461e6-O-9090-00059142","BSW_SWS_AR4_0_R2_DIODriver-9090")</f>
        <v>BSW_SWS_AR4_0_R2_DIODriver-9090</v>
      </c>
    </row>
    <row r="1471" spans="1:20" x14ac:dyDescent="0.2">
      <c r="A1471" t="s">
        <v>3950</v>
      </c>
      <c r="B1471" t="s">
        <v>76</v>
      </c>
      <c r="C1471" t="s">
        <v>3951</v>
      </c>
      <c r="D1471" t="s">
        <v>3952</v>
      </c>
      <c r="T1471" s="3" t="str">
        <f>HYPERLINK("doors://fe-dorapcm3.de.bosch.com:36679/?version=2&amp;prodID=0&amp;view=00000015&amp;urn=urn:telelogic::1-52394082008461e6-O-9091-00059142","BSW_SWS_AR4_0_R2_DIODriver-9091")</f>
        <v>BSW_SWS_AR4_0_R2_DIODriver-9091</v>
      </c>
    </row>
    <row r="1472" spans="1:20" x14ac:dyDescent="0.2">
      <c r="A1472" t="s">
        <v>3953</v>
      </c>
      <c r="B1472" t="s">
        <v>76</v>
      </c>
      <c r="C1472" t="s">
        <v>3954</v>
      </c>
      <c r="D1472" t="s">
        <v>3955</v>
      </c>
      <c r="T1472" s="3" t="str">
        <f>HYPERLINK("doors://fe-dorapcm3.de.bosch.com:36679/?version=2&amp;prodID=0&amp;view=00000015&amp;urn=urn:telelogic::1-52394082008461e6-O-9092-00059142","BSW_SWS_AR4_0_R2_DIODriver-9092")</f>
        <v>BSW_SWS_AR4_0_R2_DIODriver-9092</v>
      </c>
    </row>
  </sheetData>
  <autoFilter ref="B1:B147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Truong Minh Khoi Nguyen (RBVH/EJV42)</cp:lastModifiedBy>
  <dcterms:created xsi:type="dcterms:W3CDTF">2019-03-16T06:53:42Z</dcterms:created>
  <dcterms:modified xsi:type="dcterms:W3CDTF">2019-03-16T07:22:38Z</dcterms:modified>
</cp:coreProperties>
</file>