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0F3D1812-F8F0-4331-9D93-39EC3B0288B5}" xr6:coauthVersionLast="32" xr6:coauthVersionMax="32" xr10:uidLastSave="{00000000-0000-0000-0000-000000000000}"/>
  <bookViews>
    <workbookView xWindow="0" yWindow="0" windowWidth="9360" windowHeight="8580" xr2:uid="{00000000-000D-0000-FFFF-FFFF00000000}"/>
  </bookViews>
  <sheets>
    <sheet name="Лист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68" i="1" l="1"/>
  <c r="AQ68" i="1"/>
  <c r="AP95" i="1"/>
  <c r="AP94" i="1"/>
  <c r="AO95" i="1"/>
  <c r="AO94" i="1"/>
  <c r="AQ94" i="1"/>
  <c r="AQ95" i="1"/>
  <c r="AT69" i="1" l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68" i="1"/>
  <c r="AM81" i="1"/>
  <c r="AN81" i="1" s="1"/>
  <c r="AM80" i="1"/>
  <c r="AO79" i="1"/>
  <c r="AM79" i="1"/>
  <c r="AN79" i="1" s="1"/>
  <c r="AM78" i="1"/>
  <c r="AO77" i="1"/>
  <c r="AM77" i="1"/>
  <c r="AN77" i="1" s="1"/>
  <c r="AM76" i="1"/>
  <c r="AO75" i="1"/>
  <c r="AM75" i="1"/>
  <c r="AN75" i="1" s="1"/>
  <c r="AO69" i="1"/>
  <c r="AO70" i="1"/>
  <c r="AO71" i="1"/>
  <c r="AO72" i="1"/>
  <c r="AO73" i="1"/>
  <c r="AO74" i="1"/>
  <c r="AO68" i="1"/>
  <c r="AN69" i="1"/>
  <c r="AN70" i="1"/>
  <c r="AN71" i="1"/>
  <c r="AN72" i="1"/>
  <c r="AN73" i="1"/>
  <c r="AN74" i="1"/>
  <c r="AP68" i="1"/>
  <c r="AP75" i="1" l="1"/>
  <c r="AR75" i="1" s="1"/>
  <c r="AP77" i="1"/>
  <c r="AR77" i="1" s="1"/>
  <c r="AR68" i="1"/>
  <c r="AP79" i="1"/>
  <c r="AR79" i="1" s="1"/>
  <c r="AO81" i="1"/>
  <c r="AP81" i="1" s="1"/>
  <c r="AR81" i="1" s="1"/>
  <c r="AU81" i="1"/>
  <c r="AU75" i="1"/>
  <c r="AN76" i="1"/>
  <c r="AU77" i="1"/>
  <c r="AN78" i="1"/>
  <c r="AU79" i="1"/>
  <c r="AN80" i="1"/>
  <c r="AO78" i="1"/>
  <c r="AO76" i="1"/>
  <c r="AU76" i="1"/>
  <c r="AU78" i="1"/>
  <c r="AO80" i="1"/>
  <c r="AU80" i="1"/>
  <c r="AP78" i="1" l="1"/>
  <c r="AR78" i="1" s="1"/>
  <c r="AP80" i="1"/>
  <c r="AR80" i="1" s="1"/>
  <c r="AP76" i="1"/>
  <c r="AR76" i="1" s="1"/>
  <c r="AM84" i="1" l="1"/>
  <c r="AQ78" i="1" l="1"/>
  <c r="AQ75" i="1"/>
  <c r="AQ79" i="1"/>
  <c r="AQ76" i="1"/>
  <c r="AQ80" i="1"/>
  <c r="AQ77" i="1"/>
  <c r="AQ81" i="1"/>
  <c r="AV77" i="1"/>
  <c r="AV81" i="1"/>
  <c r="AV78" i="1"/>
  <c r="AV75" i="1"/>
  <c r="AV79" i="1"/>
  <c r="AV76" i="1"/>
  <c r="AV80" i="1"/>
  <c r="AM69" i="1"/>
  <c r="AM70" i="1"/>
  <c r="AM71" i="1"/>
  <c r="AM72" i="1"/>
  <c r="AM73" i="1"/>
  <c r="AM74" i="1"/>
  <c r="AM68" i="1"/>
  <c r="AU73" i="1" l="1"/>
  <c r="AV73" i="1" s="1"/>
  <c r="AP71" i="1"/>
  <c r="AU69" i="1"/>
  <c r="AV69" i="1" s="1"/>
  <c r="AP69" i="1"/>
  <c r="AP60" i="1"/>
  <c r="AR60" i="1" s="1"/>
  <c r="AO60" i="1"/>
  <c r="AR59" i="1"/>
  <c r="AP59" i="1"/>
  <c r="AO59" i="1"/>
  <c r="AP58" i="1"/>
  <c r="AR58" i="1" s="1"/>
  <c r="AO58" i="1"/>
  <c r="AP57" i="1"/>
  <c r="AR57" i="1" s="1"/>
  <c r="AO57" i="1"/>
  <c r="AP56" i="1"/>
  <c r="AR56" i="1" s="1"/>
  <c r="AO56" i="1"/>
  <c r="AR55" i="1"/>
  <c r="AP55" i="1"/>
  <c r="AO55" i="1"/>
  <c r="AP54" i="1"/>
  <c r="AR54" i="1" s="1"/>
  <c r="AO54" i="1"/>
  <c r="AP53" i="1"/>
  <c r="AR53" i="1" s="1"/>
  <c r="AO53" i="1"/>
  <c r="AP52" i="1"/>
  <c r="AR52" i="1" s="1"/>
  <c r="AO52" i="1"/>
  <c r="AR51" i="1"/>
  <c r="AP51" i="1"/>
  <c r="AO51" i="1"/>
  <c r="AP50" i="1"/>
  <c r="AR50" i="1" s="1"/>
  <c r="AO50" i="1"/>
  <c r="AP49" i="1"/>
  <c r="AR49" i="1" s="1"/>
  <c r="AO49" i="1"/>
  <c r="AY60" i="1"/>
  <c r="BA60" i="1" s="1"/>
  <c r="AX60" i="1"/>
  <c r="BA59" i="1"/>
  <c r="AY59" i="1"/>
  <c r="AX59" i="1"/>
  <c r="AY58" i="1"/>
  <c r="BA58" i="1" s="1"/>
  <c r="AX58" i="1"/>
  <c r="AY57" i="1"/>
  <c r="BA57" i="1" s="1"/>
  <c r="AX57" i="1"/>
  <c r="AY56" i="1"/>
  <c r="BA56" i="1" s="1"/>
  <c r="AX56" i="1"/>
  <c r="BA55" i="1"/>
  <c r="AY55" i="1"/>
  <c r="AX55" i="1"/>
  <c r="AY54" i="1"/>
  <c r="BA54" i="1" s="1"/>
  <c r="AX54" i="1"/>
  <c r="AY53" i="1"/>
  <c r="BA53" i="1" s="1"/>
  <c r="AX53" i="1"/>
  <c r="AY52" i="1"/>
  <c r="BA52" i="1" s="1"/>
  <c r="AX52" i="1"/>
  <c r="BA51" i="1"/>
  <c r="AY51" i="1"/>
  <c r="AX51" i="1"/>
  <c r="AY50" i="1"/>
  <c r="BA50" i="1" s="1"/>
  <c r="AX50" i="1"/>
  <c r="AY49" i="1"/>
  <c r="BA49" i="1" s="1"/>
  <c r="AX49" i="1"/>
  <c r="BF50" i="1"/>
  <c r="BF51" i="1"/>
  <c r="BF52" i="1"/>
  <c r="BF53" i="1"/>
  <c r="BF54" i="1"/>
  <c r="BF55" i="1"/>
  <c r="BF56" i="1"/>
  <c r="BF57" i="1"/>
  <c r="BF49" i="1"/>
  <c r="BI50" i="1"/>
  <c r="BI51" i="1"/>
  <c r="BI52" i="1"/>
  <c r="BI53" i="1"/>
  <c r="BI54" i="1"/>
  <c r="BI55" i="1"/>
  <c r="BI56" i="1"/>
  <c r="BI57" i="1"/>
  <c r="AR69" i="1" l="1"/>
  <c r="AQ69" i="1"/>
  <c r="AR71" i="1"/>
  <c r="AQ71" i="1"/>
  <c r="AP73" i="1"/>
  <c r="AU72" i="1"/>
  <c r="AV72" i="1" s="1"/>
  <c r="AU71" i="1"/>
  <c r="AV71" i="1" s="1"/>
  <c r="AR73" i="1" l="1"/>
  <c r="AQ73" i="1"/>
  <c r="AP70" i="1"/>
  <c r="AU70" i="1"/>
  <c r="AV70" i="1" s="1"/>
  <c r="AP74" i="1"/>
  <c r="AU68" i="1"/>
  <c r="AV68" i="1" s="1"/>
  <c r="AP72" i="1"/>
  <c r="AU74" i="1"/>
  <c r="AV74" i="1" s="1"/>
  <c r="AR72" i="1" l="1"/>
  <c r="AQ72" i="1"/>
  <c r="AR70" i="1"/>
  <c r="AQ70" i="1"/>
  <c r="AR74" i="1"/>
  <c r="AQ74" i="1"/>
  <c r="AH77" i="1"/>
  <c r="AI77" i="1"/>
  <c r="AH75" i="1"/>
  <c r="AH76" i="1"/>
  <c r="AH72" i="1"/>
  <c r="AI72" i="1"/>
  <c r="AI81" i="1"/>
  <c r="AH63" i="1"/>
  <c r="AH64" i="1"/>
  <c r="AH65" i="1"/>
  <c r="AH66" i="1"/>
  <c r="AI65" i="1"/>
  <c r="AI64" i="1"/>
  <c r="AH83" i="1"/>
  <c r="AH82" i="1"/>
  <c r="AH73" i="1"/>
  <c r="AI83" i="1"/>
  <c r="AI82" i="1"/>
  <c r="AI80" i="1"/>
  <c r="AI79" i="1"/>
  <c r="AI78" i="1"/>
  <c r="AI76" i="1"/>
  <c r="AI75" i="1"/>
  <c r="AI63" i="1"/>
  <c r="AI73" i="1"/>
  <c r="AI71" i="1"/>
  <c r="AI70" i="1"/>
  <c r="AI69" i="1"/>
  <c r="AI68" i="1"/>
  <c r="AI67" i="1"/>
  <c r="AI66" i="1"/>
  <c r="T79" i="1" l="1"/>
  <c r="T78" i="1"/>
  <c r="R79" i="1"/>
  <c r="R78" i="1"/>
  <c r="D83" i="1"/>
  <c r="B83" i="1"/>
  <c r="V64" i="1" l="1"/>
  <c r="W64" i="1"/>
  <c r="V65" i="1"/>
  <c r="W65" i="1"/>
  <c r="V66" i="1"/>
  <c r="W66" i="1"/>
  <c r="V67" i="1"/>
  <c r="W67" i="1"/>
  <c r="V68" i="1"/>
  <c r="W68" i="1"/>
  <c r="V69" i="1"/>
  <c r="W69" i="1"/>
  <c r="X69" i="1" s="1"/>
  <c r="Y69" i="1" s="1"/>
  <c r="V70" i="1"/>
  <c r="W70" i="1"/>
  <c r="V71" i="1"/>
  <c r="W71" i="1"/>
  <c r="V72" i="1"/>
  <c r="W72" i="1"/>
  <c r="V73" i="1"/>
  <c r="W73" i="1"/>
  <c r="X73" i="1" s="1"/>
  <c r="Y73" i="1" s="1"/>
  <c r="V74" i="1"/>
  <c r="W74" i="1"/>
  <c r="V75" i="1"/>
  <c r="W75" i="1"/>
  <c r="V76" i="1"/>
  <c r="W76" i="1"/>
  <c r="V77" i="1"/>
  <c r="W77" i="1"/>
  <c r="X77" i="1" s="1"/>
  <c r="Y77" i="1" s="1"/>
  <c r="W63" i="1"/>
  <c r="V63" i="1"/>
  <c r="W62" i="1"/>
  <c r="W61" i="1"/>
  <c r="V62" i="1"/>
  <c r="X62" i="1" s="1"/>
  <c r="Y62" i="1" s="1"/>
  <c r="V61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63" i="1"/>
  <c r="S62" i="1"/>
  <c r="S61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63" i="1"/>
  <c r="R62" i="1"/>
  <c r="R61" i="1"/>
  <c r="AH81" i="1"/>
  <c r="AH80" i="1"/>
  <c r="AH79" i="1"/>
  <c r="AH78" i="1"/>
  <c r="AH71" i="1"/>
  <c r="AH70" i="1"/>
  <c r="AH69" i="1"/>
  <c r="AH68" i="1"/>
  <c r="AH67" i="1"/>
  <c r="AF76" i="1"/>
  <c r="AF77" i="1"/>
  <c r="AF78" i="1"/>
  <c r="AF79" i="1"/>
  <c r="AF80" i="1"/>
  <c r="AF81" i="1"/>
  <c r="AF82" i="1"/>
  <c r="AF83" i="1"/>
  <c r="AF75" i="1"/>
  <c r="AF64" i="1"/>
  <c r="AF65" i="1"/>
  <c r="AF66" i="1"/>
  <c r="AF67" i="1"/>
  <c r="AF68" i="1"/>
  <c r="AF69" i="1"/>
  <c r="AF70" i="1"/>
  <c r="AF71" i="1"/>
  <c r="AF72" i="1"/>
  <c r="AF73" i="1"/>
  <c r="AF63" i="1"/>
  <c r="AE76" i="1"/>
  <c r="AE77" i="1"/>
  <c r="AE78" i="1"/>
  <c r="AE79" i="1"/>
  <c r="AE80" i="1"/>
  <c r="AE81" i="1"/>
  <c r="AE82" i="1"/>
  <c r="AE83" i="1"/>
  <c r="AE75" i="1"/>
  <c r="AE73" i="1"/>
  <c r="AE64" i="1"/>
  <c r="AE65" i="1"/>
  <c r="AE66" i="1"/>
  <c r="AE67" i="1"/>
  <c r="AE68" i="1"/>
  <c r="AE69" i="1"/>
  <c r="AE70" i="1"/>
  <c r="AE71" i="1"/>
  <c r="AE72" i="1"/>
  <c r="AE63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61" i="1"/>
  <c r="X63" i="1"/>
  <c r="Y63" i="1" s="1"/>
  <c r="X64" i="1"/>
  <c r="Y64" i="1" s="1"/>
  <c r="X66" i="1"/>
  <c r="Y66" i="1" s="1"/>
  <c r="X67" i="1"/>
  <c r="Y67" i="1" s="1"/>
  <c r="X68" i="1"/>
  <c r="Y68" i="1" s="1"/>
  <c r="X70" i="1"/>
  <c r="Y70" i="1" s="1"/>
  <c r="X71" i="1"/>
  <c r="Y71" i="1" s="1"/>
  <c r="X72" i="1"/>
  <c r="Y72" i="1" s="1"/>
  <c r="X74" i="1"/>
  <c r="Y74" i="1" s="1"/>
  <c r="X75" i="1"/>
  <c r="Y75" i="1" s="1"/>
  <c r="X76" i="1"/>
  <c r="Y76" i="1" s="1"/>
  <c r="X61" i="1"/>
  <c r="Y61" i="1" s="1"/>
  <c r="T62" i="1"/>
  <c r="U62" i="1" s="1"/>
  <c r="T61" i="1"/>
  <c r="U61" i="1" s="1"/>
  <c r="T80" i="1"/>
  <c r="R80" i="1"/>
  <c r="X65" i="1" l="1"/>
  <c r="Y65" i="1" s="1"/>
  <c r="T74" i="1"/>
  <c r="U74" i="1" s="1"/>
  <c r="T70" i="1"/>
  <c r="U70" i="1" s="1"/>
  <c r="T66" i="1"/>
  <c r="U66" i="1" s="1"/>
  <c r="T64" i="1"/>
  <c r="U64" i="1" s="1"/>
  <c r="T75" i="1"/>
  <c r="U75" i="1" s="1"/>
  <c r="T71" i="1"/>
  <c r="U71" i="1" s="1"/>
  <c r="T67" i="1"/>
  <c r="U67" i="1" s="1"/>
  <c r="T63" i="1"/>
  <c r="U63" i="1" s="1"/>
  <c r="T76" i="1"/>
  <c r="U76" i="1" s="1"/>
  <c r="T72" i="1"/>
  <c r="U72" i="1" s="1"/>
  <c r="T68" i="1"/>
  <c r="U68" i="1" s="1"/>
  <c r="AB17" i="1"/>
  <c r="AB18" i="1"/>
  <c r="AA20" i="1"/>
  <c r="AA17" i="1" s="1"/>
  <c r="AA18" i="1" s="1"/>
  <c r="AA21" i="1"/>
  <c r="C55" i="1"/>
  <c r="O72" i="1"/>
  <c r="N72" i="1"/>
  <c r="L72" i="1"/>
  <c r="K72" i="1"/>
  <c r="O71" i="1"/>
  <c r="N71" i="1"/>
  <c r="L71" i="1"/>
  <c r="K71" i="1"/>
  <c r="O70" i="1"/>
  <c r="N70" i="1"/>
  <c r="L70" i="1"/>
  <c r="K70" i="1"/>
  <c r="O69" i="1"/>
  <c r="N69" i="1"/>
  <c r="L69" i="1"/>
  <c r="K69" i="1"/>
  <c r="O68" i="1"/>
  <c r="N68" i="1"/>
  <c r="L68" i="1"/>
  <c r="K68" i="1"/>
  <c r="O67" i="1"/>
  <c r="N67" i="1"/>
  <c r="L67" i="1"/>
  <c r="K67" i="1"/>
  <c r="K66" i="1"/>
  <c r="I66" i="1"/>
  <c r="L66" i="1" s="1"/>
  <c r="N66" i="1" s="1"/>
  <c r="O66" i="1" s="1"/>
  <c r="L65" i="1"/>
  <c r="N65" i="1" s="1"/>
  <c r="O65" i="1" s="1"/>
  <c r="K65" i="1"/>
  <c r="L64" i="1"/>
  <c r="N64" i="1" s="1"/>
  <c r="O64" i="1" s="1"/>
  <c r="K64" i="1"/>
  <c r="L63" i="1"/>
  <c r="N63" i="1" s="1"/>
  <c r="O63" i="1" s="1"/>
  <c r="K63" i="1"/>
  <c r="L62" i="1"/>
  <c r="N62" i="1" s="1"/>
  <c r="O62" i="1" s="1"/>
  <c r="K62" i="1"/>
  <c r="E76" i="1"/>
  <c r="F78" i="1"/>
  <c r="C78" i="1"/>
  <c r="B78" i="1"/>
  <c r="F77" i="1"/>
  <c r="C77" i="1"/>
  <c r="D77" i="1" s="1"/>
  <c r="E77" i="1" s="1"/>
  <c r="B77" i="1"/>
  <c r="F76" i="1"/>
  <c r="C76" i="1"/>
  <c r="B76" i="1"/>
  <c r="D76" i="1" s="1"/>
  <c r="F75" i="1"/>
  <c r="C75" i="1"/>
  <c r="D75" i="1" s="1"/>
  <c r="E75" i="1" s="1"/>
  <c r="B75" i="1"/>
  <c r="F74" i="1"/>
  <c r="C74" i="1"/>
  <c r="B74" i="1"/>
  <c r="F73" i="1"/>
  <c r="C73" i="1"/>
  <c r="D73" i="1" s="1"/>
  <c r="E73" i="1" s="1"/>
  <c r="B73" i="1"/>
  <c r="F72" i="1"/>
  <c r="C72" i="1"/>
  <c r="B72" i="1"/>
  <c r="D72" i="1" s="1"/>
  <c r="E72" i="1" s="1"/>
  <c r="F71" i="1"/>
  <c r="C71" i="1"/>
  <c r="B71" i="1"/>
  <c r="F70" i="1"/>
  <c r="C70" i="1"/>
  <c r="D70" i="1" s="1"/>
  <c r="E70" i="1" s="1"/>
  <c r="B70" i="1"/>
  <c r="F69" i="1"/>
  <c r="C69" i="1"/>
  <c r="D69" i="1" s="1"/>
  <c r="E69" i="1" s="1"/>
  <c r="B69" i="1"/>
  <c r="F68" i="1"/>
  <c r="C68" i="1"/>
  <c r="B68" i="1"/>
  <c r="D68" i="1" s="1"/>
  <c r="E68" i="1" s="1"/>
  <c r="F67" i="1"/>
  <c r="C67" i="1"/>
  <c r="B67" i="1"/>
  <c r="F66" i="1"/>
  <c r="C66" i="1"/>
  <c r="B66" i="1"/>
  <c r="F65" i="1"/>
  <c r="D65" i="1"/>
  <c r="E65" i="1" s="1"/>
  <c r="C65" i="1"/>
  <c r="B65" i="1"/>
  <c r="F64" i="1"/>
  <c r="C64" i="1"/>
  <c r="D64" i="1" s="1"/>
  <c r="E64" i="1" s="1"/>
  <c r="B64" i="1"/>
  <c r="D67" i="1" l="1"/>
  <c r="E67" i="1" s="1"/>
  <c r="D78" i="1"/>
  <c r="E78" i="1" s="1"/>
  <c r="D74" i="1"/>
  <c r="E74" i="1" s="1"/>
  <c r="D66" i="1"/>
  <c r="E66" i="1" s="1"/>
  <c r="D71" i="1"/>
  <c r="E71" i="1" s="1"/>
  <c r="T77" i="1"/>
  <c r="U77" i="1" s="1"/>
  <c r="T65" i="1"/>
  <c r="U65" i="1" s="1"/>
  <c r="T69" i="1"/>
  <c r="U69" i="1" s="1"/>
  <c r="T73" i="1"/>
  <c r="U73" i="1" s="1"/>
  <c r="F63" i="1"/>
  <c r="F62" i="1"/>
  <c r="C63" i="1"/>
  <c r="D63" i="1" s="1"/>
  <c r="E63" i="1" s="1"/>
  <c r="C62" i="1"/>
  <c r="B63" i="1"/>
  <c r="B62" i="1"/>
  <c r="D82" i="1"/>
  <c r="B82" i="1"/>
  <c r="B85" i="1"/>
  <c r="B84" i="1"/>
  <c r="B90" i="1"/>
  <c r="D89" i="1"/>
  <c r="B89" i="1"/>
  <c r="D62" i="1" l="1"/>
  <c r="E62" i="1" s="1"/>
  <c r="BG50" i="1"/>
  <c r="BG51" i="1"/>
  <c r="BG52" i="1"/>
  <c r="BG53" i="1"/>
  <c r="BG54" i="1"/>
  <c r="BG55" i="1"/>
  <c r="BG56" i="1"/>
  <c r="BG57" i="1"/>
  <c r="BG49" i="1"/>
  <c r="BI49" i="1" s="1"/>
  <c r="X37" i="1"/>
  <c r="X38" i="1"/>
  <c r="X39" i="1"/>
  <c r="X40" i="1"/>
  <c r="X41" i="1"/>
  <c r="X42" i="1"/>
  <c r="X43" i="1"/>
  <c r="X44" i="1"/>
  <c r="X45" i="1"/>
  <c r="X46" i="1"/>
  <c r="X47" i="1"/>
  <c r="X36" i="1"/>
  <c r="I35" i="1"/>
  <c r="I36" i="1"/>
  <c r="I37" i="1"/>
  <c r="I38" i="1"/>
  <c r="I39" i="1"/>
  <c r="I40" i="1"/>
  <c r="I41" i="1"/>
  <c r="I42" i="1"/>
  <c r="I43" i="1"/>
  <c r="I34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B46" i="1" l="1"/>
  <c r="AO12" i="1"/>
  <c r="S4" i="1"/>
  <c r="B36" i="1" s="1"/>
  <c r="S13" i="1"/>
  <c r="B45" i="1" s="1"/>
  <c r="S12" i="1"/>
  <c r="B44" i="1" s="1"/>
  <c r="S11" i="1"/>
  <c r="B43" i="1" s="1"/>
  <c r="S10" i="1"/>
  <c r="B42" i="1" s="1"/>
  <c r="S9" i="1"/>
  <c r="B41" i="1" s="1"/>
  <c r="S8" i="1"/>
  <c r="B40" i="1" s="1"/>
  <c r="S7" i="1"/>
  <c r="B39" i="1" s="1"/>
  <c r="S6" i="1"/>
  <c r="B38" i="1" s="1"/>
  <c r="BD7" i="1"/>
  <c r="S5" i="1"/>
  <c r="B37" i="1" s="1"/>
  <c r="Z5" i="1" l="1"/>
  <c r="N5" i="1"/>
  <c r="N6" i="1"/>
  <c r="Z6" i="1"/>
  <c r="AI6" i="1" s="1"/>
  <c r="N12" i="1"/>
  <c r="Z12" i="1"/>
  <c r="Z13" i="1"/>
  <c r="N13" i="1"/>
  <c r="Z10" i="1"/>
  <c r="N10" i="1"/>
  <c r="N4" i="1"/>
  <c r="Z4" i="1"/>
  <c r="N7" i="1"/>
  <c r="Z7" i="1"/>
  <c r="AI7" i="1" s="1"/>
  <c r="N11" i="1"/>
  <c r="Z11" i="1"/>
  <c r="Z9" i="1"/>
  <c r="N9" i="1"/>
  <c r="N8" i="1"/>
  <c r="Z8" i="1"/>
  <c r="AI8" i="1" s="1"/>
  <c r="BD15" i="1"/>
  <c r="BD13" i="1"/>
  <c r="BD11" i="1"/>
  <c r="BD9" i="1"/>
  <c r="BD5" i="1"/>
  <c r="BD14" i="1"/>
  <c r="BD12" i="1"/>
  <c r="BD10" i="1"/>
  <c r="BD8" i="1"/>
  <c r="BD6" i="1"/>
  <c r="AW6" i="1"/>
  <c r="AY7" i="1"/>
  <c r="BJ6" i="1" s="1"/>
  <c r="AX6" i="1"/>
  <c r="AY6" i="1"/>
  <c r="AW7" i="1"/>
  <c r="BE7" i="1" s="1"/>
  <c r="BF7" i="1" s="1"/>
  <c r="BG7" i="1" s="1"/>
  <c r="BJ10" i="1"/>
  <c r="AX7" i="1"/>
  <c r="AE8" i="1" l="1"/>
  <c r="AF8" i="1" s="1"/>
  <c r="AG8" i="1" s="1"/>
  <c r="AH8" i="1" s="1"/>
  <c r="O8" i="1"/>
  <c r="P8" i="1" s="1"/>
  <c r="BJ14" i="1"/>
  <c r="AE7" i="1"/>
  <c r="AF7" i="1" s="1"/>
  <c r="AG7" i="1" s="1"/>
  <c r="AH7" i="1" s="1"/>
  <c r="O5" i="1"/>
  <c r="P5" i="1" s="1"/>
  <c r="AA6" i="1"/>
  <c r="AB6" i="1" s="1"/>
  <c r="AE6" i="1"/>
  <c r="AF6" i="1" s="1"/>
  <c r="AG6" i="1" s="1"/>
  <c r="AH6" i="1" s="1"/>
  <c r="BE12" i="1"/>
  <c r="BE5" i="1"/>
  <c r="BF5" i="1" s="1"/>
  <c r="BG5" i="1" s="1"/>
  <c r="BH5" i="1" s="1"/>
  <c r="BE15" i="1"/>
  <c r="BF15" i="1" s="1"/>
  <c r="BG15" i="1" s="1"/>
  <c r="BH15" i="1" s="1"/>
  <c r="BH7" i="1"/>
  <c r="BE6" i="1"/>
  <c r="BE14" i="1"/>
  <c r="BE9" i="1"/>
  <c r="BF9" i="1" s="1"/>
  <c r="BG9" i="1" s="1"/>
  <c r="BH9" i="1" s="1"/>
  <c r="AA8" i="1"/>
  <c r="BI5" i="1"/>
  <c r="BI7" i="1"/>
  <c r="BI9" i="1"/>
  <c r="BE8" i="1"/>
  <c r="BE11" i="1"/>
  <c r="BF11" i="1" s="1"/>
  <c r="BG11" i="1" s="1"/>
  <c r="BH11" i="1" s="1"/>
  <c r="AD6" i="1"/>
  <c r="BE10" i="1"/>
  <c r="AA7" i="1"/>
  <c r="AB7" i="1" s="1"/>
  <c r="AD7" i="1" s="1"/>
  <c r="BE13" i="1"/>
  <c r="BF13" i="1" s="1"/>
  <c r="BG13" i="1" s="1"/>
  <c r="BI13" i="1" s="1"/>
  <c r="AA9" i="1"/>
  <c r="AE9" i="1"/>
  <c r="AF9" i="1" s="1"/>
  <c r="AG9" i="1" s="1"/>
  <c r="AH9" i="1" s="1"/>
  <c r="AI9" i="1"/>
  <c r="BJ12" i="1"/>
  <c r="BJ7" i="1"/>
  <c r="BK6" i="1"/>
  <c r="BL6" i="1" s="1"/>
  <c r="BM6" i="1" s="1"/>
  <c r="BJ5" i="1"/>
  <c r="BJ11" i="1"/>
  <c r="BK10" i="1"/>
  <c r="BL10" i="1" s="1"/>
  <c r="BM10" i="1" s="1"/>
  <c r="BJ9" i="1"/>
  <c r="O4" i="1"/>
  <c r="P4" i="1" s="1"/>
  <c r="BJ15" i="1"/>
  <c r="BK14" i="1"/>
  <c r="BL14" i="1" s="1"/>
  <c r="BM14" i="1" s="1"/>
  <c r="BJ8" i="1"/>
  <c r="BJ13" i="1"/>
  <c r="O10" i="1"/>
  <c r="P10" i="1" s="1"/>
  <c r="O6" i="1"/>
  <c r="P6" i="1" s="1"/>
  <c r="O11" i="1"/>
  <c r="P11" i="1" s="1"/>
  <c r="O9" i="1"/>
  <c r="P9" i="1" s="1"/>
  <c r="O12" i="1"/>
  <c r="P12" i="1" s="1"/>
  <c r="O7" i="1"/>
  <c r="P7" i="1" s="1"/>
  <c r="O13" i="1"/>
  <c r="P13" i="1" s="1"/>
  <c r="AC6" i="1" l="1"/>
  <c r="BI15" i="1"/>
  <c r="BI11" i="1"/>
  <c r="AC7" i="1"/>
  <c r="Q10" i="1"/>
  <c r="R10" i="1" s="1"/>
  <c r="Q4" i="1"/>
  <c r="R4" i="1" s="1"/>
  <c r="BF10" i="1"/>
  <c r="BG10" i="1" s="1"/>
  <c r="AB8" i="1"/>
  <c r="AD8" i="1" s="1"/>
  <c r="BF14" i="1"/>
  <c r="BG14" i="1" s="1"/>
  <c r="BH13" i="1"/>
  <c r="BF8" i="1"/>
  <c r="BG8" i="1" s="1"/>
  <c r="BF6" i="1"/>
  <c r="BG6" i="1" s="1"/>
  <c r="BF12" i="1"/>
  <c r="BG12" i="1" s="1"/>
  <c r="AB9" i="1"/>
  <c r="AD9" i="1" s="1"/>
  <c r="AA10" i="1"/>
  <c r="AE10" i="1"/>
  <c r="AF10" i="1" s="1"/>
  <c r="AG10" i="1" s="1"/>
  <c r="AH10" i="1" s="1"/>
  <c r="AI10" i="1"/>
  <c r="Q6" i="1"/>
  <c r="R6" i="1" s="1"/>
  <c r="Q13" i="1"/>
  <c r="R13" i="1" s="1"/>
  <c r="BK8" i="1"/>
  <c r="BL8" i="1" s="1"/>
  <c r="BM8" i="1" s="1"/>
  <c r="BK11" i="1"/>
  <c r="BL11" i="1" s="1"/>
  <c r="BM11" i="1" s="1"/>
  <c r="BK7" i="1"/>
  <c r="BL7" i="1" s="1"/>
  <c r="BM7" i="1" s="1"/>
  <c r="BK9" i="1"/>
  <c r="BL9" i="1" s="1"/>
  <c r="BM9" i="1" s="1"/>
  <c r="BK5" i="1"/>
  <c r="BL5" i="1" s="1"/>
  <c r="BM5" i="1" s="1"/>
  <c r="BK12" i="1"/>
  <c r="BL12" i="1" s="1"/>
  <c r="BM12" i="1" s="1"/>
  <c r="BK13" i="1"/>
  <c r="BL13" i="1" s="1"/>
  <c r="BM13" i="1" s="1"/>
  <c r="BK15" i="1"/>
  <c r="BL15" i="1" s="1"/>
  <c r="BM15" i="1" s="1"/>
  <c r="Q8" i="1"/>
  <c r="R8" i="1" s="1"/>
  <c r="Q9" i="1"/>
  <c r="R9" i="1" s="1"/>
  <c r="Q11" i="1"/>
  <c r="R11" i="1" s="1"/>
  <c r="Q12" i="1"/>
  <c r="R12" i="1" s="1"/>
  <c r="Q7" i="1"/>
  <c r="R7" i="1" s="1"/>
  <c r="Q5" i="1"/>
  <c r="R5" i="1" s="1"/>
  <c r="AC8" i="1" l="1"/>
  <c r="BH6" i="1"/>
  <c r="BI6" i="1"/>
  <c r="BH8" i="1"/>
  <c r="BI8" i="1"/>
  <c r="BI12" i="1"/>
  <c r="BH12" i="1"/>
  <c r="BH14" i="1"/>
  <c r="BI14" i="1"/>
  <c r="BH10" i="1"/>
  <c r="BI10" i="1"/>
  <c r="AA11" i="1"/>
  <c r="AB11" i="1" s="1"/>
  <c r="AI11" i="1"/>
  <c r="AE11" i="1"/>
  <c r="AF11" i="1" s="1"/>
  <c r="AG11" i="1" s="1"/>
  <c r="AH11" i="1" s="1"/>
  <c r="AB10" i="1"/>
  <c r="AD10" i="1" s="1"/>
  <c r="AC9" i="1"/>
  <c r="AC10" i="1" l="1"/>
  <c r="AA12" i="1"/>
  <c r="AI12" i="1"/>
  <c r="AE12" i="1"/>
  <c r="AF12" i="1" s="1"/>
  <c r="AG12" i="1" s="1"/>
  <c r="AH12" i="1" s="1"/>
  <c r="AC11" i="1"/>
  <c r="AD11" i="1"/>
  <c r="AI13" i="1" l="1"/>
  <c r="AA13" i="1"/>
  <c r="AB13" i="1" s="1"/>
  <c r="AE13" i="1"/>
  <c r="AF13" i="1" s="1"/>
  <c r="AG13" i="1" s="1"/>
  <c r="AH13" i="1" s="1"/>
  <c r="AB12" i="1"/>
  <c r="AD12" i="1" s="1"/>
  <c r="AC13" i="1" l="1"/>
  <c r="AD13" i="1"/>
  <c r="AC12" i="1"/>
  <c r="AA4" i="1"/>
  <c r="AE4" i="1"/>
  <c r="AF4" i="1" s="1"/>
  <c r="AG4" i="1" s="1"/>
  <c r="AH4" i="1" s="1"/>
  <c r="AI4" i="1"/>
  <c r="AE5" i="1"/>
  <c r="AF5" i="1" s="1"/>
  <c r="AG5" i="1" s="1"/>
  <c r="AH5" i="1" s="1"/>
  <c r="AB4" i="1" l="1"/>
  <c r="AD4" i="1" s="1"/>
  <c r="AI5" i="1"/>
  <c r="AA5" i="1"/>
  <c r="AB5" i="1" l="1"/>
  <c r="AD5" i="1" s="1"/>
  <c r="AC4" i="1"/>
  <c r="AC5" i="1" l="1"/>
</calcChain>
</file>

<file path=xl/sharedStrings.xml><?xml version="1.0" encoding="utf-8"?>
<sst xmlns="http://schemas.openxmlformats.org/spreadsheetml/2006/main" count="245" uniqueCount="104">
  <si>
    <t>Экспериментальные данные</t>
  </si>
  <si>
    <t>Результаты обработки</t>
  </si>
  <si>
    <t>n</t>
  </si>
  <si>
    <r>
      <t>I</t>
    </r>
    <r>
      <rPr>
        <vertAlign val="subscript"/>
        <sz val="10"/>
        <color theme="1"/>
        <rFont val="Times New Roman"/>
        <family val="1"/>
        <charset val="204"/>
      </rPr>
      <t>НМ</t>
    </r>
  </si>
  <si>
    <r>
      <t>U</t>
    </r>
    <r>
      <rPr>
        <vertAlign val="subscript"/>
        <sz val="10"/>
        <color theme="1"/>
        <rFont val="Times New Roman"/>
        <family val="1"/>
        <charset val="204"/>
      </rPr>
      <t>С</t>
    </r>
  </si>
  <si>
    <t>w</t>
  </si>
  <si>
    <r>
      <t>М</t>
    </r>
    <r>
      <rPr>
        <vertAlign val="subscript"/>
        <sz val="10"/>
        <color theme="1"/>
        <rFont val="Times New Roman"/>
        <family val="1"/>
        <charset val="204"/>
      </rPr>
      <t>НМ</t>
    </r>
  </si>
  <si>
    <r>
      <t>М</t>
    </r>
    <r>
      <rPr>
        <vertAlign val="subscript"/>
        <sz val="10"/>
        <color theme="1"/>
        <rFont val="Times New Roman"/>
        <family val="1"/>
        <charset val="204"/>
      </rPr>
      <t>ХХ</t>
    </r>
  </si>
  <si>
    <r>
      <t>М</t>
    </r>
    <r>
      <rPr>
        <vertAlign val="subscript"/>
        <sz val="10"/>
        <color theme="1"/>
        <rFont val="Times New Roman"/>
        <family val="1"/>
        <charset val="204"/>
      </rPr>
      <t>Д</t>
    </r>
  </si>
  <si>
    <r>
      <t>М</t>
    </r>
    <r>
      <rPr>
        <vertAlign val="subscript"/>
        <sz val="10"/>
        <color theme="1"/>
        <rFont val="Times New Roman"/>
        <family val="1"/>
        <charset val="204"/>
      </rPr>
      <t>ИМ</t>
    </r>
    <r>
      <rPr>
        <sz val="14"/>
        <color theme="1"/>
        <rFont val="Times New Roman"/>
        <family val="1"/>
        <charset val="204"/>
      </rPr>
      <t xml:space="preserve"> </t>
    </r>
  </si>
  <si>
    <t>об/мин</t>
  </si>
  <si>
    <t>А</t>
  </si>
  <si>
    <t>В</t>
  </si>
  <si>
    <t>рад/с</t>
  </si>
  <si>
    <t>Нм</t>
  </si>
  <si>
    <t>Естественная характеристика</t>
  </si>
  <si>
    <t>S</t>
  </si>
  <si>
    <r>
      <t>S</t>
    </r>
    <r>
      <rPr>
        <vertAlign val="subscript"/>
        <sz val="10"/>
        <color theme="1"/>
        <rFont val="Times New Roman"/>
        <family val="1"/>
        <charset val="204"/>
      </rPr>
      <t>К</t>
    </r>
    <r>
      <rPr>
        <vertAlign val="subscript"/>
        <sz val="14"/>
        <color theme="1"/>
        <rFont val="Times New Roman"/>
        <family val="1"/>
        <charset val="204"/>
      </rPr>
      <t xml:space="preserve">е </t>
    </r>
    <r>
      <rPr>
        <sz val="14"/>
        <color theme="1"/>
        <rFont val="Times New Roman"/>
        <family val="1"/>
        <charset val="204"/>
      </rPr>
      <t>/S</t>
    </r>
  </si>
  <si>
    <r>
      <t>S/ S</t>
    </r>
    <r>
      <rPr>
        <vertAlign val="subscript"/>
        <sz val="10"/>
        <color theme="1"/>
        <rFont val="Times New Roman"/>
        <family val="1"/>
        <charset val="204"/>
      </rPr>
      <t>К</t>
    </r>
    <r>
      <rPr>
        <vertAlign val="subscript"/>
        <sz val="14"/>
        <color theme="1"/>
        <rFont val="Times New Roman"/>
        <family val="1"/>
        <charset val="204"/>
      </rPr>
      <t>е</t>
    </r>
  </si>
  <si>
    <t>ЗН</t>
  </si>
  <si>
    <r>
      <t>М</t>
    </r>
    <r>
      <rPr>
        <vertAlign val="subscript"/>
        <sz val="14"/>
        <color theme="1"/>
        <rFont val="Times New Roman"/>
        <family val="1"/>
        <charset val="204"/>
      </rPr>
      <t>е</t>
    </r>
  </si>
  <si>
    <t>.</t>
  </si>
  <si>
    <r>
      <t>P</t>
    </r>
    <r>
      <rPr>
        <vertAlign val="subscript"/>
        <sz val="10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 xml:space="preserve"> = 1,4 кВт;  U</t>
    </r>
    <r>
      <rPr>
        <vertAlign val="subscript"/>
        <sz val="10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 xml:space="preserve"> = 380/220 В;   I</t>
    </r>
    <r>
      <rPr>
        <vertAlign val="subscript"/>
        <sz val="10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 xml:space="preserve"> = 5,3/9,2 А;  </t>
    </r>
    <r>
      <rPr>
        <sz val="18"/>
        <color theme="1"/>
        <rFont val="Times New Roman"/>
        <family val="1"/>
        <charset val="204"/>
      </rPr>
      <t>n</t>
    </r>
    <r>
      <rPr>
        <vertAlign val="subscript"/>
        <sz val="10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 xml:space="preserve"> = 880об/мин;   </t>
    </r>
    <r>
      <rPr>
        <sz val="16"/>
        <color theme="1"/>
        <rFont val="Times New Roman"/>
        <family val="1"/>
        <charset val="204"/>
      </rPr>
      <t>р</t>
    </r>
    <r>
      <rPr>
        <vertAlign val="subscript"/>
        <sz val="16"/>
        <color theme="1"/>
        <rFont val="Times New Roman"/>
        <family val="1"/>
        <charset val="204"/>
      </rPr>
      <t xml:space="preserve">  </t>
    </r>
    <r>
      <rPr>
        <sz val="14"/>
        <color theme="1"/>
        <rFont val="Times New Roman"/>
        <family val="1"/>
        <charset val="204"/>
      </rPr>
      <t>= 3;</t>
    </r>
  </si>
  <si>
    <r>
      <t>R</t>
    </r>
    <r>
      <rPr>
        <vertAlign val="subscript"/>
        <sz val="10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 xml:space="preserve"> = 6,0 Ом; R</t>
    </r>
    <r>
      <rPr>
        <vertAlign val="subscript"/>
        <sz val="10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 xml:space="preserve"> = 0,7 Ом; X</t>
    </r>
    <r>
      <rPr>
        <vertAlign val="subscript"/>
        <sz val="10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 xml:space="preserve"> = 4,0 Ом; X</t>
    </r>
    <r>
      <rPr>
        <vertAlign val="subscript"/>
        <sz val="10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 xml:space="preserve"> = 0,57 Ом; Х</t>
    </r>
    <r>
      <rPr>
        <vertAlign val="subscript"/>
        <sz val="14"/>
        <color theme="1"/>
        <rFont val="Times New Roman"/>
        <family val="1"/>
        <charset val="204"/>
      </rPr>
      <t>μ</t>
    </r>
    <r>
      <rPr>
        <sz val="14"/>
        <color theme="1"/>
        <rFont val="Times New Roman"/>
        <family val="1"/>
        <charset val="204"/>
      </rPr>
      <t xml:space="preserve"> = 62,5 Ом;  </t>
    </r>
    <r>
      <rPr>
        <sz val="16"/>
        <color theme="1"/>
        <rFont val="Times New Roman"/>
        <family val="1"/>
        <charset val="204"/>
      </rPr>
      <t>к</t>
    </r>
    <r>
      <rPr>
        <vertAlign val="subscript"/>
        <sz val="14"/>
        <color theme="1"/>
        <rFont val="Times New Roman"/>
        <family val="1"/>
        <charset val="204"/>
      </rPr>
      <t>е</t>
    </r>
    <r>
      <rPr>
        <sz val="14"/>
        <color theme="1"/>
        <rFont val="Times New Roman"/>
        <family val="1"/>
        <charset val="204"/>
      </rPr>
      <t xml:space="preserve"> = 3,05.      </t>
    </r>
  </si>
  <si>
    <t xml:space="preserve">2.2.  Нагрузочная машина (НМ): Тип: DFY 90 MB/TH SM30 </t>
  </si>
  <si>
    <r>
      <t>U</t>
    </r>
    <r>
      <rPr>
        <vertAlign val="subscript"/>
        <sz val="10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 xml:space="preserve"> = 380 В;   f</t>
    </r>
    <r>
      <rPr>
        <vertAlign val="subscript"/>
        <sz val="10"/>
        <color theme="1"/>
        <rFont val="Times New Roman"/>
        <family val="1"/>
        <charset val="204"/>
      </rPr>
      <t xml:space="preserve">Н </t>
    </r>
    <r>
      <rPr>
        <sz val="14"/>
        <color theme="1"/>
        <rFont val="Times New Roman"/>
        <family val="1"/>
        <charset val="204"/>
      </rPr>
      <t xml:space="preserve">= 150 Гц;   </t>
    </r>
    <r>
      <rPr>
        <sz val="18"/>
        <color theme="1"/>
        <rFont val="Times New Roman"/>
        <family val="1"/>
        <charset val="204"/>
      </rPr>
      <t>n</t>
    </r>
    <r>
      <rPr>
        <vertAlign val="subscript"/>
        <sz val="10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 xml:space="preserve"> = 3000 об/мин;  M</t>
    </r>
    <r>
      <rPr>
        <vertAlign val="subscript"/>
        <sz val="10"/>
        <color theme="1"/>
        <rFont val="Times New Roman"/>
        <family val="1"/>
        <charset val="204"/>
      </rPr>
      <t>Н</t>
    </r>
    <r>
      <rPr>
        <vertAlign val="subscript"/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= 12 Нм;   I</t>
    </r>
    <r>
      <rPr>
        <vertAlign val="subscript"/>
        <sz val="10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 xml:space="preserve"> = 7,9 А.</t>
    </r>
  </si>
  <si>
    <t>2.3.   Приводной преобразователь(MDX):   MOVIDRIVE MDX61В0040 - 5A3.</t>
  </si>
  <si>
    <r>
      <t>Искусственная характеристика (R</t>
    </r>
    <r>
      <rPr>
        <vertAlign val="subscript"/>
        <sz val="10"/>
        <color theme="1"/>
        <rFont val="Times New Roman"/>
        <family val="1"/>
        <charset val="204"/>
      </rPr>
      <t>П 1</t>
    </r>
    <r>
      <rPr>
        <sz val="12"/>
        <color theme="1"/>
        <rFont val="Times New Roman"/>
        <family val="1"/>
        <charset val="204"/>
      </rPr>
      <t>)</t>
    </r>
  </si>
  <si>
    <r>
      <t>Искусственная характеристика (R</t>
    </r>
    <r>
      <rPr>
        <vertAlign val="subscript"/>
        <sz val="10"/>
        <color theme="1"/>
        <rFont val="Times New Roman"/>
        <family val="1"/>
        <charset val="204"/>
      </rPr>
      <t>П 2</t>
    </r>
    <r>
      <rPr>
        <sz val="12"/>
        <color theme="1"/>
        <rFont val="Times New Roman"/>
        <family val="1"/>
        <charset val="204"/>
      </rPr>
      <t>)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</si>
  <si>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К</t>
    </r>
    <r>
      <rPr>
        <vertAlign val="subscript"/>
        <sz val="14"/>
        <color theme="1"/>
        <rFont val="Times New Roman"/>
        <family val="1"/>
        <charset val="204"/>
      </rPr>
      <t>и</t>
    </r>
    <r>
      <rPr>
        <vertAlign val="subscript"/>
        <sz val="10"/>
        <color theme="1"/>
        <rFont val="Times New Roman"/>
        <family val="1"/>
        <charset val="204"/>
      </rPr>
      <t xml:space="preserve"> 1</t>
    </r>
    <r>
      <rPr>
        <vertAlign val="subscript"/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/S</t>
    </r>
  </si>
  <si>
    <r>
      <t>S/ S</t>
    </r>
    <r>
      <rPr>
        <vertAlign val="subscript"/>
        <sz val="10"/>
        <color theme="1"/>
        <rFont val="Times New Roman"/>
        <family val="1"/>
        <charset val="204"/>
      </rPr>
      <t>К</t>
    </r>
    <r>
      <rPr>
        <vertAlign val="subscript"/>
        <sz val="14"/>
        <color theme="1"/>
        <rFont val="Times New Roman"/>
        <family val="1"/>
        <charset val="204"/>
      </rPr>
      <t xml:space="preserve">и </t>
    </r>
    <r>
      <rPr>
        <vertAlign val="subscript"/>
        <sz val="10"/>
        <color theme="1"/>
        <rFont val="Times New Roman"/>
        <family val="1"/>
        <charset val="204"/>
      </rPr>
      <t>1</t>
    </r>
    <r>
      <rPr>
        <vertAlign val="subscript"/>
        <sz val="14"/>
        <color theme="1"/>
        <rFont val="Times New Roman"/>
        <family val="1"/>
        <charset val="204"/>
      </rPr>
      <t xml:space="preserve"> </t>
    </r>
  </si>
  <si>
    <r>
      <t>М</t>
    </r>
    <r>
      <rPr>
        <vertAlign val="subscript"/>
        <sz val="16"/>
        <color theme="1"/>
        <rFont val="Times New Roman"/>
        <family val="1"/>
        <charset val="204"/>
      </rPr>
      <t xml:space="preserve">и 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</si>
  <si>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S/S</t>
    </r>
    <r>
      <rPr>
        <vertAlign val="subscript"/>
        <sz val="10"/>
        <color theme="1"/>
        <rFont val="Times New Roman"/>
        <family val="1"/>
        <charset val="204"/>
      </rPr>
      <t>К</t>
    </r>
    <r>
      <rPr>
        <vertAlign val="subscript"/>
        <sz val="14"/>
        <color theme="1"/>
        <rFont val="Times New Roman"/>
        <family val="1"/>
        <charset val="204"/>
      </rPr>
      <t xml:space="preserve">и </t>
    </r>
    <r>
      <rPr>
        <vertAlign val="subscript"/>
        <sz val="10"/>
        <color theme="1"/>
        <rFont val="Times New Roman"/>
        <family val="1"/>
        <charset val="204"/>
      </rPr>
      <t>2</t>
    </r>
    <r>
      <rPr>
        <vertAlign val="subscript"/>
        <sz val="14"/>
        <color theme="1"/>
        <rFont val="Times New Roman"/>
        <family val="1"/>
        <charset val="204"/>
      </rPr>
      <t xml:space="preserve"> </t>
    </r>
  </si>
  <si>
    <r>
      <t>S/S</t>
    </r>
    <r>
      <rPr>
        <vertAlign val="subscript"/>
        <sz val="10"/>
        <color theme="1"/>
        <rFont val="Times New Roman"/>
        <family val="1"/>
        <charset val="204"/>
      </rPr>
      <t>К</t>
    </r>
    <r>
      <rPr>
        <vertAlign val="subscript"/>
        <sz val="14"/>
        <color theme="1"/>
        <rFont val="Times New Roman"/>
        <family val="1"/>
        <charset val="204"/>
      </rPr>
      <t xml:space="preserve">и </t>
    </r>
    <r>
      <rPr>
        <vertAlign val="subscript"/>
        <sz val="10"/>
        <color theme="1"/>
        <rFont val="Times New Roman"/>
        <family val="1"/>
        <charset val="204"/>
      </rPr>
      <t>2</t>
    </r>
    <r>
      <rPr>
        <vertAlign val="subscript"/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 xml:space="preserve"> </t>
    </r>
  </si>
  <si>
    <r>
      <t>М</t>
    </r>
    <r>
      <rPr>
        <vertAlign val="subscript"/>
        <sz val="16"/>
        <color theme="1"/>
        <rFont val="Times New Roman"/>
        <family val="1"/>
        <charset val="204"/>
      </rPr>
      <t xml:space="preserve">и </t>
    </r>
    <r>
      <rPr>
        <vertAlign val="subscript"/>
        <sz val="10"/>
        <color theme="1"/>
        <rFont val="Times New Roman"/>
        <family val="1"/>
        <charset val="204"/>
      </rPr>
      <t>2</t>
    </r>
  </si>
  <si>
    <t>,</t>
  </si>
  <si>
    <t>Sкди=</t>
  </si>
  <si>
    <t>Sкги=</t>
  </si>
  <si>
    <t>R'2и1</t>
  </si>
  <si>
    <t>R'2и2</t>
  </si>
  <si>
    <t>II</t>
  </si>
  <si>
    <t>I</t>
  </si>
  <si>
    <t xml:space="preserve">.  </t>
  </si>
  <si>
    <t xml:space="preserve">;              </t>
  </si>
  <si>
    <t>Номер кривой</t>
  </si>
  <si>
    <r>
      <t>I</t>
    </r>
    <r>
      <rPr>
        <vertAlign val="subscript"/>
        <sz val="10"/>
        <color theme="1"/>
        <rFont val="Times New Roman"/>
        <family val="1"/>
        <charset val="204"/>
      </rPr>
      <t>ДТ</t>
    </r>
  </si>
  <si>
    <r>
      <t>I</t>
    </r>
    <r>
      <rPr>
        <vertAlign val="subscript"/>
        <sz val="10"/>
        <color theme="1"/>
        <rFont val="Times New Roman"/>
        <family val="1"/>
        <charset val="204"/>
      </rPr>
      <t>ДТ1</t>
    </r>
  </si>
  <si>
    <r>
      <t>I</t>
    </r>
    <r>
      <rPr>
        <vertAlign val="subscript"/>
        <sz val="10"/>
        <color theme="1"/>
        <rFont val="Times New Roman"/>
        <family val="1"/>
        <charset val="204"/>
      </rPr>
      <t>ДТ2</t>
    </r>
  </si>
  <si>
    <r>
      <t>R</t>
    </r>
    <r>
      <rPr>
        <vertAlign val="subscript"/>
        <sz val="10"/>
        <color theme="1"/>
        <rFont val="Times New Roman"/>
        <family val="1"/>
        <charset val="204"/>
      </rPr>
      <t>П</t>
    </r>
  </si>
  <si>
    <t>Ом</t>
  </si>
  <si>
    <r>
      <t>R</t>
    </r>
    <r>
      <rPr>
        <vertAlign val="subscript"/>
        <sz val="10"/>
        <color theme="1"/>
        <rFont val="Times New Roman"/>
        <family val="1"/>
        <charset val="204"/>
      </rPr>
      <t>П1</t>
    </r>
  </si>
  <si>
    <r>
      <t>R</t>
    </r>
    <r>
      <rPr>
        <vertAlign val="subscript"/>
        <sz val="10"/>
        <color theme="1"/>
        <rFont val="Times New Roman"/>
        <family val="1"/>
        <charset val="204"/>
      </rPr>
      <t>П2</t>
    </r>
  </si>
  <si>
    <r>
      <t>М</t>
    </r>
    <r>
      <rPr>
        <vertAlign val="subscript"/>
        <sz val="10"/>
        <color theme="1"/>
        <rFont val="Times New Roman"/>
        <family val="1"/>
        <charset val="204"/>
      </rPr>
      <t>КТ</t>
    </r>
  </si>
  <si>
    <r>
      <t>w</t>
    </r>
    <r>
      <rPr>
        <vertAlign val="subscript"/>
        <sz val="10"/>
        <color theme="1"/>
        <rFont val="Times New Roman"/>
        <family val="1"/>
        <charset val="204"/>
      </rPr>
      <t>КТ</t>
    </r>
  </si>
  <si>
    <t>Iдт1=</t>
  </si>
  <si>
    <t>Iдт2=</t>
  </si>
  <si>
    <t>x'2=</t>
  </si>
  <si>
    <t>№</t>
  </si>
  <si>
    <r>
      <t>М</t>
    </r>
    <r>
      <rPr>
        <vertAlign val="subscript"/>
        <sz val="10"/>
        <color theme="1"/>
        <rFont val="Times New Roman"/>
        <family val="1"/>
        <charset val="204"/>
      </rPr>
      <t>Т3</t>
    </r>
  </si>
  <si>
    <r>
      <t>М</t>
    </r>
    <r>
      <rPr>
        <vertAlign val="subscript"/>
        <sz val="9"/>
        <color theme="1"/>
        <rFont val="Times New Roman"/>
        <family val="1"/>
        <charset val="204"/>
      </rPr>
      <t>Т1</t>
    </r>
    <r>
      <rPr>
        <sz val="9"/>
        <color theme="1"/>
        <rFont val="Times New Roman"/>
        <family val="1"/>
        <charset val="204"/>
      </rPr>
      <t xml:space="preserve"> </t>
    </r>
  </si>
  <si>
    <r>
      <t>М</t>
    </r>
    <r>
      <rPr>
        <vertAlign val="subscript"/>
        <sz val="9"/>
        <color theme="1"/>
        <rFont val="Times New Roman"/>
        <family val="1"/>
        <charset val="204"/>
      </rPr>
      <t>Т2</t>
    </r>
  </si>
  <si>
    <t>Мнм2</t>
  </si>
  <si>
    <t>Iдт1=2,6А Rп1 = 2,5 Ом</t>
  </si>
  <si>
    <t>Iдт1=2,6А Rп2 = 6 Ом</t>
  </si>
  <si>
    <t>Iдт2=3,95А Rп2 = 6 Ом</t>
  </si>
  <si>
    <t>W0=</t>
  </si>
  <si>
    <t>Mкг</t>
  </si>
  <si>
    <t>Sкг</t>
  </si>
  <si>
    <t>епсилон</t>
  </si>
  <si>
    <t>Мкд</t>
  </si>
  <si>
    <t>Sкд</t>
  </si>
  <si>
    <r>
      <t>R</t>
    </r>
    <r>
      <rPr>
        <vertAlign val="subscript"/>
        <sz val="10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 xml:space="preserve"> = 6,0 Ом; R</t>
    </r>
    <r>
      <rPr>
        <vertAlign val="subscript"/>
        <sz val="10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 xml:space="preserve"> = 0,7 Ом; X</t>
    </r>
    <r>
      <rPr>
        <vertAlign val="subscript"/>
        <sz val="10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 xml:space="preserve"> = 4,0 Ом; X</t>
    </r>
    <r>
      <rPr>
        <vertAlign val="subscript"/>
        <sz val="10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 xml:space="preserve"> = 0,57 </t>
    </r>
  </si>
  <si>
    <t>X'2</t>
  </si>
  <si>
    <t>Xk</t>
  </si>
  <si>
    <t>R2'</t>
  </si>
  <si>
    <t>w0</t>
  </si>
  <si>
    <t>Расчет естественной характеристики</t>
  </si>
  <si>
    <t>R2</t>
  </si>
  <si>
    <t>Rп1</t>
  </si>
  <si>
    <t>Rп2</t>
  </si>
  <si>
    <t>R2'1</t>
  </si>
  <si>
    <t>R2'2</t>
  </si>
  <si>
    <t>Sкг2</t>
  </si>
  <si>
    <t>Sкд2</t>
  </si>
  <si>
    <t>Sкг1</t>
  </si>
  <si>
    <t>Sкд1</t>
  </si>
  <si>
    <r>
      <t>S</t>
    </r>
    <r>
      <rPr>
        <vertAlign val="subscript"/>
        <sz val="10"/>
        <color theme="1"/>
        <rFont val="Times New Roman"/>
        <family val="1"/>
        <charset val="204"/>
      </rPr>
      <t>К</t>
    </r>
    <r>
      <rPr>
        <vertAlign val="subscript"/>
        <sz val="14"/>
        <color theme="1"/>
        <rFont val="Times New Roman"/>
        <family val="1"/>
        <charset val="204"/>
      </rPr>
      <t>и</t>
    </r>
    <r>
      <rPr>
        <vertAlign val="subscript"/>
        <sz val="10"/>
        <color theme="1"/>
        <rFont val="Times New Roman"/>
        <family val="1"/>
        <charset val="204"/>
      </rPr>
      <t xml:space="preserve"> 2</t>
    </r>
    <r>
      <rPr>
        <vertAlign val="subscript"/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/S</t>
    </r>
  </si>
  <si>
    <t>Rп1=2,5 Ом</t>
  </si>
  <si>
    <t>Rп2=6 Ом</t>
  </si>
  <si>
    <t>Эксперимент. Данные</t>
  </si>
  <si>
    <t>Iдт1=2,6А Rп1 = 2.5 Ом</t>
  </si>
  <si>
    <t>`</t>
  </si>
  <si>
    <t xml:space="preserve">МТ1 </t>
  </si>
  <si>
    <t>МТ2</t>
  </si>
  <si>
    <t>МТ3</t>
  </si>
  <si>
    <r>
      <t>Х</t>
    </r>
    <r>
      <rPr>
        <vertAlign val="subscript"/>
        <sz val="14"/>
        <color theme="1"/>
        <rFont val="Times New Roman"/>
        <family val="1"/>
        <charset val="204"/>
      </rPr>
      <t>μ</t>
    </r>
    <r>
      <rPr>
        <sz val="14"/>
        <color theme="1"/>
        <rFont val="Times New Roman"/>
        <family val="1"/>
        <charset val="204"/>
      </rPr>
      <t xml:space="preserve"> </t>
    </r>
  </si>
  <si>
    <r>
      <t>R</t>
    </r>
    <r>
      <rPr>
        <vertAlign val="subscript"/>
        <sz val="10"/>
        <color theme="1"/>
        <rFont val="Calibri"/>
        <family val="2"/>
        <scheme val="minor"/>
      </rPr>
      <t>П1</t>
    </r>
  </si>
  <si>
    <r>
      <t>R</t>
    </r>
    <r>
      <rPr>
        <vertAlign val="subscript"/>
        <sz val="10"/>
        <color theme="1"/>
        <rFont val="Calibri"/>
        <family val="2"/>
        <scheme val="minor"/>
      </rPr>
      <t>П2</t>
    </r>
  </si>
  <si>
    <r>
      <t>I</t>
    </r>
    <r>
      <rPr>
        <vertAlign val="subscript"/>
        <sz val="10"/>
        <color theme="1"/>
        <rFont val="Calibri"/>
        <family val="2"/>
        <scheme val="minor"/>
      </rPr>
      <t>ДТ1</t>
    </r>
  </si>
  <si>
    <r>
      <t>I</t>
    </r>
    <r>
      <rPr>
        <vertAlign val="subscript"/>
        <sz val="10"/>
        <color theme="1"/>
        <rFont val="Calibri"/>
        <family val="2"/>
        <scheme val="minor"/>
      </rPr>
      <t>ДТ2</t>
    </r>
  </si>
  <si>
    <r>
      <t>I</t>
    </r>
    <r>
      <rPr>
        <vertAlign val="subscript"/>
        <sz val="10"/>
        <color theme="1"/>
        <rFont val="Calibri"/>
        <family val="2"/>
        <scheme val="minor"/>
      </rPr>
      <t>ДТ</t>
    </r>
  </si>
  <si>
    <r>
      <t>R</t>
    </r>
    <r>
      <rPr>
        <vertAlign val="subscript"/>
        <sz val="10"/>
        <color theme="1"/>
        <rFont val="Calibri"/>
        <family val="2"/>
        <scheme val="minor"/>
      </rPr>
      <t>П</t>
    </r>
  </si>
  <si>
    <r>
      <t>М</t>
    </r>
    <r>
      <rPr>
        <vertAlign val="subscript"/>
        <sz val="10"/>
        <color theme="1"/>
        <rFont val="Calibri"/>
        <family val="2"/>
        <scheme val="minor"/>
      </rPr>
      <t>КТ</t>
    </r>
  </si>
  <si>
    <t>Расчет характеристик динамического торможения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</si>
</sst>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8"/>
      <color theme="1"/>
      <name val="Symbol"/>
      <family val="1"/>
      <charset val="2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vertAlign val="subscript"/>
      <sz val="16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sz val="9"/>
      <color theme="1"/>
      <name val="Times New Roman"/>
      <family val="1"/>
      <charset val="204"/>
    </font>
    <font>
      <vertAlign val="subscript"/>
      <sz val="9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b/>
      <sz val="11"/>
      <color rgb="FF3F3F3F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2" borderId="13" applyNumberFormat="0" applyAlignment="0" applyProtection="0"/>
  </cellStyleXfs>
  <cellXfs count="115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2" fontId="0" fillId="0" borderId="0" xfId="0" applyNumberFormat="1"/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6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4" fontId="6" fillId="0" borderId="6" xfId="0" applyNumberFormat="1" applyFont="1" applyBorder="1" applyAlignment="1">
      <alignment horizontal="justify" vertical="center" wrapText="1"/>
    </xf>
    <xf numFmtId="4" fontId="1" fillId="0" borderId="6" xfId="0" applyNumberFormat="1" applyFont="1" applyBorder="1" applyAlignment="1">
      <alignment horizontal="justify" vertical="center" wrapText="1"/>
    </xf>
    <xf numFmtId="2" fontId="6" fillId="0" borderId="6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2" fontId="10" fillId="0" borderId="5" xfId="0" applyNumberFormat="1" applyFont="1" applyBorder="1" applyAlignment="1">
      <alignment horizontal="center" vertical="center" wrapText="1"/>
    </xf>
    <xf numFmtId="2" fontId="10" fillId="0" borderId="6" xfId="0" applyNumberFormat="1" applyFont="1" applyBorder="1" applyAlignment="1">
      <alignment horizontal="center" vertical="center" wrapText="1"/>
    </xf>
    <xf numFmtId="2" fontId="10" fillId="0" borderId="6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0" xfId="0" applyFont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1" xfId="0" applyBorder="1"/>
    <xf numFmtId="165" fontId="0" fillId="0" borderId="11" xfId="0" applyNumberFormat="1" applyBorder="1"/>
    <xf numFmtId="0" fontId="0" fillId="0" borderId="0" xfId="0" applyBorder="1"/>
    <xf numFmtId="0" fontId="2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2" fontId="14" fillId="0" borderId="11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2" fontId="14" fillId="0" borderId="14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0" xfId="0" applyBorder="1" applyAlignment="1"/>
    <xf numFmtId="2" fontId="0" fillId="0" borderId="11" xfId="0" applyNumberForma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2" fontId="1" fillId="0" borderId="16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11" xfId="0" applyBorder="1"/>
    <xf numFmtId="0" fontId="15" fillId="0" borderId="11" xfId="1" applyFill="1" applyBorder="1" applyAlignment="1">
      <alignment horizontal="center"/>
    </xf>
    <xf numFmtId="0" fontId="0" fillId="0" borderId="11" xfId="0" applyFill="1" applyBorder="1"/>
    <xf numFmtId="2" fontId="0" fillId="0" borderId="11" xfId="0" applyNumberFormat="1" applyFill="1" applyBorder="1"/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0" borderId="16" xfId="1" applyFill="1" applyBorder="1" applyAlignment="1">
      <alignment horizontal="center"/>
    </xf>
    <xf numFmtId="0" fontId="15" fillId="0" borderId="14" xfId="1" applyFill="1" applyBorder="1" applyAlignment="1">
      <alignment horizontal="center"/>
    </xf>
    <xf numFmtId="0" fontId="15" fillId="0" borderId="11" xfId="1" applyFill="1" applyBorder="1" applyAlignment="1">
      <alignment horizontal="center"/>
    </xf>
    <xf numFmtId="0" fontId="15" fillId="0" borderId="11" xfId="1" applyFill="1" applyBorder="1"/>
    <xf numFmtId="0" fontId="15" fillId="0" borderId="11" xfId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5" xfId="0" applyFont="1" applyBorder="1" applyAlignment="1">
      <alignment horizontal="center" vertical="center" wrapText="1"/>
    </xf>
    <xf numFmtId="0" fontId="15" fillId="0" borderId="11" xfId="1" applyFill="1" applyBorder="1" applyAlignment="1">
      <alignment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Искусственная</a:t>
            </a:r>
            <a:r>
              <a:rPr lang="ru-RU" baseline="0"/>
              <a:t> 1</a:t>
            </a:r>
          </a:p>
        </c:rich>
      </c:tx>
      <c:layout>
        <c:manualLayout>
          <c:xMode val="edge"/>
          <c:yMode val="edge"/>
          <c:x val="0.351243000874890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Лист1!$AD$4:$AD$12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Лист1!$Z$4:$Z$13</c:f>
              <c:numCache>
                <c:formatCode>0.000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4-4945-B742-C523F730A0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Лист1!$Z$4:$Z$13</c:f>
              <c:numCache>
                <c:formatCode>0.000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Лист1!$AD$13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F4-4945-B742-C523F730A07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Лист1!$Z$4:$Z$13</c:f>
              <c:numCache>
                <c:formatCode>0.000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Лист1!$AD$13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F4-4945-B742-C523F730A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90136"/>
        <c:axId val="445595712"/>
      </c:scatterChart>
      <c:valAx>
        <c:axId val="44559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95712"/>
        <c:crosses val="autoZero"/>
        <c:crossBetween val="midCat"/>
      </c:valAx>
      <c:valAx>
        <c:axId val="445595712"/>
        <c:scaling>
          <c:orientation val="minMax"/>
          <c:max val="1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9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Лист1!$AH$4:$AH$13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Лист1!$Z$4:$Z$13</c:f>
              <c:numCache>
                <c:formatCode>0.000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7-4FA8-A26D-90DE4584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82400"/>
        <c:axId val="443978136"/>
      </c:scatterChart>
      <c:valAx>
        <c:axId val="44398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78136"/>
        <c:crosses val="autoZero"/>
        <c:crossBetween val="midCat"/>
      </c:valAx>
      <c:valAx>
        <c:axId val="44397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8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Дин.Торможение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Лист1!$BD$5:$BD$15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Лист1!$BH$5:$BH$15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C-4355-B2E7-7E0D65BE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87648"/>
        <c:axId val="443991584"/>
      </c:scatterChart>
      <c:valAx>
        <c:axId val="4439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91584"/>
        <c:crosses val="autoZero"/>
        <c:crossBetween val="midCat"/>
      </c:valAx>
      <c:valAx>
        <c:axId val="4439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Дин.Торможение 2</a:t>
            </a:r>
          </a:p>
        </c:rich>
      </c:tx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Лист1!$BD$5:$BD$15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Лист1!$BI$5:$BI$15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08-4C68-ADE3-1B46EB931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7992"/>
        <c:axId val="511332744"/>
      </c:scatterChart>
      <c:valAx>
        <c:axId val="5113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2744"/>
        <c:crosses val="autoZero"/>
        <c:crossBetween val="midCat"/>
      </c:valAx>
      <c:valAx>
        <c:axId val="51133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Дин.Торможение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Лист1!$BD$5:$BD$15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Лист1!$BM$5:$BM$15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3B-4932-AB1C-B93531A6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7552"/>
        <c:axId val="351265256"/>
      </c:scatterChart>
      <c:valAx>
        <c:axId val="35126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65256"/>
        <c:crosses val="autoZero"/>
        <c:crossBetween val="midCat"/>
      </c:valAx>
      <c:valAx>
        <c:axId val="35126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6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Естественные</a:t>
            </a:r>
            <a:r>
              <a:rPr lang="ru-RU" baseline="0"/>
              <a:t> характеристики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Расчетная характеристика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Лист1!$E$62:$E$78</c:f>
              <c:numCache>
                <c:formatCode>0.0000</c:formatCode>
                <c:ptCount val="17"/>
                <c:pt idx="0">
                  <c:v>-96.614646435443078</c:v>
                </c:pt>
                <c:pt idx="1">
                  <c:v>-59.097239840916089</c:v>
                </c:pt>
                <c:pt idx="2">
                  <c:v>17.551531127395911</c:v>
                </c:pt>
                <c:pt idx="3">
                  <c:v>28.693979259247641</c:v>
                </c:pt>
                <c:pt idx="4">
                  <c:v>35.23555979664647</c:v>
                </c:pt>
                <c:pt idx="5">
                  <c:v>38.723753997436589</c:v>
                </c:pt>
                <c:pt idx="6">
                  <c:v>40.269139395678273</c:v>
                </c:pt>
                <c:pt idx="7">
                  <c:v>40.609787902294386</c:v>
                </c:pt>
                <c:pt idx="8">
                  <c:v>40.219487033709527</c:v>
                </c:pt>
                <c:pt idx="9">
                  <c:v>39.397878631592626</c:v>
                </c:pt>
                <c:pt idx="10">
                  <c:v>38.333345692055964</c:v>
                </c:pt>
                <c:pt idx="11">
                  <c:v>37.143966412437621</c:v>
                </c:pt>
                <c:pt idx="12">
                  <c:v>35.903454260913563</c:v>
                </c:pt>
                <c:pt idx="13">
                  <c:v>34.657443679869246</c:v>
                </c:pt>
                <c:pt idx="14">
                  <c:v>33.433719931161001</c:v>
                </c:pt>
                <c:pt idx="15">
                  <c:v>32.248677937787818</c:v>
                </c:pt>
                <c:pt idx="16">
                  <c:v>31.111429349174013</c:v>
                </c:pt>
              </c:numCache>
            </c:numRef>
          </c:xVal>
          <c:yVal>
            <c:numRef>
              <c:f>Лист1!$F$62:$F$78</c:f>
              <c:numCache>
                <c:formatCode>General</c:formatCode>
                <c:ptCount val="17"/>
                <c:pt idx="0">
                  <c:v>125.66370614359172</c:v>
                </c:pt>
                <c:pt idx="1">
                  <c:v>115.19173063162577</c:v>
                </c:pt>
                <c:pt idx="2">
                  <c:v>94.247779607693801</c:v>
                </c:pt>
                <c:pt idx="3">
                  <c:v>83.775804095727835</c:v>
                </c:pt>
                <c:pt idx="4">
                  <c:v>73.303828583761842</c:v>
                </c:pt>
                <c:pt idx="5">
                  <c:v>62.831853071795862</c:v>
                </c:pt>
                <c:pt idx="6">
                  <c:v>52.35987755982989</c:v>
                </c:pt>
                <c:pt idx="7">
                  <c:v>41.887902047863918</c:v>
                </c:pt>
                <c:pt idx="8">
                  <c:v>31.415926535897938</c:v>
                </c:pt>
                <c:pt idx="9">
                  <c:v>20.943951023931952</c:v>
                </c:pt>
                <c:pt idx="10">
                  <c:v>10.471975511965976</c:v>
                </c:pt>
                <c:pt idx="11">
                  <c:v>0</c:v>
                </c:pt>
                <c:pt idx="12">
                  <c:v>-10.471975511965987</c:v>
                </c:pt>
                <c:pt idx="13">
                  <c:v>-20.943951023931952</c:v>
                </c:pt>
                <c:pt idx="14">
                  <c:v>-31.415926535897938</c:v>
                </c:pt>
                <c:pt idx="15">
                  <c:v>-41.887902047863903</c:v>
                </c:pt>
                <c:pt idx="16">
                  <c:v>-52.35987755982989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90-41CE-A31F-D631FABE23D8}"/>
            </c:ext>
          </c:extLst>
        </c:ser>
        <c:ser>
          <c:idx val="1"/>
          <c:order val="1"/>
          <c:tx>
            <c:v>Экспериментальная характеристика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(Лист1!$O$65,Лист1!$O$64,Лист1!$O$63,Лист1!$O$62,Лист1!$O$66:$O$72)</c:f>
              <c:numCache>
                <c:formatCode>0.00</c:formatCode>
                <c:ptCount val="11"/>
                <c:pt idx="0">
                  <c:v>-28.746296296296293</c:v>
                </c:pt>
                <c:pt idx="1">
                  <c:v>-0.70950865051903178</c:v>
                </c:pt>
                <c:pt idx="2">
                  <c:v>-0.44968858131487932</c:v>
                </c:pt>
                <c:pt idx="3">
                  <c:v>5.7460207612456742</c:v>
                </c:pt>
                <c:pt idx="4">
                  <c:v>25.458953168044079</c:v>
                </c:pt>
                <c:pt idx="5">
                  <c:v>37.792187500000004</c:v>
                </c:pt>
                <c:pt idx="6">
                  <c:v>40.726509885535897</c:v>
                </c:pt>
                <c:pt idx="7">
                  <c:v>40.269719042663894</c:v>
                </c:pt>
                <c:pt idx="8">
                  <c:v>40.269719042663894</c:v>
                </c:pt>
                <c:pt idx="9">
                  <c:v>39.63021186264308</c:v>
                </c:pt>
                <c:pt idx="10" formatCode="General">
                  <c:v>33.273606659729445</c:v>
                </c:pt>
              </c:numCache>
            </c:numRef>
          </c:xVal>
          <c:yVal>
            <c:numRef>
              <c:f>(Лист1!$K$65,Лист1!$K$64,Лист1!$K$63,Лист1!$K$62,Лист1!$K$66:$K$72)</c:f>
              <c:numCache>
                <c:formatCode>0.00</c:formatCode>
                <c:ptCount val="11"/>
                <c:pt idx="0">
                  <c:v>119.48524059153179</c:v>
                </c:pt>
                <c:pt idx="1">
                  <c:v>105.45279340549739</c:v>
                </c:pt>
                <c:pt idx="2">
                  <c:v>105.13863414013842</c:v>
                </c:pt>
                <c:pt idx="3">
                  <c:v>102.31120075190759</c:v>
                </c:pt>
                <c:pt idx="4">
                  <c:v>84.71828189180475</c:v>
                </c:pt>
                <c:pt idx="5">
                  <c:v>53.092915845667498</c:v>
                </c:pt>
                <c:pt idx="6">
                  <c:v>36.651914291880914</c:v>
                </c:pt>
                <c:pt idx="7">
                  <c:v>31.101767270538954</c:v>
                </c:pt>
                <c:pt idx="8">
                  <c:v>25.446900494077326</c:v>
                </c:pt>
                <c:pt idx="9">
                  <c:v>19.373154697137057</c:v>
                </c:pt>
                <c:pt idx="10">
                  <c:v>-21.362830044410593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90-41CE-A31F-D631FABE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86544"/>
        <c:axId val="527885888"/>
      </c:scatterChart>
      <c:valAx>
        <c:axId val="52788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89686626364060162"/>
              <c:y val="0.58368667124271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85888"/>
        <c:crosses val="autoZero"/>
        <c:crossBetween val="midCat"/>
      </c:valAx>
      <c:valAx>
        <c:axId val="5278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</a:t>
                </a:r>
              </a:p>
            </c:rich>
          </c:tx>
          <c:layout>
            <c:manualLayout>
              <c:xMode val="edge"/>
              <c:yMode val="edge"/>
              <c:x val="0.46624090940865204"/>
              <c:y val="0.13237108830624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8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Искусственные характеристики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Расчетная для Rп1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Лист1!$U$61:$U$77</c:f>
              <c:numCache>
                <c:formatCode>0.00</c:formatCode>
                <c:ptCount val="17"/>
                <c:pt idx="0">
                  <c:v>-28.878779533394773</c:v>
                </c:pt>
                <c:pt idx="1">
                  <c:v>-15.055671773227452</c:v>
                </c:pt>
                <c:pt idx="2">
                  <c:v>4.4714455782197726</c:v>
                </c:pt>
                <c:pt idx="3">
                  <c:v>8.576826925690904</c:v>
                </c:pt>
                <c:pt idx="4">
                  <c:v>12.329170692370591</c:v>
                </c:pt>
                <c:pt idx="5">
                  <c:v>15.744435377818194</c:v>
                </c:pt>
                <c:pt idx="6">
                  <c:v>18.840594238716832</c:v>
                </c:pt>
                <c:pt idx="7">
                  <c:v>21.636860565166451</c:v>
                </c:pt>
                <c:pt idx="8">
                  <c:v>24.153051750626744</c:v>
                </c:pt>
                <c:pt idx="9">
                  <c:v>26.409082004574891</c:v>
                </c:pt>
                <c:pt idx="10">
                  <c:v>28.424569783470663</c:v>
                </c:pt>
                <c:pt idx="11">
                  <c:v>30.218544364871306</c:v>
                </c:pt>
                <c:pt idx="12">
                  <c:v>31.809235839126476</c:v>
                </c:pt>
                <c:pt idx="13">
                  <c:v>33.213933622143337</c:v>
                </c:pt>
                <c:pt idx="14">
                  <c:v>34.44889999462729</c:v>
                </c:pt>
                <c:pt idx="15">
                  <c:v>35.529326849409266</c:v>
                </c:pt>
                <c:pt idx="16">
                  <c:v>36.469325572766166</c:v>
                </c:pt>
              </c:numCache>
            </c:numRef>
          </c:xVal>
          <c:yVal>
            <c:numRef>
              <c:f>Лист1!$Z$61:$Z$77</c:f>
              <c:numCache>
                <c:formatCode>0.00</c:formatCode>
                <c:ptCount val="17"/>
                <c:pt idx="0">
                  <c:v>125.66370614359172</c:v>
                </c:pt>
                <c:pt idx="1">
                  <c:v>115.19173063162577</c:v>
                </c:pt>
                <c:pt idx="2">
                  <c:v>94.247779607693801</c:v>
                </c:pt>
                <c:pt idx="3">
                  <c:v>83.775804095727835</c:v>
                </c:pt>
                <c:pt idx="4">
                  <c:v>73.303828583761842</c:v>
                </c:pt>
                <c:pt idx="5">
                  <c:v>62.831853071795862</c:v>
                </c:pt>
                <c:pt idx="6">
                  <c:v>52.35987755982989</c:v>
                </c:pt>
                <c:pt idx="7">
                  <c:v>41.887902047863918</c:v>
                </c:pt>
                <c:pt idx="8">
                  <c:v>31.415926535897938</c:v>
                </c:pt>
                <c:pt idx="9">
                  <c:v>20.943951023931952</c:v>
                </c:pt>
                <c:pt idx="10">
                  <c:v>10.471975511965976</c:v>
                </c:pt>
                <c:pt idx="11">
                  <c:v>0</c:v>
                </c:pt>
                <c:pt idx="12">
                  <c:v>-10.471975511965987</c:v>
                </c:pt>
                <c:pt idx="13">
                  <c:v>-20.943951023931952</c:v>
                </c:pt>
                <c:pt idx="14">
                  <c:v>-31.415926535897938</c:v>
                </c:pt>
                <c:pt idx="15">
                  <c:v>-41.887902047863903</c:v>
                </c:pt>
                <c:pt idx="16">
                  <c:v>-52.35987755982989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7-458A-9078-66555FC05D0E}"/>
            </c:ext>
          </c:extLst>
        </c:ser>
        <c:ser>
          <c:idx val="1"/>
          <c:order val="1"/>
          <c:tx>
            <c:v>Расчетная для Rп2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Лист1!$Y$61:$Y$77</c:f>
              <c:numCache>
                <c:formatCode>0.00</c:formatCode>
                <c:ptCount val="17"/>
                <c:pt idx="0">
                  <c:v>-14.408177538482031</c:v>
                </c:pt>
                <c:pt idx="1">
                  <c:v>-7.346816047779269</c:v>
                </c:pt>
                <c:pt idx="2">
                  <c:v>2.181960966315255</c:v>
                </c:pt>
                <c:pt idx="3">
                  <c:v>4.2791436154456086</c:v>
                </c:pt>
                <c:pt idx="4">
                  <c:v>6.2926495135016616</c:v>
                </c:pt>
                <c:pt idx="5">
                  <c:v>8.2237894026432432</c:v>
                </c:pt>
                <c:pt idx="6">
                  <c:v>10.074055980775247</c:v>
                </c:pt>
                <c:pt idx="7">
                  <c:v>11.845098218003832</c:v>
                </c:pt>
                <c:pt idx="8">
                  <c:v>13.538697304961241</c:v>
                </c:pt>
                <c:pt idx="9">
                  <c:v>15.156744289447397</c:v>
                </c:pt>
                <c:pt idx="10">
                  <c:v>16.701219424518861</c:v>
                </c:pt>
                <c:pt idx="11">
                  <c:v>18.174173222975334</c:v>
                </c:pt>
                <c:pt idx="12">
                  <c:v>19.57770918984404</c:v>
                </c:pt>
                <c:pt idx="13">
                  <c:v>20.913968185566414</c:v>
                </c:pt>
                <c:pt idx="14">
                  <c:v>22.185114357730953</c:v>
                </c:pt>
                <c:pt idx="15">
                  <c:v>23.393322567931818</c:v>
                </c:pt>
                <c:pt idx="16">
                  <c:v>24.540767232224521</c:v>
                </c:pt>
              </c:numCache>
            </c:numRef>
          </c:xVal>
          <c:yVal>
            <c:numRef>
              <c:f>Лист1!$Z$61:$Z$77</c:f>
              <c:numCache>
                <c:formatCode>0.00</c:formatCode>
                <c:ptCount val="17"/>
                <c:pt idx="0">
                  <c:v>125.66370614359172</c:v>
                </c:pt>
                <c:pt idx="1">
                  <c:v>115.19173063162577</c:v>
                </c:pt>
                <c:pt idx="2">
                  <c:v>94.247779607693801</c:v>
                </c:pt>
                <c:pt idx="3">
                  <c:v>83.775804095727835</c:v>
                </c:pt>
                <c:pt idx="4">
                  <c:v>73.303828583761842</c:v>
                </c:pt>
                <c:pt idx="5">
                  <c:v>62.831853071795862</c:v>
                </c:pt>
                <c:pt idx="6">
                  <c:v>52.35987755982989</c:v>
                </c:pt>
                <c:pt idx="7">
                  <c:v>41.887902047863918</c:v>
                </c:pt>
                <c:pt idx="8">
                  <c:v>31.415926535897938</c:v>
                </c:pt>
                <c:pt idx="9">
                  <c:v>20.943951023931952</c:v>
                </c:pt>
                <c:pt idx="10">
                  <c:v>10.471975511965976</c:v>
                </c:pt>
                <c:pt idx="11">
                  <c:v>0</c:v>
                </c:pt>
                <c:pt idx="12">
                  <c:v>-10.471975511965987</c:v>
                </c:pt>
                <c:pt idx="13">
                  <c:v>-20.943951023931952</c:v>
                </c:pt>
                <c:pt idx="14">
                  <c:v>-31.415926535897938</c:v>
                </c:pt>
                <c:pt idx="15">
                  <c:v>-41.887902047863903</c:v>
                </c:pt>
                <c:pt idx="16">
                  <c:v>-52.35987755982989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F7-458A-9078-66555FC05D0E}"/>
            </c:ext>
          </c:extLst>
        </c:ser>
        <c:ser>
          <c:idx val="2"/>
          <c:order val="2"/>
          <c:tx>
            <c:v>Экспериментальная для Rп1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(Лист1!$AI$65,Лист1!$AI$64,Лист1!$AI$63,Лист1!$AI$66:$AI$73)</c:f>
              <c:numCache>
                <c:formatCode>0.00</c:formatCode>
                <c:ptCount val="11"/>
                <c:pt idx="0">
                  <c:v>-5.6560830449827009</c:v>
                </c:pt>
                <c:pt idx="1">
                  <c:v>0.42970242214532911</c:v>
                </c:pt>
                <c:pt idx="2">
                  <c:v>5.7460207612456742</c:v>
                </c:pt>
                <c:pt idx="3">
                  <c:v>10.410790311418687</c:v>
                </c:pt>
                <c:pt idx="4">
                  <c:v>16.388650519031145</c:v>
                </c:pt>
                <c:pt idx="5">
                  <c:v>19.046809688581316</c:v>
                </c:pt>
                <c:pt idx="6">
                  <c:v>21.856863667820072</c:v>
                </c:pt>
                <c:pt idx="7">
                  <c:v>23.90744359861592</c:v>
                </c:pt>
                <c:pt idx="8">
                  <c:v>25.882076124567472</c:v>
                </c:pt>
                <c:pt idx="9">
                  <c:v>30.454862500000001</c:v>
                </c:pt>
                <c:pt idx="10">
                  <c:v>33.369937499999999</c:v>
                </c:pt>
              </c:numCache>
            </c:numRef>
          </c:xVal>
          <c:yVal>
            <c:numRef>
              <c:f>(Лист1!$AE$65,Лист1!$AE$64,Лист1!$AE$63,Лист1!$AE$66:$AE$73)</c:f>
              <c:numCache>
                <c:formatCode>0.00</c:formatCode>
                <c:ptCount val="11"/>
                <c:pt idx="0">
                  <c:v>120.63715789784806</c:v>
                </c:pt>
                <c:pt idx="1">
                  <c:v>105.45279340549739</c:v>
                </c:pt>
                <c:pt idx="2">
                  <c:v>95.818575934488692</c:v>
                </c:pt>
                <c:pt idx="3">
                  <c:v>85.241880667403066</c:v>
                </c:pt>
                <c:pt idx="4">
                  <c:v>62.831853071795862</c:v>
                </c:pt>
                <c:pt idx="5">
                  <c:v>52.25515780471023</c:v>
                </c:pt>
                <c:pt idx="6">
                  <c:v>42.097341558103231</c:v>
                </c:pt>
                <c:pt idx="7">
                  <c:v>31.939525311496233</c:v>
                </c:pt>
                <c:pt idx="8">
                  <c:v>21.048670779051616</c:v>
                </c:pt>
                <c:pt idx="9">
                  <c:v>-20.943951023931955</c:v>
                </c:pt>
                <c:pt idx="10">
                  <c:v>-41.887902047863911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F7-458A-9078-66555FC05D0E}"/>
            </c:ext>
          </c:extLst>
        </c:ser>
        <c:ser>
          <c:idx val="3"/>
          <c:order val="3"/>
          <c:tx>
            <c:v>Экспериментальная для Rп2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(Лист1!$AI$77,Лист1!$AI$76,Лист1!$AI$75,Лист1!$AI$78:$AI$83)</c:f>
              <c:numCache>
                <c:formatCode>0.00</c:formatCode>
                <c:ptCount val="9"/>
                <c:pt idx="0">
                  <c:v>-2.9979238754325253</c:v>
                </c:pt>
                <c:pt idx="1">
                  <c:v>0.42970242214532911</c:v>
                </c:pt>
                <c:pt idx="2">
                  <c:v>5.2463667820069206</c:v>
                </c:pt>
                <c:pt idx="3">
                  <c:v>7.9045259515570931</c:v>
                </c:pt>
                <c:pt idx="4">
                  <c:v>10.312858131487889</c:v>
                </c:pt>
                <c:pt idx="5">
                  <c:v>13.350754325259517</c:v>
                </c:pt>
                <c:pt idx="6">
                  <c:v>16.388650519031145</c:v>
                </c:pt>
                <c:pt idx="7">
                  <c:v>19.223249999999997</c:v>
                </c:pt>
                <c:pt idx="8">
                  <c:v>22.224062500000002</c:v>
                </c:pt>
              </c:numCache>
            </c:numRef>
          </c:xVal>
          <c:yVal>
            <c:numRef>
              <c:f>(Лист1!$AE$77,Лист1!$AE$76,Лист1!$AE$75,Лист1!$AE$78:$AE$83)</c:f>
              <c:numCache>
                <c:formatCode>0.00</c:formatCode>
                <c:ptCount val="9"/>
                <c:pt idx="0">
                  <c:v>121.26547642856602</c:v>
                </c:pt>
                <c:pt idx="1">
                  <c:v>105.24335389525807</c:v>
                </c:pt>
                <c:pt idx="2">
                  <c:v>87.126836259556939</c:v>
                </c:pt>
                <c:pt idx="3">
                  <c:v>81.471969483095307</c:v>
                </c:pt>
                <c:pt idx="4">
                  <c:v>63.146012337154843</c:v>
                </c:pt>
                <c:pt idx="5">
                  <c:v>42.620940333701533</c:v>
                </c:pt>
                <c:pt idx="6">
                  <c:v>21.781709064889235</c:v>
                </c:pt>
                <c:pt idx="7">
                  <c:v>-20.943951023931955</c:v>
                </c:pt>
                <c:pt idx="8">
                  <c:v>-41.887902047863911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F7-458A-9078-66555FC05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67888"/>
        <c:axId val="132062640"/>
      </c:scatterChart>
      <c:valAx>
        <c:axId val="13206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</a:t>
                </a:r>
              </a:p>
            </c:rich>
          </c:tx>
          <c:layout>
            <c:manualLayout>
              <c:xMode val="edge"/>
              <c:yMode val="edge"/>
              <c:x val="0.94840001693267983"/>
              <c:y val="0.53001065984785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62640"/>
        <c:crosses val="autoZero"/>
        <c:crossBetween val="midCat"/>
      </c:valAx>
      <c:valAx>
        <c:axId val="1320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</a:t>
                </a:r>
              </a:p>
            </c:rich>
          </c:tx>
          <c:layout>
            <c:manualLayout>
              <c:xMode val="edge"/>
              <c:yMode val="edge"/>
              <c:x val="0.50765763064884561"/>
              <c:y val="0.10653185447018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6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Расчетные характеристики</a:t>
            </a:r>
            <a:r>
              <a:rPr lang="ru-RU" baseline="0"/>
              <a:t> дин. торможения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Лист1!$AQ$67:$AQ$81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-1.8435007306605389</c:v>
                </c:pt>
                <c:pt idx="2">
                  <c:v>-2.72540614018307</c:v>
                </c:pt>
                <c:pt idx="3">
                  <c:v>-3.5620188554999639</c:v>
                </c:pt>
                <c:pt idx="4">
                  <c:v>-4.3421308490260451</c:v>
                </c:pt>
                <c:pt idx="5">
                  <c:v>-5.0573059158003515</c:v>
                </c:pt>
                <c:pt idx="6">
                  <c:v>-5.7019933477029214</c:v>
                </c:pt>
                <c:pt idx="7">
                  <c:v>-6.2734093065948819</c:v>
                </c:pt>
                <c:pt idx="8">
                  <c:v>-6.7712404773712578</c:v>
                </c:pt>
                <c:pt idx="9">
                  <c:v>-7.1972353411278744</c:v>
                </c:pt>
                <c:pt idx="10">
                  <c:v>-7.8482738582917753</c:v>
                </c:pt>
                <c:pt idx="11">
                  <c:v>-8.2646952221537724</c:v>
                </c:pt>
                <c:pt idx="12">
                  <c:v>-8.4912908475939339</c:v>
                </c:pt>
                <c:pt idx="13">
                  <c:v>-8.5714599447510977</c:v>
                </c:pt>
                <c:pt idx="14">
                  <c:v>-8.5430709423407123</c:v>
                </c:pt>
              </c:numCache>
            </c:numRef>
          </c:xVal>
          <c:yVal>
            <c:numRef>
              <c:f>Лист1!$AM$67:$AM$81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10.471975511965978</c:v>
                </c:pt>
                <c:pt idx="2">
                  <c:v>15.707963267948966</c:v>
                </c:pt>
                <c:pt idx="3">
                  <c:v>20.943951023931955</c:v>
                </c:pt>
                <c:pt idx="4">
                  <c:v>26.179938779914941</c:v>
                </c:pt>
                <c:pt idx="5">
                  <c:v>31.415926535897931</c:v>
                </c:pt>
                <c:pt idx="6">
                  <c:v>36.651914291880914</c:v>
                </c:pt>
                <c:pt idx="7">
                  <c:v>41.887902047863911</c:v>
                </c:pt>
                <c:pt idx="8">
                  <c:v>47.123889803846893</c:v>
                </c:pt>
                <c:pt idx="9">
                  <c:v>52.359877559829883</c:v>
                </c:pt>
                <c:pt idx="10">
                  <c:v>62.831853071795862</c:v>
                </c:pt>
                <c:pt idx="11">
                  <c:v>73.303828583761828</c:v>
                </c:pt>
                <c:pt idx="12">
                  <c:v>83.775804095727821</c:v>
                </c:pt>
                <c:pt idx="13">
                  <c:v>94.247779607693786</c:v>
                </c:pt>
                <c:pt idx="14">
                  <c:v>104.71975511965977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F-42D3-A3B9-BAF6B2EAD7EB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Лист1!$AR$67:$AR$81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-0.79872231624837309</c:v>
                </c:pt>
                <c:pt idx="2">
                  <c:v>-1.1808200934233328</c:v>
                </c:pt>
                <c:pt idx="3">
                  <c:v>-1.5432941812645253</c:v>
                </c:pt>
                <c:pt idx="4">
                  <c:v>-1.8812885460289097</c:v>
                </c:pt>
                <c:pt idx="5">
                  <c:v>-2.1911480846537654</c:v>
                </c:pt>
                <c:pt idx="6">
                  <c:v>-2.4704678756911873</c:v>
                </c:pt>
                <c:pt idx="7">
                  <c:v>-2.7180417825721137</c:v>
                </c:pt>
                <c:pt idx="8">
                  <c:v>-2.933734057172229</c:v>
                </c:pt>
                <c:pt idx="9">
                  <c:v>-3.1183022532302149</c:v>
                </c:pt>
                <c:pt idx="10">
                  <c:v>-3.4003737402372951</c:v>
                </c:pt>
                <c:pt idx="11">
                  <c:v>-3.5807940843941357</c:v>
                </c:pt>
                <c:pt idx="12">
                  <c:v>-3.6789697887989101</c:v>
                </c:pt>
                <c:pt idx="13">
                  <c:v>-3.7137041644939859</c:v>
                </c:pt>
                <c:pt idx="14">
                  <c:v>-3.7014042345920988</c:v>
                </c:pt>
              </c:numCache>
            </c:numRef>
          </c:xVal>
          <c:yVal>
            <c:numRef>
              <c:f>Лист1!$AM$67:$AM$81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10.471975511965978</c:v>
                </c:pt>
                <c:pt idx="2">
                  <c:v>15.707963267948966</c:v>
                </c:pt>
                <c:pt idx="3">
                  <c:v>20.943951023931955</c:v>
                </c:pt>
                <c:pt idx="4">
                  <c:v>26.179938779914941</c:v>
                </c:pt>
                <c:pt idx="5">
                  <c:v>31.415926535897931</c:v>
                </c:pt>
                <c:pt idx="6">
                  <c:v>36.651914291880914</c:v>
                </c:pt>
                <c:pt idx="7">
                  <c:v>41.887902047863911</c:v>
                </c:pt>
                <c:pt idx="8">
                  <c:v>47.123889803846893</c:v>
                </c:pt>
                <c:pt idx="9">
                  <c:v>52.359877559829883</c:v>
                </c:pt>
                <c:pt idx="10">
                  <c:v>62.831853071795862</c:v>
                </c:pt>
                <c:pt idx="11">
                  <c:v>73.303828583761828</c:v>
                </c:pt>
                <c:pt idx="12">
                  <c:v>83.775804095727821</c:v>
                </c:pt>
                <c:pt idx="13">
                  <c:v>94.247779607693786</c:v>
                </c:pt>
                <c:pt idx="14">
                  <c:v>104.71975511965977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1F-42D3-A3B9-BAF6B2EAD7EB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Лист1!$AV$67:$AV$81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-1.6086600093013359</c:v>
                </c:pt>
                <c:pt idx="2">
                  <c:v>-2.2728670171354448</c:v>
                </c:pt>
                <c:pt idx="3">
                  <c:v>-2.8026393020870932</c:v>
                </c:pt>
                <c:pt idx="4">
                  <c:v>-3.1944950269118961</c:v>
                </c:pt>
                <c:pt idx="5">
                  <c:v>-3.4605701915321663</c:v>
                </c:pt>
                <c:pt idx="6">
                  <c:v>-3.6211205885893358</c:v>
                </c:pt>
                <c:pt idx="7">
                  <c:v>-3.6984857372299129</c:v>
                </c:pt>
                <c:pt idx="8">
                  <c:v>-3.7134062572780837</c:v>
                </c:pt>
                <c:pt idx="9">
                  <c:v>-3.6833587609983396</c:v>
                </c:pt>
                <c:pt idx="10">
                  <c:v>-3.5404326729999771</c:v>
                </c:pt>
                <c:pt idx="11">
                  <c:v>-3.344037454470453</c:v>
                </c:pt>
                <c:pt idx="12">
                  <c:v>-3.1333642459277669</c:v>
                </c:pt>
                <c:pt idx="13">
                  <c:v>-2.927426127286108</c:v>
                </c:pt>
                <c:pt idx="14">
                  <c:v>-2.7345579027614497</c:v>
                </c:pt>
              </c:numCache>
            </c:numRef>
          </c:xVal>
          <c:yVal>
            <c:numRef>
              <c:f>Лист1!$AM$67:$AM$81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10.471975511965978</c:v>
                </c:pt>
                <c:pt idx="2">
                  <c:v>15.707963267948966</c:v>
                </c:pt>
                <c:pt idx="3">
                  <c:v>20.943951023931955</c:v>
                </c:pt>
                <c:pt idx="4">
                  <c:v>26.179938779914941</c:v>
                </c:pt>
                <c:pt idx="5">
                  <c:v>31.415926535897931</c:v>
                </c:pt>
                <c:pt idx="6">
                  <c:v>36.651914291880914</c:v>
                </c:pt>
                <c:pt idx="7">
                  <c:v>41.887902047863911</c:v>
                </c:pt>
                <c:pt idx="8">
                  <c:v>47.123889803846893</c:v>
                </c:pt>
                <c:pt idx="9">
                  <c:v>52.359877559829883</c:v>
                </c:pt>
                <c:pt idx="10">
                  <c:v>62.831853071795862</c:v>
                </c:pt>
                <c:pt idx="11">
                  <c:v>73.303828583761828</c:v>
                </c:pt>
                <c:pt idx="12">
                  <c:v>83.775804095727821</c:v>
                </c:pt>
                <c:pt idx="13">
                  <c:v>94.247779607693786</c:v>
                </c:pt>
                <c:pt idx="14">
                  <c:v>104.71975511965977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1F-42D3-A3B9-BAF6B2EAD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51280"/>
        <c:axId val="520152592"/>
      </c:scatterChart>
      <c:valAx>
        <c:axId val="52015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2319313210848638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52592"/>
        <c:crosses val="autoZero"/>
        <c:crossBetween val="midCat"/>
      </c:valAx>
      <c:valAx>
        <c:axId val="5201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</a:t>
                </a:r>
              </a:p>
            </c:rich>
          </c:tx>
          <c:layout>
            <c:manualLayout>
              <c:xMode val="edge"/>
              <c:yMode val="edge"/>
              <c:x val="0.95660870516185481"/>
              <c:y val="0.11733012540099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5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Характеристики</a:t>
            </a:r>
            <a:r>
              <a:rPr lang="ru-RU" baseline="0"/>
              <a:t> динамического торможения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Лист1!$AQ$67:$AQ$81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-1.8435007306605389</c:v>
                </c:pt>
                <c:pt idx="2">
                  <c:v>-2.72540614018307</c:v>
                </c:pt>
                <c:pt idx="3">
                  <c:v>-3.5620188554999639</c:v>
                </c:pt>
                <c:pt idx="4">
                  <c:v>-4.3421308490260451</c:v>
                </c:pt>
                <c:pt idx="5">
                  <c:v>-5.0573059158003515</c:v>
                </c:pt>
                <c:pt idx="6">
                  <c:v>-5.7019933477029214</c:v>
                </c:pt>
                <c:pt idx="7">
                  <c:v>-6.2734093065948819</c:v>
                </c:pt>
                <c:pt idx="8">
                  <c:v>-6.7712404773712578</c:v>
                </c:pt>
                <c:pt idx="9">
                  <c:v>-7.1972353411278744</c:v>
                </c:pt>
                <c:pt idx="10">
                  <c:v>-7.8482738582917753</c:v>
                </c:pt>
                <c:pt idx="11">
                  <c:v>-8.2646952221537724</c:v>
                </c:pt>
                <c:pt idx="12">
                  <c:v>-8.4912908475939339</c:v>
                </c:pt>
                <c:pt idx="13">
                  <c:v>-8.5714599447510977</c:v>
                </c:pt>
                <c:pt idx="14">
                  <c:v>-8.5430709423407123</c:v>
                </c:pt>
              </c:numCache>
            </c:numRef>
          </c:xVal>
          <c:yVal>
            <c:numRef>
              <c:f>Лист1!$AM$67:$AM$81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10.471975511965978</c:v>
                </c:pt>
                <c:pt idx="2">
                  <c:v>15.707963267948966</c:v>
                </c:pt>
                <c:pt idx="3">
                  <c:v>20.943951023931955</c:v>
                </c:pt>
                <c:pt idx="4">
                  <c:v>26.179938779914941</c:v>
                </c:pt>
                <c:pt idx="5">
                  <c:v>31.415926535897931</c:v>
                </c:pt>
                <c:pt idx="6">
                  <c:v>36.651914291880914</c:v>
                </c:pt>
                <c:pt idx="7">
                  <c:v>41.887902047863911</c:v>
                </c:pt>
                <c:pt idx="8">
                  <c:v>47.123889803846893</c:v>
                </c:pt>
                <c:pt idx="9">
                  <c:v>52.359877559829883</c:v>
                </c:pt>
                <c:pt idx="10">
                  <c:v>62.831853071795862</c:v>
                </c:pt>
                <c:pt idx="11">
                  <c:v>73.303828583761828</c:v>
                </c:pt>
                <c:pt idx="12">
                  <c:v>83.775804095727821</c:v>
                </c:pt>
                <c:pt idx="13">
                  <c:v>94.247779607693786</c:v>
                </c:pt>
                <c:pt idx="14">
                  <c:v>104.71975511965977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B-4206-B6D3-AE79F09F4601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Лист1!$AR$67:$AR$81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-0.79872231624837309</c:v>
                </c:pt>
                <c:pt idx="2">
                  <c:v>-1.1808200934233328</c:v>
                </c:pt>
                <c:pt idx="3">
                  <c:v>-1.5432941812645253</c:v>
                </c:pt>
                <c:pt idx="4">
                  <c:v>-1.8812885460289097</c:v>
                </c:pt>
                <c:pt idx="5">
                  <c:v>-2.1911480846537654</c:v>
                </c:pt>
                <c:pt idx="6">
                  <c:v>-2.4704678756911873</c:v>
                </c:pt>
                <c:pt idx="7">
                  <c:v>-2.7180417825721137</c:v>
                </c:pt>
                <c:pt idx="8">
                  <c:v>-2.933734057172229</c:v>
                </c:pt>
                <c:pt idx="9">
                  <c:v>-3.1183022532302149</c:v>
                </c:pt>
                <c:pt idx="10">
                  <c:v>-3.4003737402372951</c:v>
                </c:pt>
                <c:pt idx="11">
                  <c:v>-3.5807940843941357</c:v>
                </c:pt>
                <c:pt idx="12">
                  <c:v>-3.6789697887989101</c:v>
                </c:pt>
                <c:pt idx="13">
                  <c:v>-3.7137041644939859</c:v>
                </c:pt>
                <c:pt idx="14">
                  <c:v>-3.7014042345920988</c:v>
                </c:pt>
              </c:numCache>
            </c:numRef>
          </c:xVal>
          <c:yVal>
            <c:numRef>
              <c:f>Лист1!$AM$67:$AM$81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10.471975511965978</c:v>
                </c:pt>
                <c:pt idx="2">
                  <c:v>15.707963267948966</c:v>
                </c:pt>
                <c:pt idx="3">
                  <c:v>20.943951023931955</c:v>
                </c:pt>
                <c:pt idx="4">
                  <c:v>26.179938779914941</c:v>
                </c:pt>
                <c:pt idx="5">
                  <c:v>31.415926535897931</c:v>
                </c:pt>
                <c:pt idx="6">
                  <c:v>36.651914291880914</c:v>
                </c:pt>
                <c:pt idx="7">
                  <c:v>41.887902047863911</c:v>
                </c:pt>
                <c:pt idx="8">
                  <c:v>47.123889803846893</c:v>
                </c:pt>
                <c:pt idx="9">
                  <c:v>52.359877559829883</c:v>
                </c:pt>
                <c:pt idx="10">
                  <c:v>62.831853071795862</c:v>
                </c:pt>
                <c:pt idx="11">
                  <c:v>73.303828583761828</c:v>
                </c:pt>
                <c:pt idx="12">
                  <c:v>83.775804095727821</c:v>
                </c:pt>
                <c:pt idx="13">
                  <c:v>94.247779607693786</c:v>
                </c:pt>
                <c:pt idx="14">
                  <c:v>104.71975511965977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3B-4206-B6D3-AE79F09F4601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Лист1!$AV$67:$AV$81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-1.6086600093013359</c:v>
                </c:pt>
                <c:pt idx="2">
                  <c:v>-2.2728670171354448</c:v>
                </c:pt>
                <c:pt idx="3">
                  <c:v>-2.8026393020870932</c:v>
                </c:pt>
                <c:pt idx="4">
                  <c:v>-3.1944950269118961</c:v>
                </c:pt>
                <c:pt idx="5">
                  <c:v>-3.4605701915321663</c:v>
                </c:pt>
                <c:pt idx="6">
                  <c:v>-3.6211205885893358</c:v>
                </c:pt>
                <c:pt idx="7">
                  <c:v>-3.6984857372299129</c:v>
                </c:pt>
                <c:pt idx="8">
                  <c:v>-3.7134062572780837</c:v>
                </c:pt>
                <c:pt idx="9">
                  <c:v>-3.6833587609983396</c:v>
                </c:pt>
                <c:pt idx="10">
                  <c:v>-3.5404326729999771</c:v>
                </c:pt>
                <c:pt idx="11">
                  <c:v>-3.344037454470453</c:v>
                </c:pt>
                <c:pt idx="12">
                  <c:v>-3.1333642459277669</c:v>
                </c:pt>
                <c:pt idx="13">
                  <c:v>-2.927426127286108</c:v>
                </c:pt>
                <c:pt idx="14">
                  <c:v>-2.7345579027614497</c:v>
                </c:pt>
              </c:numCache>
            </c:numRef>
          </c:xVal>
          <c:yVal>
            <c:numRef>
              <c:f>Лист1!$AM$67:$AM$81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10.471975511965978</c:v>
                </c:pt>
                <c:pt idx="2">
                  <c:v>15.707963267948966</c:v>
                </c:pt>
                <c:pt idx="3">
                  <c:v>20.943951023931955</c:v>
                </c:pt>
                <c:pt idx="4">
                  <c:v>26.179938779914941</c:v>
                </c:pt>
                <c:pt idx="5">
                  <c:v>31.415926535897931</c:v>
                </c:pt>
                <c:pt idx="6">
                  <c:v>36.651914291880914</c:v>
                </c:pt>
                <c:pt idx="7">
                  <c:v>41.887902047863911</c:v>
                </c:pt>
                <c:pt idx="8">
                  <c:v>47.123889803846893</c:v>
                </c:pt>
                <c:pt idx="9">
                  <c:v>52.359877559829883</c:v>
                </c:pt>
                <c:pt idx="10">
                  <c:v>62.831853071795862</c:v>
                </c:pt>
                <c:pt idx="11">
                  <c:v>73.303828583761828</c:v>
                </c:pt>
                <c:pt idx="12">
                  <c:v>83.775804095727821</c:v>
                </c:pt>
                <c:pt idx="13">
                  <c:v>94.247779607693786</c:v>
                </c:pt>
                <c:pt idx="14">
                  <c:v>104.71975511965977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3B-4206-B6D3-AE79F09F4601}"/>
            </c:ext>
          </c:extLst>
        </c:ser>
        <c:ser>
          <c:idx val="5"/>
          <c:order val="3"/>
          <c:tx>
            <c:v>1 Эксперимент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(Лист1!$AQ$67,Лист1!$BI$49:$BI$57)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-3.4079999999999995</c:v>
                </c:pt>
                <c:pt idx="2">
                  <c:v>-6.4480000000000004</c:v>
                </c:pt>
                <c:pt idx="3">
                  <c:v>-8.8800000000000008</c:v>
                </c:pt>
                <c:pt idx="4">
                  <c:v>-9.1340000000000003</c:v>
                </c:pt>
                <c:pt idx="5">
                  <c:v>-9.0340000000000007</c:v>
                </c:pt>
                <c:pt idx="6">
                  <c:v>-9.0340000000000007</c:v>
                </c:pt>
                <c:pt idx="7">
                  <c:v>-9.0340000000000007</c:v>
                </c:pt>
                <c:pt idx="8">
                  <c:v>-8.7319999999999993</c:v>
                </c:pt>
                <c:pt idx="9">
                  <c:v>-8.58</c:v>
                </c:pt>
              </c:numCache>
            </c:numRef>
          </c:xVal>
          <c:yVal>
            <c:numRef>
              <c:f>(Лист1!$AM$67,Лист1!$BF$49:$BF$57)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20.629791758572974</c:v>
                </c:pt>
                <c:pt idx="2">
                  <c:v>41.469023027385269</c:v>
                </c:pt>
                <c:pt idx="3">
                  <c:v>67.753681562419871</c:v>
                </c:pt>
                <c:pt idx="4">
                  <c:v>85.451320177642373</c:v>
                </c:pt>
                <c:pt idx="5">
                  <c:v>94.980817893531409</c:v>
                </c:pt>
                <c:pt idx="6">
                  <c:v>101.7876019763093</c:v>
                </c:pt>
                <c:pt idx="7">
                  <c:v>105.97639218109569</c:v>
                </c:pt>
                <c:pt idx="8">
                  <c:v>115.92476891746337</c:v>
                </c:pt>
                <c:pt idx="9">
                  <c:v>125.66370614359172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3B-4206-B6D3-AE79F09F4601}"/>
            </c:ext>
          </c:extLst>
        </c:ser>
        <c:ser>
          <c:idx val="4"/>
          <c:order val="4"/>
          <c:tx>
            <c:v>2 Эксперимент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(Лист1!$AQ$67,Лист1!$BA$49:$BA$60)</c:f>
              <c:numCache>
                <c:formatCode>0.00</c:formatCode>
                <c:ptCount val="13"/>
                <c:pt idx="0" formatCode="General">
                  <c:v>0</c:v>
                </c:pt>
                <c:pt idx="1">
                  <c:v>-0.9760000000000002</c:v>
                </c:pt>
                <c:pt idx="2">
                  <c:v>-2.4807999999999999</c:v>
                </c:pt>
                <c:pt idx="3">
                  <c:v>-3.484</c:v>
                </c:pt>
                <c:pt idx="4">
                  <c:v>-4.1984000000000004</c:v>
                </c:pt>
                <c:pt idx="5">
                  <c:v>-4.2440000000000007</c:v>
                </c:pt>
                <c:pt idx="6">
                  <c:v>-4.3959999999999999</c:v>
                </c:pt>
                <c:pt idx="7">
                  <c:v>-4.4220000000000006</c:v>
                </c:pt>
                <c:pt idx="8">
                  <c:v>-4.726</c:v>
                </c:pt>
                <c:pt idx="9">
                  <c:v>-4.5284000000000004</c:v>
                </c:pt>
                <c:pt idx="10">
                  <c:v>-4.2764000000000006</c:v>
                </c:pt>
                <c:pt idx="11">
                  <c:v>-4.2460000000000004</c:v>
                </c:pt>
                <c:pt idx="12">
                  <c:v>-3.8680000000000003</c:v>
                </c:pt>
              </c:numCache>
            </c:numRef>
          </c:xVal>
          <c:yVal>
            <c:numRef>
              <c:f>(Лист1!$AM$67,Лист1!$AX$49:$AX$60)</c:f>
              <c:numCache>
                <c:formatCode>0.00</c:formatCode>
                <c:ptCount val="13"/>
                <c:pt idx="0" formatCode="General">
                  <c:v>0</c:v>
                </c:pt>
                <c:pt idx="1">
                  <c:v>11.309733552923255</c:v>
                </c:pt>
                <c:pt idx="2">
                  <c:v>26.703537555513243</c:v>
                </c:pt>
                <c:pt idx="3">
                  <c:v>41.887902047863911</c:v>
                </c:pt>
                <c:pt idx="4">
                  <c:v>57.176986295334238</c:v>
                </c:pt>
                <c:pt idx="5">
                  <c:v>61.156336989881304</c:v>
                </c:pt>
                <c:pt idx="6">
                  <c:v>66.078165480505319</c:v>
                </c:pt>
                <c:pt idx="7">
                  <c:v>72.67551005304388</c:v>
                </c:pt>
                <c:pt idx="8">
                  <c:v>80.738931197257685</c:v>
                </c:pt>
                <c:pt idx="9">
                  <c:v>88.383473320992849</c:v>
                </c:pt>
                <c:pt idx="10">
                  <c:v>94.876098138411763</c:v>
                </c:pt>
                <c:pt idx="11">
                  <c:v>106.39527120157433</c:v>
                </c:pt>
                <c:pt idx="12">
                  <c:v>122.62683324512159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3B-4206-B6D3-AE79F09F4601}"/>
            </c:ext>
          </c:extLst>
        </c:ser>
        <c:ser>
          <c:idx val="3"/>
          <c:order val="5"/>
          <c:tx>
            <c:v>3 Эксперимент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(Лист1!$AQ$67,Лист1!$AR$49:$AR$60)</c:f>
              <c:numCache>
                <c:formatCode>0.00</c:formatCode>
                <c:ptCount val="13"/>
                <c:pt idx="0" formatCode="General">
                  <c:v>0</c:v>
                </c:pt>
                <c:pt idx="1">
                  <c:v>-2.1920000000000002</c:v>
                </c:pt>
                <c:pt idx="2">
                  <c:v>-3.8640000000000008</c:v>
                </c:pt>
                <c:pt idx="3">
                  <c:v>-4.1680000000000001</c:v>
                </c:pt>
                <c:pt idx="4">
                  <c:v>-4.1680000000000001</c:v>
                </c:pt>
                <c:pt idx="5">
                  <c:v>-4.1680000000000001</c:v>
                </c:pt>
                <c:pt idx="6">
                  <c:v>-4.016</c:v>
                </c:pt>
                <c:pt idx="7">
                  <c:v>-3.7120000000000006</c:v>
                </c:pt>
                <c:pt idx="8">
                  <c:v>-3.6055999999999999</c:v>
                </c:pt>
                <c:pt idx="9">
                  <c:v>-3.13</c:v>
                </c:pt>
                <c:pt idx="10">
                  <c:v>-2.65</c:v>
                </c:pt>
                <c:pt idx="11">
                  <c:v>-2.3916000000000004</c:v>
                </c:pt>
                <c:pt idx="12">
                  <c:v>-2.12</c:v>
                </c:pt>
              </c:numCache>
            </c:numRef>
          </c:xVal>
          <c:yVal>
            <c:numRef>
              <c:f>(Лист1!$AM$67,Лист1!$AO$49:$AO$60)</c:f>
              <c:numCache>
                <c:formatCode>0.00</c:formatCode>
                <c:ptCount val="13"/>
                <c:pt idx="0" formatCode="General">
                  <c:v>0</c:v>
                </c:pt>
                <c:pt idx="1">
                  <c:v>11.519173063162576</c:v>
                </c:pt>
                <c:pt idx="2">
                  <c:v>26.8082573106329</c:v>
                </c:pt>
                <c:pt idx="3">
                  <c:v>37.699111843077517</c:v>
                </c:pt>
                <c:pt idx="4">
                  <c:v>41.67846253762459</c:v>
                </c:pt>
                <c:pt idx="5">
                  <c:v>47.123889803846893</c:v>
                </c:pt>
                <c:pt idx="6">
                  <c:v>53.092915845667498</c:v>
                </c:pt>
                <c:pt idx="7">
                  <c:v>63.355451847394164</c:v>
                </c:pt>
                <c:pt idx="8">
                  <c:v>73.303828583761828</c:v>
                </c:pt>
                <c:pt idx="9">
                  <c:v>85.870199198121014</c:v>
                </c:pt>
                <c:pt idx="10">
                  <c:v>100.2168056495144</c:v>
                </c:pt>
                <c:pt idx="11">
                  <c:v>109.74630336540345</c:v>
                </c:pt>
                <c:pt idx="12">
                  <c:v>120.42771838760873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3B-4206-B6D3-AE79F09F4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72384"/>
        <c:axId val="551072712"/>
      </c:scatterChart>
      <c:valAx>
        <c:axId val="55107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</a:t>
                </a:r>
              </a:p>
            </c:rich>
          </c:tx>
          <c:layout>
            <c:manualLayout>
              <c:xMode val="edge"/>
              <c:yMode val="edge"/>
              <c:x val="8.2303493534118671E-2"/>
              <c:y val="0.80952820069451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2712"/>
        <c:crosses val="autoZero"/>
        <c:crossBetween val="midCat"/>
      </c:valAx>
      <c:valAx>
        <c:axId val="55107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</a:t>
                </a:r>
              </a:p>
            </c:rich>
          </c:tx>
          <c:layout>
            <c:manualLayout>
              <c:xMode val="edge"/>
              <c:yMode val="edge"/>
              <c:x val="0.92778788966839454"/>
              <c:y val="4.61243778148560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685800</xdr:colOff>
          <xdr:row>25</xdr:row>
          <xdr:rowOff>1181100</xdr:rowOff>
        </xdr:from>
        <xdr:to>
          <xdr:col>16</xdr:col>
          <xdr:colOff>259080</xdr:colOff>
          <xdr:row>25</xdr:row>
          <xdr:rowOff>1645920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0</xdr:colOff>
          <xdr:row>2</xdr:row>
          <xdr:rowOff>0</xdr:rowOff>
        </xdr:from>
        <xdr:to>
          <xdr:col>55</xdr:col>
          <xdr:colOff>182880</xdr:colOff>
          <xdr:row>2</xdr:row>
          <xdr:rowOff>160020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0</xdr:colOff>
          <xdr:row>2</xdr:row>
          <xdr:rowOff>0</xdr:rowOff>
        </xdr:from>
        <xdr:to>
          <xdr:col>56</xdr:col>
          <xdr:colOff>342900</xdr:colOff>
          <xdr:row>3</xdr:row>
          <xdr:rowOff>38100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2</xdr:row>
          <xdr:rowOff>0</xdr:rowOff>
        </xdr:from>
        <xdr:to>
          <xdr:col>57</xdr:col>
          <xdr:colOff>342900</xdr:colOff>
          <xdr:row>2</xdr:row>
          <xdr:rowOff>464820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61</xdr:col>
          <xdr:colOff>0</xdr:colOff>
          <xdr:row>2</xdr:row>
          <xdr:rowOff>0</xdr:rowOff>
        </xdr:from>
        <xdr:to>
          <xdr:col>61</xdr:col>
          <xdr:colOff>342900</xdr:colOff>
          <xdr:row>3</xdr:row>
          <xdr:rowOff>38100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62</xdr:col>
          <xdr:colOff>0</xdr:colOff>
          <xdr:row>2</xdr:row>
          <xdr:rowOff>0</xdr:rowOff>
        </xdr:from>
        <xdr:to>
          <xdr:col>62</xdr:col>
          <xdr:colOff>342900</xdr:colOff>
          <xdr:row>2</xdr:row>
          <xdr:rowOff>464820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35</xdr:col>
      <xdr:colOff>531457</xdr:colOff>
      <xdr:row>9</xdr:row>
      <xdr:rowOff>91547</xdr:rowOff>
    </xdr:from>
    <xdr:to>
      <xdr:col>40</xdr:col>
      <xdr:colOff>252569</xdr:colOff>
      <xdr:row>13</xdr:row>
      <xdr:rowOff>533525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77560</xdr:colOff>
      <xdr:row>0</xdr:row>
      <xdr:rowOff>0</xdr:rowOff>
    </xdr:from>
    <xdr:to>
      <xdr:col>38</xdr:col>
      <xdr:colOff>2721</xdr:colOff>
      <xdr:row>6</xdr:row>
      <xdr:rowOff>54428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67</xdr:col>
      <xdr:colOff>253338</xdr:colOff>
      <xdr:row>5</xdr:row>
      <xdr:rowOff>52573</xdr:rowOff>
    </xdr:from>
    <xdr:to>
      <xdr:col>72</xdr:col>
      <xdr:colOff>395595</xdr:colOff>
      <xdr:row>10</xdr:row>
      <xdr:rowOff>215860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66</xdr:col>
      <xdr:colOff>376917</xdr:colOff>
      <xdr:row>12</xdr:row>
      <xdr:rowOff>261257</xdr:rowOff>
    </xdr:from>
    <xdr:to>
      <xdr:col>71</xdr:col>
      <xdr:colOff>125185</xdr:colOff>
      <xdr:row>15</xdr:row>
      <xdr:rowOff>178254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66</xdr:col>
      <xdr:colOff>116215</xdr:colOff>
      <xdr:row>0</xdr:row>
      <xdr:rowOff>432146</xdr:rowOff>
    </xdr:from>
    <xdr:to>
      <xdr:col>71</xdr:col>
      <xdr:colOff>116215</xdr:colOff>
      <xdr:row>5</xdr:row>
      <xdr:rowOff>112779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0</xdr:colOff>
          <xdr:row>2</xdr:row>
          <xdr:rowOff>0</xdr:rowOff>
        </xdr:from>
        <xdr:to>
          <xdr:col>55</xdr:col>
          <xdr:colOff>182880</xdr:colOff>
          <xdr:row>2</xdr:row>
          <xdr:rowOff>160020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0</xdr:colOff>
          <xdr:row>2</xdr:row>
          <xdr:rowOff>0</xdr:rowOff>
        </xdr:from>
        <xdr:to>
          <xdr:col>56</xdr:col>
          <xdr:colOff>342900</xdr:colOff>
          <xdr:row>3</xdr:row>
          <xdr:rowOff>38100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2</xdr:row>
          <xdr:rowOff>0</xdr:rowOff>
        </xdr:from>
        <xdr:to>
          <xdr:col>57</xdr:col>
          <xdr:colOff>342900</xdr:colOff>
          <xdr:row>2</xdr:row>
          <xdr:rowOff>464820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566056</xdr:colOff>
      <xdr:row>74</xdr:row>
      <xdr:rowOff>81642</xdr:rowOff>
    </xdr:from>
    <xdr:to>
      <xdr:col>14</xdr:col>
      <xdr:colOff>707570</xdr:colOff>
      <xdr:row>96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119741</xdr:colOff>
      <xdr:row>86</xdr:row>
      <xdr:rowOff>125186</xdr:rowOff>
    </xdr:from>
    <xdr:to>
      <xdr:col>28</xdr:col>
      <xdr:colOff>413656</xdr:colOff>
      <xdr:row>112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144780</xdr:colOff>
          <xdr:row>64</xdr:row>
          <xdr:rowOff>114300</xdr:rowOff>
        </xdr:from>
        <xdr:to>
          <xdr:col>38</xdr:col>
          <xdr:colOff>327660</xdr:colOff>
          <xdr:row>65</xdr:row>
          <xdr:rowOff>83820</xdr:rowOff>
        </xdr:to>
        <xdr:sp macro="" textlink="">
          <xdr:nvSpPr>
            <xdr:cNvPr id="1070" name="Object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114300</xdr:colOff>
          <xdr:row>63</xdr:row>
          <xdr:rowOff>114300</xdr:rowOff>
        </xdr:from>
        <xdr:to>
          <xdr:col>39</xdr:col>
          <xdr:colOff>457200</xdr:colOff>
          <xdr:row>66</xdr:row>
          <xdr:rowOff>30480</xdr:rowOff>
        </xdr:to>
        <xdr:sp macro="" textlink="">
          <xdr:nvSpPr>
            <xdr:cNvPr id="1071" name="Object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121920</xdr:colOff>
          <xdr:row>63</xdr:row>
          <xdr:rowOff>182880</xdr:rowOff>
        </xdr:from>
        <xdr:to>
          <xdr:col>40</xdr:col>
          <xdr:colOff>464820</xdr:colOff>
          <xdr:row>66</xdr:row>
          <xdr:rowOff>38100</xdr:rowOff>
        </xdr:to>
        <xdr:sp macro="" textlink="">
          <xdr:nvSpPr>
            <xdr:cNvPr id="1072" name="Object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137160</xdr:colOff>
          <xdr:row>63</xdr:row>
          <xdr:rowOff>106680</xdr:rowOff>
        </xdr:from>
        <xdr:to>
          <xdr:col>44</xdr:col>
          <xdr:colOff>480060</xdr:colOff>
          <xdr:row>66</xdr:row>
          <xdr:rowOff>22860</xdr:rowOff>
        </xdr:to>
        <xdr:sp macro="" textlink="">
          <xdr:nvSpPr>
            <xdr:cNvPr id="1073" name="Object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121920</xdr:colOff>
          <xdr:row>63</xdr:row>
          <xdr:rowOff>152400</xdr:rowOff>
        </xdr:from>
        <xdr:to>
          <xdr:col>45</xdr:col>
          <xdr:colOff>464820</xdr:colOff>
          <xdr:row>66</xdr:row>
          <xdr:rowOff>7620</xdr:rowOff>
        </xdr:to>
        <xdr:sp macro="" textlink="">
          <xdr:nvSpPr>
            <xdr:cNvPr id="1074" name="Object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43</xdr:col>
      <xdr:colOff>478970</xdr:colOff>
      <xdr:row>85</xdr:row>
      <xdr:rowOff>146956</xdr:rowOff>
    </xdr:from>
    <xdr:to>
      <xdr:col>51</xdr:col>
      <xdr:colOff>283028</xdr:colOff>
      <xdr:row>102</xdr:row>
      <xdr:rowOff>174171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511628</xdr:colOff>
      <xdr:row>106</xdr:row>
      <xdr:rowOff>16327</xdr:rowOff>
    </xdr:from>
    <xdr:to>
      <xdr:col>52</xdr:col>
      <xdr:colOff>359229</xdr:colOff>
      <xdr:row>129</xdr:row>
      <xdr:rowOff>32656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11.bin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3.bin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10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9.bin"/><Relationship Id="rId20" Type="http://schemas.openxmlformats.org/officeDocument/2006/relationships/oleObject" Target="../embeddings/oleObject12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oleObject" Target="../embeddings/oleObject8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5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95"/>
  <sheetViews>
    <sheetView tabSelected="1" topLeftCell="AK96" zoomScale="70" zoomScaleNormal="70" workbookViewId="0">
      <selection activeCell="AN89" sqref="AN89"/>
    </sheetView>
  </sheetViews>
  <sheetFormatPr defaultRowHeight="14.4" x14ac:dyDescent="0.3"/>
  <cols>
    <col min="2" max="2" width="11" bestFit="1" customWidth="1"/>
    <col min="4" max="4" width="14.5546875" bestFit="1" customWidth="1"/>
    <col min="5" max="5" width="13.88671875" customWidth="1"/>
    <col min="7" max="7" width="9.109375" customWidth="1"/>
    <col min="8" max="8" width="14.5546875" bestFit="1" customWidth="1"/>
    <col min="11" max="11" width="16.88671875" customWidth="1"/>
    <col min="15" max="15" width="15" bestFit="1" customWidth="1"/>
    <col min="17" max="26" width="10.77734375" customWidth="1"/>
    <col min="27" max="27" width="15" bestFit="1" customWidth="1"/>
    <col min="30" max="30" width="15.44140625" bestFit="1" customWidth="1"/>
    <col min="31" max="31" width="10.109375" customWidth="1"/>
    <col min="33" max="33" width="10.5546875" bestFit="1" customWidth="1"/>
    <col min="35" max="35" width="9.6640625" bestFit="1" customWidth="1"/>
    <col min="37" max="37" width="28" customWidth="1"/>
    <col min="44" max="44" width="9.33203125" customWidth="1"/>
    <col min="48" max="49" width="13.109375" bestFit="1" customWidth="1"/>
    <col min="55" max="55" width="11" bestFit="1" customWidth="1"/>
    <col min="56" max="56" width="9.33203125" bestFit="1" customWidth="1"/>
    <col min="57" max="57" width="13.33203125" bestFit="1" customWidth="1"/>
    <col min="58" max="58" width="9.6640625" bestFit="1" customWidth="1"/>
    <col min="59" max="62" width="9.33203125" bestFit="1" customWidth="1"/>
  </cols>
  <sheetData>
    <row r="1" spans="1:65" ht="56.25" customHeight="1" thickBot="1" x14ac:dyDescent="0.35">
      <c r="A1" s="61"/>
      <c r="B1" s="61"/>
      <c r="C1" s="61"/>
      <c r="D1" s="61"/>
      <c r="E1" s="61"/>
      <c r="F1" s="61"/>
      <c r="G1" s="61"/>
      <c r="H1" s="61"/>
      <c r="N1" s="88" t="s">
        <v>15</v>
      </c>
      <c r="O1" s="101"/>
      <c r="P1" s="101"/>
      <c r="Q1" s="101"/>
      <c r="R1" s="101"/>
      <c r="S1" s="89"/>
      <c r="Z1" s="12"/>
      <c r="AA1" s="20" t="s">
        <v>27</v>
      </c>
      <c r="AB1" s="13"/>
      <c r="AC1" s="13"/>
      <c r="AD1" s="21"/>
      <c r="AE1" s="16" t="s">
        <v>28</v>
      </c>
      <c r="AF1" s="14"/>
      <c r="AG1" s="14"/>
      <c r="AH1" s="15"/>
      <c r="AI1" s="5"/>
    </row>
    <row r="2" spans="1:65" ht="24" customHeight="1" thickBot="1" x14ac:dyDescent="0.4">
      <c r="A2" s="57"/>
      <c r="B2" s="58"/>
      <c r="C2" s="58"/>
      <c r="D2" s="59"/>
      <c r="E2" s="58"/>
      <c r="F2" s="58"/>
      <c r="G2" s="58"/>
      <c r="H2" s="58"/>
      <c r="N2" s="4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3" t="s">
        <v>5</v>
      </c>
      <c r="Z2" s="4" t="s">
        <v>16</v>
      </c>
      <c r="AA2" s="2" t="s">
        <v>29</v>
      </c>
      <c r="AB2" s="2" t="s">
        <v>30</v>
      </c>
      <c r="AC2" s="2" t="s">
        <v>19</v>
      </c>
      <c r="AD2" s="2" t="s">
        <v>31</v>
      </c>
      <c r="AE2" s="2" t="s">
        <v>32</v>
      </c>
      <c r="AF2" s="2" t="s">
        <v>33</v>
      </c>
      <c r="AG2" s="2" t="s">
        <v>19</v>
      </c>
      <c r="AH2" s="2" t="s">
        <v>34</v>
      </c>
      <c r="AI2" s="3" t="s">
        <v>5</v>
      </c>
      <c r="AM2" s="1" t="s">
        <v>42</v>
      </c>
      <c r="BD2" s="25" t="s">
        <v>57</v>
      </c>
      <c r="BE2" s="26">
        <v>1</v>
      </c>
      <c r="BF2" s="27"/>
      <c r="BG2" s="27"/>
      <c r="BH2" s="28"/>
      <c r="BI2" s="28">
        <v>2</v>
      </c>
      <c r="BJ2" s="96">
        <v>3</v>
      </c>
      <c r="BK2" s="97"/>
      <c r="BL2" s="97"/>
      <c r="BM2" s="98"/>
    </row>
    <row r="3" spans="1:65" ht="18.600000000000001" thickBot="1" x14ac:dyDescent="0.4">
      <c r="A3" s="58"/>
      <c r="B3" s="58"/>
      <c r="C3" s="58"/>
      <c r="D3" s="58"/>
      <c r="E3" s="58"/>
      <c r="F3" s="58"/>
      <c r="G3" s="58"/>
      <c r="H3" s="58"/>
      <c r="K3" s="1" t="s">
        <v>21</v>
      </c>
      <c r="N3" s="4"/>
      <c r="O3" s="6"/>
      <c r="P3" s="2"/>
      <c r="Q3" s="2"/>
      <c r="R3" s="2" t="s">
        <v>14</v>
      </c>
      <c r="S3" s="2" t="s">
        <v>13</v>
      </c>
      <c r="U3" s="1" t="s">
        <v>35</v>
      </c>
      <c r="Z3" s="4"/>
      <c r="AA3" s="2"/>
      <c r="AB3" s="2"/>
      <c r="AC3" s="2"/>
      <c r="AD3" s="2" t="s">
        <v>14</v>
      </c>
      <c r="AE3" s="2"/>
      <c r="AF3" s="2"/>
      <c r="AG3" s="2"/>
      <c r="AH3" s="2" t="s">
        <v>14</v>
      </c>
      <c r="AI3" s="2" t="s">
        <v>13</v>
      </c>
      <c r="AU3" s="94" t="s">
        <v>44</v>
      </c>
      <c r="AV3" s="95"/>
      <c r="AW3" s="15">
        <v>1</v>
      </c>
      <c r="AX3" s="15">
        <v>2</v>
      </c>
      <c r="AY3" s="15">
        <v>3</v>
      </c>
      <c r="BD3" s="29"/>
      <c r="BE3" s="29"/>
      <c r="BF3" s="29"/>
      <c r="BG3" s="30" t="s">
        <v>19</v>
      </c>
      <c r="BH3" s="30" t="s">
        <v>59</v>
      </c>
      <c r="BI3" s="31"/>
      <c r="BJ3" s="99"/>
      <c r="BK3" s="99"/>
      <c r="BL3" s="92" t="s">
        <v>19</v>
      </c>
      <c r="BM3" s="92" t="s">
        <v>58</v>
      </c>
    </row>
    <row r="4" spans="1:65" ht="18.600000000000001" thickBot="1" x14ac:dyDescent="0.35">
      <c r="A4" s="58"/>
      <c r="B4" s="60"/>
      <c r="C4" s="58"/>
      <c r="D4" s="60"/>
      <c r="E4" s="60"/>
      <c r="F4" s="58"/>
      <c r="G4" s="60"/>
      <c r="H4" s="60"/>
      <c r="N4" s="42">
        <f>B36</f>
        <v>1</v>
      </c>
      <c r="O4" s="6">
        <f>$V$29/N4</f>
        <v>0</v>
      </c>
      <c r="P4" s="6" t="e">
        <f>1/O4</f>
        <v>#DIV/0!</v>
      </c>
      <c r="Q4" s="6" t="e">
        <f>O4+P4+2*$K$5</f>
        <v>#DIV/0!</v>
      </c>
      <c r="R4" s="6" t="e">
        <f>2*$T$25*(1+$K$5)/Q4</f>
        <v>#DIV/0!</v>
      </c>
      <c r="S4" s="6">
        <f>D4</f>
        <v>0</v>
      </c>
      <c r="Z4" s="42">
        <f>B36</f>
        <v>1</v>
      </c>
      <c r="AA4" s="6">
        <f>$AA$18/Z4</f>
        <v>-4.9613333333333332</v>
      </c>
      <c r="AB4" s="46">
        <f>1/AA4</f>
        <v>-0.20155872077398548</v>
      </c>
      <c r="AC4" s="6">
        <f>AA4+AB4+2*$K$5</f>
        <v>-5.1628920541073189</v>
      </c>
      <c r="AD4" s="6">
        <f>(2*$W$25*(1+$K$5))/(AB4+AA4+2*$K$5)</f>
        <v>0</v>
      </c>
      <c r="AE4" s="6">
        <f>$AB$18/Z4</f>
        <v>-4.9613333333333332</v>
      </c>
      <c r="AF4" s="6">
        <f>1/AE4</f>
        <v>-0.20155872077398548</v>
      </c>
      <c r="AG4" s="6">
        <f>AF4+AE4+2*$K$5</f>
        <v>-5.1628920541073189</v>
      </c>
      <c r="AH4" s="6">
        <f>(2*W25*(1+$K$5))/AG4</f>
        <v>0</v>
      </c>
      <c r="AI4" s="6">
        <f>$A$5*(1-Z4)</f>
        <v>0</v>
      </c>
      <c r="AU4" s="17" t="s">
        <v>45</v>
      </c>
      <c r="AV4" s="7" t="s">
        <v>11</v>
      </c>
      <c r="AW4" s="18" t="s">
        <v>46</v>
      </c>
      <c r="AX4" s="18" t="s">
        <v>47</v>
      </c>
      <c r="AY4" s="18" t="s">
        <v>46</v>
      </c>
      <c r="BD4" s="32"/>
      <c r="BE4" s="32"/>
      <c r="BF4" s="32"/>
      <c r="BG4" s="33"/>
      <c r="BH4" s="33"/>
      <c r="BI4" s="34" t="s">
        <v>60</v>
      </c>
      <c r="BJ4" s="100"/>
      <c r="BK4" s="100"/>
      <c r="BL4" s="93"/>
      <c r="BM4" s="93"/>
    </row>
    <row r="5" spans="1:65" ht="18.600000000000001" thickBot="1" x14ac:dyDescent="0.35">
      <c r="A5" s="58"/>
      <c r="B5" s="60"/>
      <c r="C5" s="58"/>
      <c r="D5" s="60"/>
      <c r="E5" s="60"/>
      <c r="F5" s="58"/>
      <c r="G5" s="60"/>
      <c r="H5" s="60"/>
      <c r="K5" s="10"/>
      <c r="N5" s="42">
        <f t="shared" ref="N5:N12" si="0">B37</f>
        <v>1</v>
      </c>
      <c r="O5" s="6">
        <f>$V$29/N5</f>
        <v>0</v>
      </c>
      <c r="P5" s="6" t="e">
        <f t="shared" ref="P5:P13" si="1">1/O5</f>
        <v>#DIV/0!</v>
      </c>
      <c r="Q5" s="6" t="e">
        <f t="shared" ref="Q5:Q13" si="2">O5+P5+2*$K$5</f>
        <v>#DIV/0!</v>
      </c>
      <c r="R5" s="6" t="e">
        <f t="shared" ref="R5:R13" si="3">2*$T$25*(1+$K$5)/Q5</f>
        <v>#DIV/0!</v>
      </c>
      <c r="S5" s="6">
        <f>D5</f>
        <v>0</v>
      </c>
      <c r="Z5" s="42">
        <f t="shared" ref="Z5:Z13" si="4">B37</f>
        <v>1</v>
      </c>
      <c r="AA5" s="6">
        <f>$AA$18/Z5</f>
        <v>-4.9613333333333332</v>
      </c>
      <c r="AB5" s="46">
        <f>1/AA5</f>
        <v>-0.20155872077398548</v>
      </c>
      <c r="AC5" s="6">
        <f>AA5+AB5+2*$K$5</f>
        <v>-5.1628920541073189</v>
      </c>
      <c r="AD5" s="6">
        <f>(2*$W$25*(1+$K$5))/(AB5+AA5+2*$K$5)</f>
        <v>0</v>
      </c>
      <c r="AE5" s="6">
        <f>$AB$18/Z5</f>
        <v>-4.9613333333333332</v>
      </c>
      <c r="AF5" s="6">
        <f>1/AE5</f>
        <v>-0.20155872077398548</v>
      </c>
      <c r="AG5" s="6">
        <f>AF5+AE5+2*$K$5</f>
        <v>-5.1628920541073189</v>
      </c>
      <c r="AH5" s="6">
        <f>(2*$W$25*(1+$K$5))/AG5</f>
        <v>0</v>
      </c>
      <c r="AI5" s="6">
        <f>$A$5*(1-Z5)</f>
        <v>0</v>
      </c>
      <c r="AU5" s="17" t="s">
        <v>48</v>
      </c>
      <c r="AV5" s="7" t="s">
        <v>49</v>
      </c>
      <c r="AW5" s="18" t="s">
        <v>50</v>
      </c>
      <c r="AX5" s="7" t="s">
        <v>50</v>
      </c>
      <c r="AY5" s="18" t="s">
        <v>51</v>
      </c>
      <c r="BD5" s="35">
        <f>D4</f>
        <v>0</v>
      </c>
      <c r="BE5" s="36" t="e">
        <f>BD5/$AW$7</f>
        <v>#DIV/0!</v>
      </c>
      <c r="BF5" s="36" t="e">
        <f>1/BE5</f>
        <v>#DIV/0!</v>
      </c>
      <c r="BG5" s="36" t="e">
        <f>BE5+BF5</f>
        <v>#DIV/0!</v>
      </c>
      <c r="BH5" s="36" t="e">
        <f>(2*$AW$6)/BG5</f>
        <v>#DIV/0!</v>
      </c>
      <c r="BI5" s="37" t="e">
        <f>(2*$AX$6)/BG5</f>
        <v>#DIV/0!</v>
      </c>
      <c r="BJ5" s="24" t="e">
        <f>BD5/$AY$7</f>
        <v>#DIV/0!</v>
      </c>
      <c r="BK5" s="24" t="e">
        <f>1/BJ5</f>
        <v>#DIV/0!</v>
      </c>
      <c r="BL5" s="24" t="e">
        <f>BJ5+BK5</f>
        <v>#DIV/0!</v>
      </c>
      <c r="BM5" s="24" t="e">
        <f>(2*$AY$6)/BL5</f>
        <v>#DIV/0!</v>
      </c>
    </row>
    <row r="6" spans="1:65" ht="18.600000000000001" thickBot="1" x14ac:dyDescent="0.4">
      <c r="A6" s="58"/>
      <c r="B6" s="60"/>
      <c r="C6" s="58"/>
      <c r="D6" s="60"/>
      <c r="E6" s="60"/>
      <c r="F6" s="58"/>
      <c r="G6" s="60"/>
      <c r="H6" s="60"/>
      <c r="N6" s="42">
        <f t="shared" si="0"/>
        <v>1</v>
      </c>
      <c r="O6" s="6">
        <f>$V$30/N6</f>
        <v>0</v>
      </c>
      <c r="P6" s="6" t="e">
        <f t="shared" si="1"/>
        <v>#DIV/0!</v>
      </c>
      <c r="Q6" s="6" t="e">
        <f t="shared" si="2"/>
        <v>#DIV/0!</v>
      </c>
      <c r="R6" s="6" t="e">
        <f t="shared" si="3"/>
        <v>#DIV/0!</v>
      </c>
      <c r="S6" s="6">
        <f t="shared" ref="S6:S13" si="5">D7</f>
        <v>0</v>
      </c>
      <c r="Z6" s="42">
        <f t="shared" si="4"/>
        <v>1</v>
      </c>
      <c r="AA6" s="6">
        <f t="shared" ref="AA6:AA13" si="6">$AA$17/Z6</f>
        <v>4.9613333333333332</v>
      </c>
      <c r="AB6" s="46">
        <f t="shared" ref="AB6:AB13" si="7">1/AA6</f>
        <v>0.20155872077398548</v>
      </c>
      <c r="AC6" s="6">
        <f t="shared" ref="AC6:AC13" si="8">AA6+AB6+2*$K$5</f>
        <v>5.1628920541073189</v>
      </c>
      <c r="AD6" s="6">
        <f>(2*$T$25*(1+$K$5))/(AB6+AA6+2*$K$5)</f>
        <v>0</v>
      </c>
      <c r="AE6" s="6">
        <f>$AB$17/Z6</f>
        <v>4.9613333333333332</v>
      </c>
      <c r="AF6" s="6">
        <f t="shared" ref="AF6:AF13" si="9">1/AE6</f>
        <v>0.20155872077398548</v>
      </c>
      <c r="AG6" s="6">
        <f>AF6+AE6+2*$K$5</f>
        <v>5.1628920541073189</v>
      </c>
      <c r="AH6" s="6">
        <f>(2*$T$25*(1+$K$5))/AG6</f>
        <v>0</v>
      </c>
      <c r="AI6" s="6">
        <f t="shared" ref="AI6:AI13" si="10">$A$5*(1-Z6)</f>
        <v>0</v>
      </c>
      <c r="AK6" s="1" t="s">
        <v>43</v>
      </c>
      <c r="AU6" s="17" t="s">
        <v>52</v>
      </c>
      <c r="AV6" s="7" t="s">
        <v>14</v>
      </c>
      <c r="AW6" s="22" t="e">
        <f>(3*AO10*AO10*62.5*62.5)/(2*$D$5*(62.5+$AO$12))</f>
        <v>#DIV/0!</v>
      </c>
      <c r="AX6" s="22" t="e">
        <f>(3*AO11*AO11*62.5*62.5)/(2*$D$5*(62.5+$AO$12))</f>
        <v>#DIV/0!</v>
      </c>
      <c r="AY6" s="22" t="e">
        <f>(3*$AO$10*$AO$10*62.5*62.5)/(2*$D$5*(62.5+$AO$12))</f>
        <v>#DIV/0!</v>
      </c>
      <c r="BD6" s="35">
        <f t="shared" ref="BD6:BD15" si="11">D5</f>
        <v>0</v>
      </c>
      <c r="BE6" s="36" t="e">
        <f t="shared" ref="BE6:BE15" si="12">BD6/$AW$7</f>
        <v>#DIV/0!</v>
      </c>
      <c r="BF6" s="36" t="e">
        <f t="shared" ref="BF6:BF15" si="13">1/BE6</f>
        <v>#DIV/0!</v>
      </c>
      <c r="BG6" s="36" t="e">
        <f t="shared" ref="BG6:BG15" si="14">BE6+BF6</f>
        <v>#DIV/0!</v>
      </c>
      <c r="BH6" s="36" t="e">
        <f t="shared" ref="BH6:BH15" si="15">(2*$AW$6)/BG6</f>
        <v>#DIV/0!</v>
      </c>
      <c r="BI6" s="37" t="e">
        <f t="shared" ref="BI6:BI15" si="16">(2*$AX$6)/BG6</f>
        <v>#DIV/0!</v>
      </c>
      <c r="BJ6" s="24" t="e">
        <f t="shared" ref="BJ6:BJ15" si="17">BD6/$AY$7</f>
        <v>#DIV/0!</v>
      </c>
      <c r="BK6" s="24" t="e">
        <f t="shared" ref="BK6:BK15" si="18">1/BJ6</f>
        <v>#DIV/0!</v>
      </c>
      <c r="BL6" s="24" t="e">
        <f t="shared" ref="BL6:BL14" si="19">BJ6+BK6</f>
        <v>#DIV/0!</v>
      </c>
      <c r="BM6" s="24" t="e">
        <f t="shared" ref="BM6:BM15" si="20">(2*$AY$6)/BL6</f>
        <v>#DIV/0!</v>
      </c>
    </row>
    <row r="7" spans="1:65" ht="18.600000000000001" thickBot="1" x14ac:dyDescent="0.35">
      <c r="A7" s="58"/>
      <c r="B7" s="60"/>
      <c r="C7" s="58"/>
      <c r="D7" s="60"/>
      <c r="E7" s="60"/>
      <c r="F7" s="58"/>
      <c r="G7" s="60"/>
      <c r="H7" s="60"/>
      <c r="N7" s="42">
        <f t="shared" si="0"/>
        <v>1</v>
      </c>
      <c r="O7" s="6">
        <f t="shared" ref="O7:O13" si="21">$V$30/N7</f>
        <v>0</v>
      </c>
      <c r="P7" s="6" t="e">
        <f t="shared" si="1"/>
        <v>#DIV/0!</v>
      </c>
      <c r="Q7" s="6" t="e">
        <f t="shared" si="2"/>
        <v>#DIV/0!</v>
      </c>
      <c r="R7" s="6" t="e">
        <f t="shared" si="3"/>
        <v>#DIV/0!</v>
      </c>
      <c r="S7" s="6">
        <f t="shared" si="5"/>
        <v>0</v>
      </c>
      <c r="Z7" s="42">
        <f t="shared" si="4"/>
        <v>1</v>
      </c>
      <c r="AA7" s="6">
        <f t="shared" si="6"/>
        <v>4.9613333333333332</v>
      </c>
      <c r="AB7" s="46">
        <f t="shared" si="7"/>
        <v>0.20155872077398548</v>
      </c>
      <c r="AC7" s="6">
        <f t="shared" si="8"/>
        <v>5.1628920541073189</v>
      </c>
      <c r="AD7" s="6">
        <f t="shared" ref="AD7:AD13" si="22">(2*$T$25*(1+$K$5))/(AB7+AA7+2*$K$5)</f>
        <v>0</v>
      </c>
      <c r="AE7" s="6">
        <f t="shared" ref="AE7:AE13" si="23">$AB$17/Z7</f>
        <v>4.9613333333333332</v>
      </c>
      <c r="AF7" s="6">
        <f t="shared" si="9"/>
        <v>0.20155872077398548</v>
      </c>
      <c r="AG7" s="6">
        <f t="shared" ref="AG7:AG13" si="24">AF7+AE7+2*$K$5</f>
        <v>5.1628920541073189</v>
      </c>
      <c r="AH7" s="6">
        <f t="shared" ref="AH7:AH13" si="25">(2*$T$25*(1+$K$5))/AG7</f>
        <v>0</v>
      </c>
      <c r="AI7" s="6">
        <f t="shared" si="10"/>
        <v>0</v>
      </c>
      <c r="AU7" s="19" t="s">
        <v>53</v>
      </c>
      <c r="AV7" s="7" t="s">
        <v>13</v>
      </c>
      <c r="AW7" s="23">
        <f>$D$5*(((0.7+2.5)*3.05*3.05)/(62.5+$AO$12))</f>
        <v>0</v>
      </c>
      <c r="AX7" s="23">
        <f>$D$5*(((0.7+2.5)*3.05*3.05)/(62.5+$AO$12))</f>
        <v>0</v>
      </c>
      <c r="AY7" s="23">
        <f>$D$5*(((0.7+6)*3.05*3.05)/(62.5+$AO$12))</f>
        <v>0</v>
      </c>
      <c r="BD7" s="35">
        <f t="shared" si="11"/>
        <v>0</v>
      </c>
      <c r="BE7" s="36" t="e">
        <f t="shared" si="12"/>
        <v>#DIV/0!</v>
      </c>
      <c r="BF7" s="36" t="e">
        <f t="shared" si="13"/>
        <v>#DIV/0!</v>
      </c>
      <c r="BG7" s="36" t="e">
        <f t="shared" si="14"/>
        <v>#DIV/0!</v>
      </c>
      <c r="BH7" s="36" t="e">
        <f t="shared" si="15"/>
        <v>#DIV/0!</v>
      </c>
      <c r="BI7" s="37" t="e">
        <f t="shared" si="16"/>
        <v>#DIV/0!</v>
      </c>
      <c r="BJ7" s="24" t="e">
        <f t="shared" si="17"/>
        <v>#DIV/0!</v>
      </c>
      <c r="BK7" s="24" t="e">
        <f t="shared" si="18"/>
        <v>#DIV/0!</v>
      </c>
      <c r="BL7" s="24" t="e">
        <f t="shared" si="19"/>
        <v>#DIV/0!</v>
      </c>
      <c r="BM7" s="24" t="e">
        <f t="shared" si="20"/>
        <v>#DIV/0!</v>
      </c>
    </row>
    <row r="8" spans="1:65" ht="18.600000000000001" thickBot="1" x14ac:dyDescent="0.35">
      <c r="A8" s="58"/>
      <c r="B8" s="60"/>
      <c r="C8" s="58"/>
      <c r="D8" s="60"/>
      <c r="E8" s="60"/>
      <c r="F8" s="58"/>
      <c r="G8" s="60"/>
      <c r="H8" s="60"/>
      <c r="N8" s="42">
        <f t="shared" si="0"/>
        <v>1</v>
      </c>
      <c r="O8" s="6">
        <f t="shared" si="21"/>
        <v>0</v>
      </c>
      <c r="P8" s="6" t="e">
        <f t="shared" si="1"/>
        <v>#DIV/0!</v>
      </c>
      <c r="Q8" s="6" t="e">
        <f t="shared" si="2"/>
        <v>#DIV/0!</v>
      </c>
      <c r="R8" s="6" t="e">
        <f t="shared" si="3"/>
        <v>#DIV/0!</v>
      </c>
      <c r="S8" s="6">
        <f t="shared" si="5"/>
        <v>0</v>
      </c>
      <c r="Z8" s="42">
        <f t="shared" si="4"/>
        <v>1</v>
      </c>
      <c r="AA8" s="6">
        <f t="shared" si="6"/>
        <v>4.9613333333333332</v>
      </c>
      <c r="AB8" s="46">
        <f t="shared" si="7"/>
        <v>0.20155872077398548</v>
      </c>
      <c r="AC8" s="6">
        <f t="shared" si="8"/>
        <v>5.1628920541073189</v>
      </c>
      <c r="AD8" s="6">
        <f t="shared" si="22"/>
        <v>0</v>
      </c>
      <c r="AE8" s="6">
        <f t="shared" si="23"/>
        <v>4.9613333333333332</v>
      </c>
      <c r="AF8" s="6">
        <f t="shared" si="9"/>
        <v>0.20155872077398548</v>
      </c>
      <c r="AG8" s="6">
        <f t="shared" si="24"/>
        <v>5.1628920541073189</v>
      </c>
      <c r="AH8" s="6">
        <f t="shared" si="25"/>
        <v>0</v>
      </c>
      <c r="AI8" s="6">
        <f t="shared" si="10"/>
        <v>0</v>
      </c>
      <c r="BD8" s="35">
        <f t="shared" si="11"/>
        <v>0</v>
      </c>
      <c r="BE8" s="36" t="e">
        <f t="shared" si="12"/>
        <v>#DIV/0!</v>
      </c>
      <c r="BF8" s="36" t="e">
        <f t="shared" si="13"/>
        <v>#DIV/0!</v>
      </c>
      <c r="BG8" s="36" t="e">
        <f t="shared" si="14"/>
        <v>#DIV/0!</v>
      </c>
      <c r="BH8" s="36" t="e">
        <f t="shared" si="15"/>
        <v>#DIV/0!</v>
      </c>
      <c r="BI8" s="37" t="e">
        <f t="shared" si="16"/>
        <v>#DIV/0!</v>
      </c>
      <c r="BJ8" s="24" t="e">
        <f t="shared" si="17"/>
        <v>#DIV/0!</v>
      </c>
      <c r="BK8" s="24" t="e">
        <f t="shared" si="18"/>
        <v>#DIV/0!</v>
      </c>
      <c r="BL8" s="24" t="e">
        <f t="shared" si="19"/>
        <v>#DIV/0!</v>
      </c>
      <c r="BM8" s="24" t="e">
        <f t="shared" si="20"/>
        <v>#DIV/0!</v>
      </c>
    </row>
    <row r="9" spans="1:65" ht="18.600000000000001" thickBot="1" x14ac:dyDescent="0.35">
      <c r="A9" s="58"/>
      <c r="B9" s="60"/>
      <c r="C9" s="58"/>
      <c r="D9" s="60"/>
      <c r="E9" s="60"/>
      <c r="F9" s="58"/>
      <c r="G9" s="60"/>
      <c r="H9" s="60"/>
      <c r="N9" s="42">
        <f t="shared" si="0"/>
        <v>1</v>
      </c>
      <c r="O9" s="6">
        <f t="shared" si="21"/>
        <v>0</v>
      </c>
      <c r="P9" s="6" t="e">
        <f t="shared" si="1"/>
        <v>#DIV/0!</v>
      </c>
      <c r="Q9" s="6" t="e">
        <f t="shared" si="2"/>
        <v>#DIV/0!</v>
      </c>
      <c r="R9" s="6" t="e">
        <f t="shared" si="3"/>
        <v>#DIV/0!</v>
      </c>
      <c r="S9" s="6">
        <f t="shared" si="5"/>
        <v>0</v>
      </c>
      <c r="Z9" s="42">
        <f t="shared" si="4"/>
        <v>1</v>
      </c>
      <c r="AA9" s="6">
        <f t="shared" si="6"/>
        <v>4.9613333333333332</v>
      </c>
      <c r="AB9" s="46">
        <f t="shared" si="7"/>
        <v>0.20155872077398548</v>
      </c>
      <c r="AC9" s="6">
        <f t="shared" si="8"/>
        <v>5.1628920541073189</v>
      </c>
      <c r="AD9" s="6">
        <f t="shared" si="22"/>
        <v>0</v>
      </c>
      <c r="AE9" s="6">
        <f t="shared" si="23"/>
        <v>4.9613333333333332</v>
      </c>
      <c r="AF9" s="6">
        <f t="shared" si="9"/>
        <v>0.20155872077398548</v>
      </c>
      <c r="AG9" s="6">
        <f t="shared" si="24"/>
        <v>5.1628920541073189</v>
      </c>
      <c r="AH9" s="6">
        <f t="shared" si="25"/>
        <v>0</v>
      </c>
      <c r="AI9" s="6">
        <f t="shared" si="10"/>
        <v>0</v>
      </c>
      <c r="BD9" s="35">
        <f t="shared" si="11"/>
        <v>0</v>
      </c>
      <c r="BE9" s="36" t="e">
        <f t="shared" si="12"/>
        <v>#DIV/0!</v>
      </c>
      <c r="BF9" s="36" t="e">
        <f t="shared" si="13"/>
        <v>#DIV/0!</v>
      </c>
      <c r="BG9" s="36" t="e">
        <f t="shared" si="14"/>
        <v>#DIV/0!</v>
      </c>
      <c r="BH9" s="36" t="e">
        <f t="shared" si="15"/>
        <v>#DIV/0!</v>
      </c>
      <c r="BI9" s="37" t="e">
        <f t="shared" si="16"/>
        <v>#DIV/0!</v>
      </c>
      <c r="BJ9" s="24" t="e">
        <f t="shared" si="17"/>
        <v>#DIV/0!</v>
      </c>
      <c r="BK9" s="24" t="e">
        <f t="shared" si="18"/>
        <v>#DIV/0!</v>
      </c>
      <c r="BL9" s="24" t="e">
        <f t="shared" si="19"/>
        <v>#DIV/0!</v>
      </c>
      <c r="BM9" s="24" t="e">
        <f t="shared" si="20"/>
        <v>#DIV/0!</v>
      </c>
    </row>
    <row r="10" spans="1:65" ht="24" thickBot="1" x14ac:dyDescent="0.35">
      <c r="A10" s="58"/>
      <c r="B10" s="60"/>
      <c r="C10" s="58"/>
      <c r="D10" s="60"/>
      <c r="E10" s="60"/>
      <c r="F10" s="58"/>
      <c r="G10" s="60"/>
      <c r="H10" s="60"/>
      <c r="N10" s="42">
        <f t="shared" si="0"/>
        <v>1</v>
      </c>
      <c r="O10" s="6">
        <f t="shared" si="21"/>
        <v>0</v>
      </c>
      <c r="P10" s="6" t="e">
        <f t="shared" si="1"/>
        <v>#DIV/0!</v>
      </c>
      <c r="Q10" s="6" t="e">
        <f t="shared" si="2"/>
        <v>#DIV/0!</v>
      </c>
      <c r="R10" s="6" t="e">
        <f t="shared" si="3"/>
        <v>#DIV/0!</v>
      </c>
      <c r="S10" s="6">
        <f t="shared" si="5"/>
        <v>0</v>
      </c>
      <c r="Z10" s="42">
        <f t="shared" si="4"/>
        <v>1</v>
      </c>
      <c r="AA10" s="6">
        <f t="shared" si="6"/>
        <v>4.9613333333333332</v>
      </c>
      <c r="AB10" s="46">
        <f t="shared" si="7"/>
        <v>0.20155872077398548</v>
      </c>
      <c r="AC10" s="6">
        <f t="shared" si="8"/>
        <v>5.1628920541073189</v>
      </c>
      <c r="AD10" s="6">
        <f t="shared" si="22"/>
        <v>0</v>
      </c>
      <c r="AE10" s="6">
        <f t="shared" si="23"/>
        <v>4.9613333333333332</v>
      </c>
      <c r="AF10" s="6">
        <f t="shared" si="9"/>
        <v>0.20155872077398548</v>
      </c>
      <c r="AG10" s="6">
        <f t="shared" si="24"/>
        <v>5.1628920541073189</v>
      </c>
      <c r="AH10" s="6">
        <f t="shared" si="25"/>
        <v>0</v>
      </c>
      <c r="AI10" s="6">
        <f t="shared" si="10"/>
        <v>0</v>
      </c>
      <c r="AN10" t="s">
        <v>54</v>
      </c>
      <c r="AO10">
        <v>2.6</v>
      </c>
      <c r="AS10" s="8" t="s">
        <v>22</v>
      </c>
      <c r="BD10" s="35">
        <f t="shared" si="11"/>
        <v>0</v>
      </c>
      <c r="BE10" s="36" t="e">
        <f t="shared" si="12"/>
        <v>#DIV/0!</v>
      </c>
      <c r="BF10" s="36" t="e">
        <f t="shared" si="13"/>
        <v>#DIV/0!</v>
      </c>
      <c r="BG10" s="36" t="e">
        <f t="shared" si="14"/>
        <v>#DIV/0!</v>
      </c>
      <c r="BH10" s="36" t="e">
        <f t="shared" si="15"/>
        <v>#DIV/0!</v>
      </c>
      <c r="BI10" s="37" t="e">
        <f t="shared" si="16"/>
        <v>#DIV/0!</v>
      </c>
      <c r="BJ10" s="24" t="e">
        <f t="shared" si="17"/>
        <v>#DIV/0!</v>
      </c>
      <c r="BK10" s="24" t="e">
        <f t="shared" si="18"/>
        <v>#DIV/0!</v>
      </c>
      <c r="BL10" s="24" t="e">
        <f t="shared" si="19"/>
        <v>#DIV/0!</v>
      </c>
      <c r="BM10" s="24" t="e">
        <f t="shared" si="20"/>
        <v>#DIV/0!</v>
      </c>
    </row>
    <row r="11" spans="1:65" ht="21.6" thickBot="1" x14ac:dyDescent="0.35">
      <c r="A11" s="58"/>
      <c r="B11" s="60"/>
      <c r="C11" s="58"/>
      <c r="D11" s="60"/>
      <c r="E11" s="60"/>
      <c r="F11" s="58"/>
      <c r="G11" s="60"/>
      <c r="H11" s="60"/>
      <c r="N11" s="42">
        <f t="shared" si="0"/>
        <v>1</v>
      </c>
      <c r="O11" s="6">
        <f t="shared" si="21"/>
        <v>0</v>
      </c>
      <c r="P11" s="6" t="e">
        <f t="shared" si="1"/>
        <v>#DIV/0!</v>
      </c>
      <c r="Q11" s="6" t="e">
        <f t="shared" si="2"/>
        <v>#DIV/0!</v>
      </c>
      <c r="R11" s="6" t="e">
        <f t="shared" si="3"/>
        <v>#DIV/0!</v>
      </c>
      <c r="S11" s="6">
        <f t="shared" si="5"/>
        <v>0</v>
      </c>
      <c r="Z11" s="42">
        <f t="shared" si="4"/>
        <v>1</v>
      </c>
      <c r="AA11" s="6">
        <f t="shared" si="6"/>
        <v>4.9613333333333332</v>
      </c>
      <c r="AB11" s="46">
        <f t="shared" si="7"/>
        <v>0.20155872077398548</v>
      </c>
      <c r="AC11" s="6">
        <f t="shared" si="8"/>
        <v>5.1628920541073189</v>
      </c>
      <c r="AD11" s="6">
        <f t="shared" si="22"/>
        <v>0</v>
      </c>
      <c r="AE11" s="6">
        <f t="shared" si="23"/>
        <v>4.9613333333333332</v>
      </c>
      <c r="AF11" s="6">
        <f t="shared" si="9"/>
        <v>0.20155872077398548</v>
      </c>
      <c r="AG11" s="6">
        <f t="shared" si="24"/>
        <v>5.1628920541073189</v>
      </c>
      <c r="AH11" s="6">
        <f t="shared" si="25"/>
        <v>0</v>
      </c>
      <c r="AI11" s="6">
        <f t="shared" si="10"/>
        <v>0</v>
      </c>
      <c r="AN11" t="s">
        <v>55</v>
      </c>
      <c r="AO11">
        <v>3.95</v>
      </c>
      <c r="AS11" s="8" t="s">
        <v>23</v>
      </c>
      <c r="BD11" s="35">
        <f t="shared" si="11"/>
        <v>0</v>
      </c>
      <c r="BE11" s="36" t="e">
        <f t="shared" si="12"/>
        <v>#DIV/0!</v>
      </c>
      <c r="BF11" s="36" t="e">
        <f t="shared" si="13"/>
        <v>#DIV/0!</v>
      </c>
      <c r="BG11" s="36" t="e">
        <f t="shared" si="14"/>
        <v>#DIV/0!</v>
      </c>
      <c r="BH11" s="36" t="e">
        <f t="shared" si="15"/>
        <v>#DIV/0!</v>
      </c>
      <c r="BI11" s="37" t="e">
        <f t="shared" si="16"/>
        <v>#DIV/0!</v>
      </c>
      <c r="BJ11" s="24" t="e">
        <f t="shared" si="17"/>
        <v>#DIV/0!</v>
      </c>
      <c r="BK11" s="24" t="e">
        <f t="shared" si="18"/>
        <v>#DIV/0!</v>
      </c>
      <c r="BL11" s="24" t="e">
        <f t="shared" si="19"/>
        <v>#DIV/0!</v>
      </c>
      <c r="BM11" s="24" t="e">
        <f t="shared" si="20"/>
        <v>#DIV/0!</v>
      </c>
    </row>
    <row r="12" spans="1:65" ht="18.600000000000001" thickBot="1" x14ac:dyDescent="0.35">
      <c r="A12" s="58"/>
      <c r="B12" s="60"/>
      <c r="C12" s="58"/>
      <c r="D12" s="60"/>
      <c r="E12" s="60"/>
      <c r="F12" s="58"/>
      <c r="G12" s="60"/>
      <c r="H12" s="60"/>
      <c r="N12" s="42">
        <f t="shared" si="0"/>
        <v>1</v>
      </c>
      <c r="O12" s="6">
        <f t="shared" si="21"/>
        <v>0</v>
      </c>
      <c r="P12" s="6" t="e">
        <f t="shared" si="1"/>
        <v>#DIV/0!</v>
      </c>
      <c r="Q12" s="6" t="e">
        <f t="shared" si="2"/>
        <v>#DIV/0!</v>
      </c>
      <c r="R12" s="6" t="e">
        <f t="shared" si="3"/>
        <v>#DIV/0!</v>
      </c>
      <c r="S12" s="6">
        <f t="shared" si="5"/>
        <v>0</v>
      </c>
      <c r="Z12" s="42">
        <f t="shared" si="4"/>
        <v>1</v>
      </c>
      <c r="AA12" s="6">
        <f t="shared" si="6"/>
        <v>4.9613333333333332</v>
      </c>
      <c r="AB12" s="46">
        <f t="shared" si="7"/>
        <v>0.20155872077398548</v>
      </c>
      <c r="AC12" s="6">
        <f t="shared" si="8"/>
        <v>5.1628920541073189</v>
      </c>
      <c r="AD12" s="6">
        <f t="shared" si="22"/>
        <v>0</v>
      </c>
      <c r="AE12" s="6">
        <f t="shared" si="23"/>
        <v>4.9613333333333332</v>
      </c>
      <c r="AF12" s="6">
        <f t="shared" si="9"/>
        <v>0.20155872077398548</v>
      </c>
      <c r="AG12" s="6">
        <f t="shared" si="24"/>
        <v>5.1628920541073189</v>
      </c>
      <c r="AH12" s="6">
        <f t="shared" si="25"/>
        <v>0</v>
      </c>
      <c r="AI12" s="6">
        <f t="shared" si="10"/>
        <v>0</v>
      </c>
      <c r="AN12" t="s">
        <v>56</v>
      </c>
      <c r="AO12" s="10">
        <f>0.57*3.05*3.05</f>
        <v>5.3024249999999986</v>
      </c>
      <c r="AS12" s="8" t="s">
        <v>24</v>
      </c>
      <c r="BD12" s="35">
        <f t="shared" si="11"/>
        <v>0</v>
      </c>
      <c r="BE12" s="36" t="e">
        <f t="shared" si="12"/>
        <v>#DIV/0!</v>
      </c>
      <c r="BF12" s="36" t="e">
        <f t="shared" si="13"/>
        <v>#DIV/0!</v>
      </c>
      <c r="BG12" s="36" t="e">
        <f t="shared" si="14"/>
        <v>#DIV/0!</v>
      </c>
      <c r="BH12" s="36" t="e">
        <f t="shared" si="15"/>
        <v>#DIV/0!</v>
      </c>
      <c r="BI12" s="37" t="e">
        <f t="shared" si="16"/>
        <v>#DIV/0!</v>
      </c>
      <c r="BJ12" s="24" t="e">
        <f t="shared" si="17"/>
        <v>#DIV/0!</v>
      </c>
      <c r="BK12" s="24" t="e">
        <f t="shared" si="18"/>
        <v>#DIV/0!</v>
      </c>
      <c r="BL12" s="24" t="e">
        <f t="shared" si="19"/>
        <v>#DIV/0!</v>
      </c>
      <c r="BM12" s="24" t="e">
        <f t="shared" si="20"/>
        <v>#DIV/0!</v>
      </c>
    </row>
    <row r="13" spans="1:65" ht="23.4" thickBot="1" x14ac:dyDescent="0.35">
      <c r="A13" s="58"/>
      <c r="B13" s="60"/>
      <c r="C13" s="58"/>
      <c r="D13" s="60"/>
      <c r="E13" s="60"/>
      <c r="F13" s="58"/>
      <c r="G13" s="60"/>
      <c r="H13" s="60"/>
      <c r="N13" s="42">
        <f>B45</f>
        <v>1</v>
      </c>
      <c r="O13" s="6">
        <f t="shared" si="21"/>
        <v>0</v>
      </c>
      <c r="P13" s="6" t="e">
        <f t="shared" si="1"/>
        <v>#DIV/0!</v>
      </c>
      <c r="Q13" s="6" t="e">
        <f t="shared" si="2"/>
        <v>#DIV/0!</v>
      </c>
      <c r="R13" s="6" t="e">
        <f t="shared" si="3"/>
        <v>#DIV/0!</v>
      </c>
      <c r="S13" s="6">
        <f t="shared" si="5"/>
        <v>0</v>
      </c>
      <c r="Z13" s="42">
        <f t="shared" si="4"/>
        <v>1</v>
      </c>
      <c r="AA13" s="6">
        <f t="shared" si="6"/>
        <v>4.9613333333333332</v>
      </c>
      <c r="AB13" s="46">
        <f t="shared" si="7"/>
        <v>0.20155872077398548</v>
      </c>
      <c r="AC13" s="6">
        <f t="shared" si="8"/>
        <v>5.1628920541073189</v>
      </c>
      <c r="AD13" s="6">
        <f t="shared" si="22"/>
        <v>0</v>
      </c>
      <c r="AE13" s="6">
        <f t="shared" si="23"/>
        <v>4.9613333333333332</v>
      </c>
      <c r="AF13" s="6">
        <f t="shared" si="9"/>
        <v>0.20155872077398548</v>
      </c>
      <c r="AG13" s="6">
        <f t="shared" si="24"/>
        <v>5.1628920541073189</v>
      </c>
      <c r="AH13" s="6">
        <f t="shared" si="25"/>
        <v>0</v>
      </c>
      <c r="AI13" s="6">
        <f t="shared" si="10"/>
        <v>0</v>
      </c>
      <c r="AS13" s="8" t="s">
        <v>25</v>
      </c>
      <c r="BD13" s="35">
        <f t="shared" si="11"/>
        <v>0</v>
      </c>
      <c r="BE13" s="36" t="e">
        <f t="shared" si="12"/>
        <v>#DIV/0!</v>
      </c>
      <c r="BF13" s="36" t="e">
        <f t="shared" si="13"/>
        <v>#DIV/0!</v>
      </c>
      <c r="BG13" s="36" t="e">
        <f t="shared" si="14"/>
        <v>#DIV/0!</v>
      </c>
      <c r="BH13" s="36" t="e">
        <f t="shared" si="15"/>
        <v>#DIV/0!</v>
      </c>
      <c r="BI13" s="37" t="e">
        <f t="shared" si="16"/>
        <v>#DIV/0!</v>
      </c>
      <c r="BJ13" s="24" t="e">
        <f t="shared" si="17"/>
        <v>#DIV/0!</v>
      </c>
      <c r="BK13" s="24" t="e">
        <f t="shared" si="18"/>
        <v>#DIV/0!</v>
      </c>
      <c r="BL13" s="24" t="e">
        <f t="shared" si="19"/>
        <v>#DIV/0!</v>
      </c>
      <c r="BM13" s="24" t="e">
        <f t="shared" si="20"/>
        <v>#DIV/0!</v>
      </c>
    </row>
    <row r="14" spans="1:65" ht="89.25" customHeight="1" thickBot="1" x14ac:dyDescent="0.35">
      <c r="A14" s="58"/>
      <c r="B14" s="60"/>
      <c r="C14" s="58"/>
      <c r="D14" s="60"/>
      <c r="E14" s="60"/>
      <c r="F14" s="58"/>
      <c r="G14" s="60"/>
      <c r="H14" s="58"/>
      <c r="AS14" s="9" t="s">
        <v>26</v>
      </c>
      <c r="BD14" s="35">
        <f t="shared" si="11"/>
        <v>0</v>
      </c>
      <c r="BE14" s="36" t="e">
        <f t="shared" si="12"/>
        <v>#DIV/0!</v>
      </c>
      <c r="BF14" s="36" t="e">
        <f t="shared" si="13"/>
        <v>#DIV/0!</v>
      </c>
      <c r="BG14" s="36" t="e">
        <f t="shared" si="14"/>
        <v>#DIV/0!</v>
      </c>
      <c r="BH14" s="36" t="e">
        <f t="shared" si="15"/>
        <v>#DIV/0!</v>
      </c>
      <c r="BI14" s="37" t="e">
        <f t="shared" si="16"/>
        <v>#DIV/0!</v>
      </c>
      <c r="BJ14" s="24" t="e">
        <f t="shared" si="17"/>
        <v>#DIV/0!</v>
      </c>
      <c r="BK14" s="24" t="e">
        <f t="shared" si="18"/>
        <v>#DIV/0!</v>
      </c>
      <c r="BL14" s="24" t="e">
        <f t="shared" si="19"/>
        <v>#DIV/0!</v>
      </c>
      <c r="BM14" s="24" t="e">
        <f t="shared" si="20"/>
        <v>#DIV/0!</v>
      </c>
    </row>
    <row r="15" spans="1:65" ht="18.600000000000001" thickBot="1" x14ac:dyDescent="0.35">
      <c r="AU15" t="s">
        <v>61</v>
      </c>
      <c r="AV15" s="43">
        <f>1.52*2.1</f>
        <v>3.1920000000000002</v>
      </c>
      <c r="BD15" s="35">
        <f t="shared" si="11"/>
        <v>0</v>
      </c>
      <c r="BE15" s="36" t="e">
        <f t="shared" si="12"/>
        <v>#DIV/0!</v>
      </c>
      <c r="BF15" s="36" t="e">
        <f t="shared" si="13"/>
        <v>#DIV/0!</v>
      </c>
      <c r="BG15" s="36" t="e">
        <f t="shared" si="14"/>
        <v>#DIV/0!</v>
      </c>
      <c r="BH15" s="36" t="e">
        <f t="shared" si="15"/>
        <v>#DIV/0!</v>
      </c>
      <c r="BI15" s="37" t="e">
        <f t="shared" si="16"/>
        <v>#DIV/0!</v>
      </c>
      <c r="BJ15" s="24" t="e">
        <f t="shared" si="17"/>
        <v>#DIV/0!</v>
      </c>
      <c r="BK15" s="24" t="e">
        <f t="shared" si="18"/>
        <v>#DIV/0!</v>
      </c>
      <c r="BL15" s="24" t="e">
        <f>BJ15+BK15</f>
        <v>#DIV/0!</v>
      </c>
      <c r="BM15" s="24" t="e">
        <f t="shared" si="20"/>
        <v>#DIV/0!</v>
      </c>
    </row>
    <row r="16" spans="1:65" ht="18.600000000000001" thickBot="1" x14ac:dyDescent="0.35">
      <c r="A16" s="58"/>
      <c r="B16" s="60"/>
      <c r="C16" s="58"/>
      <c r="D16" s="60"/>
      <c r="E16" s="60"/>
      <c r="F16" s="58"/>
      <c r="G16" s="60"/>
      <c r="H16" s="60"/>
      <c r="AA16" t="s">
        <v>41</v>
      </c>
      <c r="AB16" t="s">
        <v>40</v>
      </c>
      <c r="AV16" s="41">
        <f>1.52*3.2</f>
        <v>4.8640000000000008</v>
      </c>
    </row>
    <row r="17" spans="1:48" ht="18.600000000000001" thickBot="1" x14ac:dyDescent="0.35">
      <c r="Z17" t="s">
        <v>36</v>
      </c>
      <c r="AA17" s="10">
        <f>(AA20)/(SQRT(36+I20*I20))</f>
        <v>4.9613333333333332</v>
      </c>
      <c r="AB17" s="10">
        <f>(AA20)/(SQRT(36+I21*I21))</f>
        <v>4.9613333333333332</v>
      </c>
      <c r="AV17" s="42">
        <f>1.52*3.4</f>
        <v>5.1680000000000001</v>
      </c>
    </row>
    <row r="18" spans="1:48" ht="18.600000000000001" thickBot="1" x14ac:dyDescent="0.35">
      <c r="Z18" t="s">
        <v>37</v>
      </c>
      <c r="AA18" s="10">
        <f>-$AA$17</f>
        <v>-4.9613333333333332</v>
      </c>
      <c r="AB18" s="10">
        <f>-$AB$17</f>
        <v>-4.9613333333333332</v>
      </c>
      <c r="AV18" s="42">
        <f>1.52*3.4</f>
        <v>5.1680000000000001</v>
      </c>
    </row>
    <row r="19" spans="1:48" ht="18.600000000000001" thickBot="1" x14ac:dyDescent="0.35">
      <c r="A19" s="39"/>
      <c r="AV19" s="42">
        <f>1.52*3.4</f>
        <v>5.1680000000000001</v>
      </c>
    </row>
    <row r="20" spans="1:48" ht="18.600000000000001" thickBot="1" x14ac:dyDescent="0.35">
      <c r="I20" s="10"/>
      <c r="R20" s="11"/>
      <c r="Z20" t="s">
        <v>38</v>
      </c>
      <c r="AA20" s="10">
        <f>(0.7+2.5)*3.05*3.05</f>
        <v>29.767999999999997</v>
      </c>
      <c r="AV20" s="42">
        <f>1.52*3.3</f>
        <v>5.016</v>
      </c>
    </row>
    <row r="21" spans="1:48" ht="18.600000000000001" thickBot="1" x14ac:dyDescent="0.35">
      <c r="B21" s="40"/>
      <c r="R21" s="11"/>
      <c r="Z21" t="s">
        <v>39</v>
      </c>
      <c r="AA21" s="10">
        <f>(0.7+6)*3.05*3.05</f>
        <v>62.32674999999999</v>
      </c>
      <c r="AV21" s="42">
        <f>1.52*3.1</f>
        <v>4.7120000000000006</v>
      </c>
    </row>
    <row r="22" spans="1:48" ht="18.600000000000001" thickBot="1" x14ac:dyDescent="0.4">
      <c r="B22" s="40"/>
      <c r="R22" s="1"/>
      <c r="AV22" s="42">
        <f>1.52*3.03</f>
        <v>4.6055999999999999</v>
      </c>
    </row>
    <row r="23" spans="1:48" ht="24" thickBot="1" x14ac:dyDescent="0.35">
      <c r="B23" s="40"/>
      <c r="H23" s="8" t="s">
        <v>22</v>
      </c>
      <c r="AV23" s="42">
        <f>1.52*2.75</f>
        <v>4.18</v>
      </c>
    </row>
    <row r="24" spans="1:48" ht="21.6" thickBot="1" x14ac:dyDescent="0.35">
      <c r="B24" s="40"/>
      <c r="H24" s="8" t="s">
        <v>23</v>
      </c>
      <c r="AV24" s="42">
        <f>1.52*2.5</f>
        <v>3.8</v>
      </c>
    </row>
    <row r="25" spans="1:48" ht="18.600000000000001" thickBot="1" x14ac:dyDescent="0.35">
      <c r="B25" s="40"/>
      <c r="H25" s="8" t="s">
        <v>24</v>
      </c>
      <c r="T25" s="10"/>
      <c r="W25" s="10"/>
      <c r="AV25" s="42">
        <f>1.52*2.33</f>
        <v>3.5416000000000003</v>
      </c>
    </row>
    <row r="26" spans="1:48" ht="36" customHeight="1" thickBot="1" x14ac:dyDescent="0.35">
      <c r="B26" s="40"/>
      <c r="H26" s="8" t="s">
        <v>25</v>
      </c>
      <c r="AV26" s="42">
        <f>1.52*2.25</f>
        <v>3.42</v>
      </c>
    </row>
    <row r="27" spans="1:48" ht="21.6" customHeight="1" x14ac:dyDescent="0.35">
      <c r="B27" s="40"/>
      <c r="H27" s="9"/>
      <c r="Q27" s="1"/>
    </row>
    <row r="28" spans="1:48" ht="21" customHeight="1" x14ac:dyDescent="0.3">
      <c r="B28" s="40"/>
      <c r="H28" s="9"/>
    </row>
    <row r="29" spans="1:48" x14ac:dyDescent="0.3">
      <c r="B29" s="40"/>
      <c r="R29" s="10"/>
      <c r="V29" s="10"/>
    </row>
    <row r="30" spans="1:48" x14ac:dyDescent="0.3">
      <c r="B30" s="40"/>
      <c r="R30" s="10"/>
      <c r="V30" s="10"/>
    </row>
    <row r="31" spans="1:48" ht="16.2" thickBot="1" x14ac:dyDescent="0.35">
      <c r="B31" s="40"/>
      <c r="K31" s="39"/>
    </row>
    <row r="32" spans="1:48" ht="18.600000000000001" thickBot="1" x14ac:dyDescent="0.35">
      <c r="E32" s="12" t="s">
        <v>6</v>
      </c>
      <c r="F32" s="38" t="s">
        <v>7</v>
      </c>
      <c r="G32" s="38" t="s">
        <v>8</v>
      </c>
      <c r="H32" s="88" t="s">
        <v>9</v>
      </c>
      <c r="I32" s="89"/>
    </row>
    <row r="33" spans="1:62" ht="18.600000000000001" thickBot="1" x14ac:dyDescent="0.35">
      <c r="E33" s="4" t="s">
        <v>14</v>
      </c>
      <c r="F33" s="2" t="s">
        <v>14</v>
      </c>
      <c r="G33" s="2" t="s">
        <v>14</v>
      </c>
      <c r="H33" s="88" t="s">
        <v>14</v>
      </c>
      <c r="I33" s="89"/>
      <c r="U33" s="12" t="s">
        <v>6</v>
      </c>
      <c r="V33" s="38" t="s">
        <v>7</v>
      </c>
      <c r="W33" s="38" t="s">
        <v>8</v>
      </c>
      <c r="X33" s="38" t="s">
        <v>9</v>
      </c>
    </row>
    <row r="34" spans="1:62" ht="18.600000000000001" thickBot="1" x14ac:dyDescent="0.35">
      <c r="E34" s="4">
        <v>0</v>
      </c>
      <c r="F34" s="2">
        <v>1.1499999999999999</v>
      </c>
      <c r="G34" s="88">
        <v>1.1499999999999999</v>
      </c>
      <c r="H34" s="89"/>
      <c r="I34" s="90">
        <f>G34*POWER((380/(3*380)),2)</f>
        <v>0.12777777777777777</v>
      </c>
      <c r="J34" s="91"/>
      <c r="U34" s="4" t="s">
        <v>14</v>
      </c>
      <c r="V34" s="2" t="s">
        <v>14</v>
      </c>
      <c r="W34" s="2" t="s">
        <v>14</v>
      </c>
      <c r="X34" s="2" t="s">
        <v>14</v>
      </c>
    </row>
    <row r="35" spans="1:62" ht="18.600000000000001" thickBot="1" x14ac:dyDescent="0.35">
      <c r="E35" s="4">
        <v>1.292</v>
      </c>
      <c r="F35" s="2">
        <v>1.1499999999999999</v>
      </c>
      <c r="G35" s="88">
        <v>-0.14199999999999999</v>
      </c>
      <c r="H35" s="89"/>
      <c r="I35" s="90">
        <f t="shared" ref="I35:I43" si="26">G35*POWER((380/(3*380)),2)</f>
        <v>-1.5777777777777776E-2</v>
      </c>
      <c r="J35" s="91"/>
      <c r="U35" s="102" t="s">
        <v>62</v>
      </c>
      <c r="V35" s="103"/>
      <c r="W35" s="103"/>
      <c r="X35" s="103"/>
      <c r="Y35" s="104"/>
    </row>
    <row r="36" spans="1:62" ht="18.600000000000001" thickBot="1" x14ac:dyDescent="0.35">
      <c r="A36" s="12">
        <v>1.1499999999999999</v>
      </c>
      <c r="B36" s="40">
        <f>(C$55-S4)/C$55</f>
        <v>1</v>
      </c>
      <c r="C36" s="12">
        <v>1.1499999999999999</v>
      </c>
      <c r="E36" s="4">
        <v>7.6</v>
      </c>
      <c r="F36" s="2">
        <v>1.1499999999999999</v>
      </c>
      <c r="G36" s="88">
        <v>-6.45</v>
      </c>
      <c r="H36" s="89"/>
      <c r="I36" s="90">
        <f t="shared" si="26"/>
        <v>-0.71666666666666667</v>
      </c>
      <c r="J36" s="91"/>
      <c r="U36" s="44">
        <v>3.1920000000000002</v>
      </c>
      <c r="V36" s="2">
        <v>1.1499999999999999</v>
      </c>
      <c r="W36" s="2">
        <v>-2.0419999999999998</v>
      </c>
      <c r="X36" s="46">
        <f>W36*POWER((380/(3*380)),2)</f>
        <v>-0.22688888888888886</v>
      </c>
    </row>
    <row r="37" spans="1:62" ht="18.600000000000001" thickBot="1" x14ac:dyDescent="0.35">
      <c r="A37" s="4">
        <v>-0.14199999999999999</v>
      </c>
      <c r="B37" s="40">
        <f t="shared" ref="B37:B45" si="27">(C$55-S5)/C$55</f>
        <v>1</v>
      </c>
      <c r="C37" s="4">
        <v>-0.14199999999999999</v>
      </c>
      <c r="E37" s="4">
        <v>1.1399999999999999</v>
      </c>
      <c r="F37" s="2">
        <v>1.05</v>
      </c>
      <c r="G37" s="88">
        <v>2.19</v>
      </c>
      <c r="H37" s="89"/>
      <c r="I37" s="90">
        <f t="shared" si="26"/>
        <v>0.24333333333333332</v>
      </c>
      <c r="J37" s="91"/>
      <c r="U37" s="45">
        <v>4.8639999999999999</v>
      </c>
      <c r="V37" s="2">
        <v>1.3</v>
      </c>
      <c r="W37" s="2">
        <v>-3.5640000000000001</v>
      </c>
      <c r="X37" s="46">
        <f t="shared" ref="X37:X47" si="28">W37*POWER((380/(3*380)),2)</f>
        <v>-0.39599999999999996</v>
      </c>
    </row>
    <row r="38" spans="1:62" ht="18.600000000000001" thickBot="1" x14ac:dyDescent="0.35">
      <c r="A38" s="4">
        <v>-6.45</v>
      </c>
      <c r="B38" s="40">
        <f t="shared" si="27"/>
        <v>1</v>
      </c>
      <c r="C38" s="4">
        <v>-6.45</v>
      </c>
      <c r="E38" s="4">
        <v>3.8</v>
      </c>
      <c r="F38" s="2">
        <v>1</v>
      </c>
      <c r="G38" s="88">
        <v>4.8</v>
      </c>
      <c r="H38" s="89"/>
      <c r="I38" s="90">
        <f t="shared" si="26"/>
        <v>0.53333333333333333</v>
      </c>
      <c r="J38" s="91"/>
      <c r="U38" s="45">
        <v>5.1680000000000001</v>
      </c>
      <c r="V38" s="2">
        <v>1.1499999999999999</v>
      </c>
      <c r="W38" s="2">
        <v>6.3179999999999996</v>
      </c>
      <c r="X38" s="46">
        <f t="shared" si="28"/>
        <v>0.70199999999999996</v>
      </c>
    </row>
    <row r="39" spans="1:62" ht="18.600000000000001" thickBot="1" x14ac:dyDescent="0.35">
      <c r="A39" s="4">
        <v>2.19</v>
      </c>
      <c r="B39" s="40">
        <f t="shared" si="27"/>
        <v>1</v>
      </c>
      <c r="C39" s="4">
        <v>2.19</v>
      </c>
      <c r="E39" s="4">
        <v>5.7</v>
      </c>
      <c r="F39" s="2">
        <v>1</v>
      </c>
      <c r="G39" s="88">
        <v>6.7</v>
      </c>
      <c r="H39" s="89"/>
      <c r="I39" s="90">
        <f t="shared" si="26"/>
        <v>0.74444444444444446</v>
      </c>
      <c r="J39" s="91"/>
      <c r="U39" s="45">
        <v>5.1680000000000001</v>
      </c>
      <c r="V39" s="2">
        <v>1.05</v>
      </c>
      <c r="W39" s="2">
        <v>6.218</v>
      </c>
      <c r="X39" s="46">
        <f t="shared" si="28"/>
        <v>0.69088888888888889</v>
      </c>
    </row>
    <row r="40" spans="1:62" ht="18.600000000000001" thickBot="1" x14ac:dyDescent="0.35">
      <c r="A40" s="4">
        <v>4.8</v>
      </c>
      <c r="B40" s="40">
        <f t="shared" si="27"/>
        <v>1</v>
      </c>
      <c r="C40" s="4">
        <v>4.8</v>
      </c>
      <c r="E40" s="4">
        <v>5.7759999999999998</v>
      </c>
      <c r="F40" s="2">
        <v>1</v>
      </c>
      <c r="G40" s="88">
        <v>3.7759999999999998</v>
      </c>
      <c r="H40" s="89"/>
      <c r="I40" s="90">
        <f t="shared" si="26"/>
        <v>0.41955555555555551</v>
      </c>
      <c r="J40" s="91"/>
      <c r="U40" s="45">
        <v>5.1680000000000001</v>
      </c>
      <c r="V40" s="2">
        <v>1</v>
      </c>
      <c r="W40" s="2">
        <v>6.1680000000000001</v>
      </c>
      <c r="X40" s="46">
        <f t="shared" si="28"/>
        <v>0.68533333333333335</v>
      </c>
    </row>
    <row r="41" spans="1:62" ht="18.600000000000001" thickBot="1" x14ac:dyDescent="0.35">
      <c r="A41" s="4">
        <v>6.7</v>
      </c>
      <c r="B41" s="40">
        <f t="shared" si="27"/>
        <v>1</v>
      </c>
      <c r="C41" s="4">
        <v>6.7</v>
      </c>
      <c r="E41" s="4">
        <v>5.7</v>
      </c>
      <c r="F41" s="2">
        <v>1</v>
      </c>
      <c r="G41" s="88">
        <v>6.7</v>
      </c>
      <c r="H41" s="89"/>
      <c r="I41" s="90">
        <f t="shared" si="26"/>
        <v>0.74444444444444446</v>
      </c>
      <c r="J41" s="91"/>
      <c r="U41" s="45">
        <v>5.016</v>
      </c>
      <c r="V41" s="2">
        <v>1</v>
      </c>
      <c r="W41" s="2">
        <v>5.016</v>
      </c>
      <c r="X41" s="46">
        <f t="shared" si="28"/>
        <v>0.55733333333333335</v>
      </c>
    </row>
    <row r="42" spans="1:62" ht="18.600000000000001" thickBot="1" x14ac:dyDescent="0.35">
      <c r="A42" s="4">
        <v>3.7759999999999998</v>
      </c>
      <c r="B42" s="40">
        <f t="shared" si="27"/>
        <v>1</v>
      </c>
      <c r="C42" s="4">
        <v>3.7759999999999998</v>
      </c>
      <c r="E42" s="4">
        <v>5.7</v>
      </c>
      <c r="F42" s="2">
        <v>1</v>
      </c>
      <c r="G42" s="88">
        <v>6.7</v>
      </c>
      <c r="H42" s="89"/>
      <c r="I42" s="90">
        <f t="shared" si="26"/>
        <v>0.74444444444444446</v>
      </c>
      <c r="J42" s="91"/>
      <c r="U42" s="45">
        <v>4.7119999999999997</v>
      </c>
      <c r="V42" s="2">
        <v>1</v>
      </c>
      <c r="W42" s="2">
        <v>5.7119999999999997</v>
      </c>
      <c r="X42" s="46">
        <f t="shared" si="28"/>
        <v>0.6346666666666666</v>
      </c>
    </row>
    <row r="43" spans="1:62" ht="18.600000000000001" thickBot="1" x14ac:dyDescent="0.35">
      <c r="A43" s="4">
        <v>6.7</v>
      </c>
      <c r="B43" s="40">
        <f t="shared" si="27"/>
        <v>1</v>
      </c>
      <c r="C43" s="4">
        <v>6.7</v>
      </c>
      <c r="E43" s="4">
        <v>5.5940000000000003</v>
      </c>
      <c r="F43" s="2">
        <v>1</v>
      </c>
      <c r="G43" s="88">
        <v>4.5940000000000003</v>
      </c>
      <c r="H43" s="89"/>
      <c r="I43" s="90">
        <f t="shared" si="26"/>
        <v>0.51044444444444448</v>
      </c>
      <c r="J43" s="91"/>
      <c r="U43" s="45">
        <v>4.6059999999999999</v>
      </c>
      <c r="V43" s="2">
        <v>1</v>
      </c>
      <c r="W43" s="2">
        <v>5.6059999999999999</v>
      </c>
      <c r="X43" s="46">
        <f t="shared" si="28"/>
        <v>0.62288888888888883</v>
      </c>
    </row>
    <row r="44" spans="1:62" ht="18.600000000000001" thickBot="1" x14ac:dyDescent="0.35">
      <c r="A44" s="4">
        <v>6.7</v>
      </c>
      <c r="B44" s="40">
        <f t="shared" si="27"/>
        <v>1</v>
      </c>
      <c r="C44" s="4">
        <v>6.7</v>
      </c>
      <c r="U44" s="45">
        <v>4.18</v>
      </c>
      <c r="V44" s="2">
        <v>1</v>
      </c>
      <c r="W44" s="2">
        <v>5.18</v>
      </c>
      <c r="X44" s="46">
        <f t="shared" si="28"/>
        <v>0.57555555555555549</v>
      </c>
    </row>
    <row r="45" spans="1:62" ht="18.600000000000001" thickBot="1" x14ac:dyDescent="0.35">
      <c r="A45" s="4">
        <v>4.5940000000000003</v>
      </c>
      <c r="B45" s="40">
        <f t="shared" si="27"/>
        <v>1</v>
      </c>
      <c r="C45" s="4">
        <v>4.5940000000000003</v>
      </c>
      <c r="U45" s="45">
        <v>3.8</v>
      </c>
      <c r="V45" s="2">
        <v>1</v>
      </c>
      <c r="W45" s="2">
        <v>2.8</v>
      </c>
      <c r="X45" s="46">
        <f t="shared" si="28"/>
        <v>0.31111111111111106</v>
      </c>
      <c r="AL45" s="79" t="s">
        <v>89</v>
      </c>
      <c r="AM45" s="79"/>
      <c r="AN45" s="79"/>
      <c r="AO45" s="79" t="s">
        <v>1</v>
      </c>
      <c r="AP45" s="79"/>
      <c r="AQ45" s="79"/>
      <c r="AR45" s="79"/>
      <c r="AS45" s="69"/>
      <c r="AT45" s="69"/>
      <c r="AU45" s="80" t="s">
        <v>89</v>
      </c>
      <c r="AV45" s="81"/>
      <c r="AW45" s="82"/>
      <c r="AX45" s="80" t="s">
        <v>1</v>
      </c>
      <c r="AY45" s="81"/>
      <c r="AZ45" s="81"/>
      <c r="BA45" s="82"/>
      <c r="BC45" s="79" t="s">
        <v>89</v>
      </c>
      <c r="BD45" s="79"/>
      <c r="BE45" s="79"/>
      <c r="BF45" s="79" t="s">
        <v>1</v>
      </c>
      <c r="BG45" s="79"/>
      <c r="BH45" s="79"/>
      <c r="BI45" s="79"/>
    </row>
    <row r="46" spans="1:62" ht="23.4" thickBot="1" x14ac:dyDescent="0.35">
      <c r="B46" s="40">
        <f>(C$55-D14)/C$55</f>
        <v>1</v>
      </c>
      <c r="U46" s="45">
        <v>3.5419999999999998</v>
      </c>
      <c r="V46" s="2">
        <v>1.1499999999999999</v>
      </c>
      <c r="W46" s="2">
        <v>-2.3919999999999999</v>
      </c>
      <c r="X46" s="46">
        <f t="shared" si="28"/>
        <v>-0.26577777777777778</v>
      </c>
      <c r="AL46" s="53" t="s">
        <v>2</v>
      </c>
      <c r="AM46" s="62" t="s">
        <v>3</v>
      </c>
      <c r="AN46" s="62" t="s">
        <v>4</v>
      </c>
      <c r="AO46" s="55" t="s">
        <v>5</v>
      </c>
      <c r="AP46" s="62" t="s">
        <v>6</v>
      </c>
      <c r="AQ46" s="62" t="s">
        <v>7</v>
      </c>
      <c r="AR46" s="62" t="s">
        <v>8</v>
      </c>
      <c r="AS46" s="58"/>
      <c r="AT46" s="58"/>
      <c r="AU46" s="53" t="s">
        <v>2</v>
      </c>
      <c r="AV46" s="62" t="s">
        <v>3</v>
      </c>
      <c r="AW46" s="62" t="s">
        <v>4</v>
      </c>
      <c r="AX46" s="55" t="s">
        <v>5</v>
      </c>
      <c r="AY46" s="68" t="s">
        <v>6</v>
      </c>
      <c r="AZ46" s="62" t="s">
        <v>7</v>
      </c>
      <c r="BA46" s="62" t="s">
        <v>8</v>
      </c>
      <c r="BC46" s="53" t="s">
        <v>2</v>
      </c>
      <c r="BD46" s="62" t="s">
        <v>3</v>
      </c>
      <c r="BE46" s="62" t="s">
        <v>4</v>
      </c>
      <c r="BF46" s="55" t="s">
        <v>5</v>
      </c>
      <c r="BG46" s="62" t="s">
        <v>6</v>
      </c>
      <c r="BH46" s="62" t="s">
        <v>7</v>
      </c>
      <c r="BI46" s="62" t="s">
        <v>8</v>
      </c>
      <c r="BJ46" s="58"/>
    </row>
    <row r="47" spans="1:62" ht="18.600000000000001" thickBot="1" x14ac:dyDescent="0.35">
      <c r="B47" s="40"/>
      <c r="U47" s="45">
        <v>3.42</v>
      </c>
      <c r="V47" s="2">
        <v>1.3</v>
      </c>
      <c r="W47" s="2">
        <v>-2.12</v>
      </c>
      <c r="X47" s="46">
        <f t="shared" si="28"/>
        <v>-0.23555555555555555</v>
      </c>
      <c r="AL47" s="62" t="s">
        <v>10</v>
      </c>
      <c r="AM47" s="62" t="s">
        <v>11</v>
      </c>
      <c r="AN47" s="62" t="s">
        <v>12</v>
      </c>
      <c r="AO47" s="62" t="s">
        <v>13</v>
      </c>
      <c r="AP47" s="62" t="s">
        <v>14</v>
      </c>
      <c r="AQ47" s="62" t="s">
        <v>14</v>
      </c>
      <c r="AR47" s="62" t="s">
        <v>14</v>
      </c>
      <c r="AS47" s="58"/>
      <c r="AT47" s="58"/>
      <c r="AU47" s="62" t="s">
        <v>10</v>
      </c>
      <c r="AV47" s="62" t="s">
        <v>11</v>
      </c>
      <c r="AW47" s="62" t="s">
        <v>12</v>
      </c>
      <c r="AX47" s="62" t="s">
        <v>13</v>
      </c>
      <c r="AY47" s="68" t="s">
        <v>14</v>
      </c>
      <c r="AZ47" s="62" t="s">
        <v>14</v>
      </c>
      <c r="BA47" s="62" t="s">
        <v>14</v>
      </c>
      <c r="BC47" s="62" t="s">
        <v>10</v>
      </c>
      <c r="BD47" s="62" t="s">
        <v>11</v>
      </c>
      <c r="BE47" s="62" t="s">
        <v>12</v>
      </c>
      <c r="BF47" s="62" t="s">
        <v>13</v>
      </c>
      <c r="BG47" s="62" t="s">
        <v>14</v>
      </c>
      <c r="BH47" s="62" t="s">
        <v>14</v>
      </c>
      <c r="BI47" s="62" t="s">
        <v>14</v>
      </c>
      <c r="BJ47" s="58"/>
    </row>
    <row r="48" spans="1:62" ht="19.5" customHeight="1" x14ac:dyDescent="0.3">
      <c r="B48" s="40"/>
      <c r="AL48" s="110" t="s">
        <v>90</v>
      </c>
      <c r="AM48" s="110"/>
      <c r="AN48" s="110"/>
      <c r="AO48" s="108"/>
      <c r="AP48" s="108"/>
      <c r="AQ48" s="108"/>
      <c r="AR48" s="108"/>
      <c r="AS48" s="61"/>
      <c r="AT48" s="61"/>
      <c r="AU48" s="112" t="s">
        <v>63</v>
      </c>
      <c r="AV48" s="113"/>
      <c r="AW48" s="113"/>
      <c r="AX48" s="113"/>
      <c r="AY48" s="113"/>
      <c r="AZ48" s="113"/>
      <c r="BA48" s="114"/>
      <c r="BC48" s="108" t="s">
        <v>64</v>
      </c>
      <c r="BD48" s="108"/>
      <c r="BE48" s="108"/>
      <c r="BF48" s="108"/>
      <c r="BG48" s="108"/>
      <c r="BH48" s="108"/>
      <c r="BI48" s="108"/>
      <c r="BJ48" s="61"/>
    </row>
    <row r="49" spans="1:62" ht="18" x14ac:dyDescent="0.3">
      <c r="B49" s="40"/>
      <c r="AL49" s="62">
        <v>110</v>
      </c>
      <c r="AM49" s="62">
        <v>2.1</v>
      </c>
      <c r="AN49" s="62">
        <v>0</v>
      </c>
      <c r="AO49" s="67">
        <f>PI()*AL49/30</f>
        <v>11.519173063162576</v>
      </c>
      <c r="AP49" s="56">
        <f>1.52*AM49</f>
        <v>3.1920000000000002</v>
      </c>
      <c r="AQ49" s="62">
        <v>1</v>
      </c>
      <c r="AR49" s="56">
        <f>-AP49+AQ49</f>
        <v>-2.1920000000000002</v>
      </c>
      <c r="AS49" s="64"/>
      <c r="AT49" s="58"/>
      <c r="AU49" s="62">
        <v>108</v>
      </c>
      <c r="AV49" s="62">
        <v>1.3</v>
      </c>
      <c r="AW49" s="62">
        <v>0</v>
      </c>
      <c r="AX49" s="65">
        <f>PI()*AU49/30</f>
        <v>11.309733552923255</v>
      </c>
      <c r="AY49" s="73">
        <f>1.52*AV49</f>
        <v>1.9760000000000002</v>
      </c>
      <c r="AZ49" s="62">
        <v>1</v>
      </c>
      <c r="BA49" s="56">
        <f>-AY49+AZ49</f>
        <v>-0.9760000000000002</v>
      </c>
      <c r="BC49" s="66">
        <v>197</v>
      </c>
      <c r="BD49" s="56">
        <v>2.9</v>
      </c>
      <c r="BE49" s="66">
        <v>0</v>
      </c>
      <c r="BF49" s="65">
        <f>PI()*BC49/30</f>
        <v>20.629791758572974</v>
      </c>
      <c r="BG49" s="56">
        <f>1.52*BD49</f>
        <v>4.4079999999999995</v>
      </c>
      <c r="BH49" s="65">
        <v>1</v>
      </c>
      <c r="BI49" s="56">
        <f>-BG49+BH49</f>
        <v>-3.4079999999999995</v>
      </c>
      <c r="BJ49" s="64"/>
    </row>
    <row r="50" spans="1:62" ht="18" x14ac:dyDescent="0.3">
      <c r="B50" s="40"/>
      <c r="AL50" s="62">
        <v>256</v>
      </c>
      <c r="AM50" s="62">
        <v>3.2</v>
      </c>
      <c r="AN50" s="62">
        <v>0</v>
      </c>
      <c r="AO50" s="67">
        <f t="shared" ref="AO50:AO60" si="29">PI()*AL50/30</f>
        <v>26.8082573106329</v>
      </c>
      <c r="AP50" s="56">
        <f>1.52*AM50</f>
        <v>4.8640000000000008</v>
      </c>
      <c r="AQ50" s="62">
        <v>1</v>
      </c>
      <c r="AR50" s="56">
        <f t="shared" ref="AR50:AR60" si="30">-AP50+AQ50</f>
        <v>-3.8640000000000008</v>
      </c>
      <c r="AS50" s="64"/>
      <c r="AT50" s="58"/>
      <c r="AU50" s="62">
        <v>255</v>
      </c>
      <c r="AV50" s="62">
        <v>2.29</v>
      </c>
      <c r="AW50" s="62">
        <v>0</v>
      </c>
      <c r="AX50" s="65">
        <f t="shared" ref="AX50:AX60" si="31">PI()*AU50/30</f>
        <v>26.703537555513243</v>
      </c>
      <c r="AY50" s="73">
        <f>1.52*AV50</f>
        <v>3.4807999999999999</v>
      </c>
      <c r="AZ50" s="62">
        <v>1</v>
      </c>
      <c r="BA50" s="56">
        <f t="shared" ref="BA50:BA60" si="32">-AY50+AZ50</f>
        <v>-2.4807999999999999</v>
      </c>
      <c r="BC50" s="66">
        <v>396</v>
      </c>
      <c r="BD50" s="56">
        <v>4.9000000000000004</v>
      </c>
      <c r="BE50" s="66">
        <v>0</v>
      </c>
      <c r="BF50" s="65">
        <f t="shared" ref="BF50:BF57" si="33">PI()*BC50/30</f>
        <v>41.469023027385269</v>
      </c>
      <c r="BG50" s="56">
        <f t="shared" ref="BG50:BG57" si="34">1.52*BD50</f>
        <v>7.4480000000000004</v>
      </c>
      <c r="BH50" s="65">
        <v>1</v>
      </c>
      <c r="BI50" s="56">
        <f t="shared" ref="BI50:BI57" si="35">-BG50+BH50</f>
        <v>-6.4480000000000004</v>
      </c>
      <c r="BJ50" s="64"/>
    </row>
    <row r="51" spans="1:62" ht="18" x14ac:dyDescent="0.3">
      <c r="AL51" s="62">
        <v>360</v>
      </c>
      <c r="AM51" s="62">
        <v>3.4</v>
      </c>
      <c r="AN51" s="62">
        <v>0</v>
      </c>
      <c r="AO51" s="67">
        <f t="shared" si="29"/>
        <v>37.699111843077517</v>
      </c>
      <c r="AP51" s="56">
        <f t="shared" ref="AP51:AP60" si="36">1.52*AM51</f>
        <v>5.1680000000000001</v>
      </c>
      <c r="AQ51" s="62">
        <v>1</v>
      </c>
      <c r="AR51" s="56">
        <f t="shared" si="30"/>
        <v>-4.1680000000000001</v>
      </c>
      <c r="AS51" s="64"/>
      <c r="AT51" s="58"/>
      <c r="AU51" s="62">
        <v>400</v>
      </c>
      <c r="AV51" s="62">
        <v>2.95</v>
      </c>
      <c r="AW51" s="62">
        <v>0</v>
      </c>
      <c r="AX51" s="65">
        <f t="shared" si="31"/>
        <v>41.887902047863911</v>
      </c>
      <c r="AY51" s="73">
        <f t="shared" ref="AY51:AY60" si="37">1.52*AV51</f>
        <v>4.484</v>
      </c>
      <c r="AZ51" s="62">
        <v>1</v>
      </c>
      <c r="BA51" s="56">
        <f t="shared" si="32"/>
        <v>-3.484</v>
      </c>
      <c r="BC51" s="66">
        <v>647</v>
      </c>
      <c r="BD51" s="56">
        <v>6.5</v>
      </c>
      <c r="BE51" s="66">
        <v>0</v>
      </c>
      <c r="BF51" s="65">
        <f t="shared" si="33"/>
        <v>67.753681562419871</v>
      </c>
      <c r="BG51" s="56">
        <f t="shared" si="34"/>
        <v>9.8800000000000008</v>
      </c>
      <c r="BH51" s="65">
        <v>1</v>
      </c>
      <c r="BI51" s="56">
        <f t="shared" si="35"/>
        <v>-8.8800000000000008</v>
      </c>
      <c r="BJ51" s="64"/>
    </row>
    <row r="52" spans="1:62" ht="18" x14ac:dyDescent="0.3">
      <c r="AL52" s="62">
        <v>398</v>
      </c>
      <c r="AM52" s="62">
        <v>3.4</v>
      </c>
      <c r="AN52" s="62">
        <v>0</v>
      </c>
      <c r="AO52" s="67">
        <f t="shared" si="29"/>
        <v>41.67846253762459</v>
      </c>
      <c r="AP52" s="56">
        <f t="shared" si="36"/>
        <v>5.1680000000000001</v>
      </c>
      <c r="AQ52" s="62">
        <v>1</v>
      </c>
      <c r="AR52" s="56">
        <f t="shared" si="30"/>
        <v>-4.1680000000000001</v>
      </c>
      <c r="AS52" s="64"/>
      <c r="AT52" s="58"/>
      <c r="AU52" s="62">
        <v>546</v>
      </c>
      <c r="AV52" s="62">
        <v>3.42</v>
      </c>
      <c r="AW52" s="62">
        <v>0</v>
      </c>
      <c r="AX52" s="65">
        <f t="shared" si="31"/>
        <v>57.176986295334238</v>
      </c>
      <c r="AY52" s="73">
        <f t="shared" si="37"/>
        <v>5.1984000000000004</v>
      </c>
      <c r="AZ52" s="62">
        <v>1</v>
      </c>
      <c r="BA52" s="56">
        <f t="shared" si="32"/>
        <v>-4.1984000000000004</v>
      </c>
      <c r="BC52" s="66">
        <v>816</v>
      </c>
      <c r="BD52" s="56">
        <v>6.7</v>
      </c>
      <c r="BE52" s="66">
        <v>0</v>
      </c>
      <c r="BF52" s="65">
        <f t="shared" si="33"/>
        <v>85.451320177642373</v>
      </c>
      <c r="BG52" s="56">
        <f t="shared" si="34"/>
        <v>10.184000000000001</v>
      </c>
      <c r="BH52" s="65">
        <v>1.05</v>
      </c>
      <c r="BI52" s="56">
        <f t="shared" si="35"/>
        <v>-9.1340000000000003</v>
      </c>
      <c r="BJ52" s="64"/>
    </row>
    <row r="53" spans="1:62" ht="18" x14ac:dyDescent="0.3">
      <c r="AL53" s="62">
        <v>450</v>
      </c>
      <c r="AM53" s="62">
        <v>3.4</v>
      </c>
      <c r="AN53" s="62">
        <v>0</v>
      </c>
      <c r="AO53" s="67">
        <f t="shared" si="29"/>
        <v>47.123889803846893</v>
      </c>
      <c r="AP53" s="56">
        <f t="shared" si="36"/>
        <v>5.1680000000000001</v>
      </c>
      <c r="AQ53" s="62">
        <v>1</v>
      </c>
      <c r="AR53" s="56">
        <f t="shared" si="30"/>
        <v>-4.1680000000000001</v>
      </c>
      <c r="AS53" s="64"/>
      <c r="AT53" s="58"/>
      <c r="AU53" s="62">
        <v>584</v>
      </c>
      <c r="AV53" s="62">
        <v>3.45</v>
      </c>
      <c r="AW53" s="62">
        <v>0</v>
      </c>
      <c r="AX53" s="65">
        <f t="shared" si="31"/>
        <v>61.156336989881304</v>
      </c>
      <c r="AY53" s="73">
        <f t="shared" si="37"/>
        <v>5.2440000000000007</v>
      </c>
      <c r="AZ53" s="62">
        <v>1</v>
      </c>
      <c r="BA53" s="56">
        <f t="shared" si="32"/>
        <v>-4.2440000000000007</v>
      </c>
      <c r="BC53" s="66">
        <v>907</v>
      </c>
      <c r="BD53" s="56">
        <v>6.7</v>
      </c>
      <c r="BE53" s="66">
        <v>0</v>
      </c>
      <c r="BF53" s="65">
        <f t="shared" si="33"/>
        <v>94.980817893531409</v>
      </c>
      <c r="BG53" s="56">
        <f t="shared" si="34"/>
        <v>10.184000000000001</v>
      </c>
      <c r="BH53" s="65">
        <v>1.1499999999999999</v>
      </c>
      <c r="BI53" s="56">
        <f t="shared" si="35"/>
        <v>-9.0340000000000007</v>
      </c>
      <c r="BJ53" s="64"/>
    </row>
    <row r="54" spans="1:62" ht="18" x14ac:dyDescent="0.3">
      <c r="AL54" s="62">
        <v>507</v>
      </c>
      <c r="AM54" s="62">
        <v>3.3</v>
      </c>
      <c r="AN54" s="62">
        <v>0</v>
      </c>
      <c r="AO54" s="67">
        <f t="shared" si="29"/>
        <v>53.092915845667498</v>
      </c>
      <c r="AP54" s="56">
        <f t="shared" si="36"/>
        <v>5.016</v>
      </c>
      <c r="AQ54" s="62">
        <v>1</v>
      </c>
      <c r="AR54" s="56">
        <f t="shared" si="30"/>
        <v>-4.016</v>
      </c>
      <c r="AS54" s="64"/>
      <c r="AT54" s="58"/>
      <c r="AU54" s="62">
        <v>631</v>
      </c>
      <c r="AV54" s="62">
        <v>3.55</v>
      </c>
      <c r="AW54" s="62">
        <v>0</v>
      </c>
      <c r="AX54" s="65">
        <f t="shared" si="31"/>
        <v>66.078165480505319</v>
      </c>
      <c r="AY54" s="73">
        <f t="shared" si="37"/>
        <v>5.3959999999999999</v>
      </c>
      <c r="AZ54" s="62">
        <v>1</v>
      </c>
      <c r="BA54" s="56">
        <f t="shared" si="32"/>
        <v>-4.3959999999999999</v>
      </c>
      <c r="BC54" s="66">
        <v>972</v>
      </c>
      <c r="BD54" s="56">
        <v>6.7</v>
      </c>
      <c r="BE54" s="66">
        <v>0</v>
      </c>
      <c r="BF54" s="65">
        <f t="shared" si="33"/>
        <v>101.7876019763093</v>
      </c>
      <c r="BG54" s="56">
        <f t="shared" si="34"/>
        <v>10.184000000000001</v>
      </c>
      <c r="BH54" s="65">
        <v>1.1499999999999999</v>
      </c>
      <c r="BI54" s="56">
        <f t="shared" si="35"/>
        <v>-9.0340000000000007</v>
      </c>
      <c r="BJ54" s="64"/>
    </row>
    <row r="55" spans="1:62" ht="18" x14ac:dyDescent="0.3">
      <c r="B55" t="s">
        <v>65</v>
      </c>
      <c r="C55" s="10">
        <f>(2*PI()*50)/3</f>
        <v>104.71975511965978</v>
      </c>
      <c r="AL55" s="62">
        <v>605</v>
      </c>
      <c r="AM55" s="62">
        <v>3.1</v>
      </c>
      <c r="AN55" s="62">
        <v>0</v>
      </c>
      <c r="AO55" s="67">
        <f t="shared" si="29"/>
        <v>63.355451847394164</v>
      </c>
      <c r="AP55" s="56">
        <f t="shared" si="36"/>
        <v>4.7120000000000006</v>
      </c>
      <c r="AQ55" s="62">
        <v>1</v>
      </c>
      <c r="AR55" s="56">
        <f t="shared" si="30"/>
        <v>-3.7120000000000006</v>
      </c>
      <c r="AS55" s="64"/>
      <c r="AT55" s="58"/>
      <c r="AU55" s="62">
        <v>694</v>
      </c>
      <c r="AV55" s="62">
        <v>3.6</v>
      </c>
      <c r="AW55" s="62">
        <v>0</v>
      </c>
      <c r="AX55" s="65">
        <f t="shared" si="31"/>
        <v>72.67551005304388</v>
      </c>
      <c r="AY55" s="73">
        <f t="shared" si="37"/>
        <v>5.4720000000000004</v>
      </c>
      <c r="AZ55" s="62">
        <v>1.05</v>
      </c>
      <c r="BA55" s="56">
        <f t="shared" si="32"/>
        <v>-4.4220000000000006</v>
      </c>
      <c r="BC55" s="66">
        <v>1012</v>
      </c>
      <c r="BD55" s="56">
        <v>6.7</v>
      </c>
      <c r="BE55" s="66">
        <v>0</v>
      </c>
      <c r="BF55" s="65">
        <f t="shared" si="33"/>
        <v>105.97639218109569</v>
      </c>
      <c r="BG55" s="56">
        <f t="shared" si="34"/>
        <v>10.184000000000001</v>
      </c>
      <c r="BH55" s="65">
        <v>1.1499999999999999</v>
      </c>
      <c r="BI55" s="56">
        <f t="shared" si="35"/>
        <v>-9.0340000000000007</v>
      </c>
      <c r="BJ55" s="64"/>
    </row>
    <row r="56" spans="1:62" ht="18" x14ac:dyDescent="0.3">
      <c r="AL56" s="62">
        <v>700</v>
      </c>
      <c r="AM56" s="62">
        <v>3.03</v>
      </c>
      <c r="AN56" s="62">
        <v>0</v>
      </c>
      <c r="AO56" s="67">
        <f t="shared" si="29"/>
        <v>73.303828583761828</v>
      </c>
      <c r="AP56" s="56">
        <f t="shared" si="36"/>
        <v>4.6055999999999999</v>
      </c>
      <c r="AQ56" s="62">
        <v>1</v>
      </c>
      <c r="AR56" s="56">
        <f t="shared" si="30"/>
        <v>-3.6055999999999999</v>
      </c>
      <c r="AS56" s="64"/>
      <c r="AT56" s="58"/>
      <c r="AU56" s="62">
        <v>771</v>
      </c>
      <c r="AV56" s="62">
        <v>3.8</v>
      </c>
      <c r="AW56" s="62">
        <v>0</v>
      </c>
      <c r="AX56" s="65">
        <f t="shared" si="31"/>
        <v>80.738931197257685</v>
      </c>
      <c r="AY56" s="73">
        <f t="shared" si="37"/>
        <v>5.7759999999999998</v>
      </c>
      <c r="AZ56" s="62">
        <v>1.05</v>
      </c>
      <c r="BA56" s="56">
        <f t="shared" si="32"/>
        <v>-4.726</v>
      </c>
      <c r="BC56" s="66">
        <v>1107</v>
      </c>
      <c r="BD56" s="56">
        <v>6.6</v>
      </c>
      <c r="BE56" s="66">
        <v>0</v>
      </c>
      <c r="BF56" s="65">
        <f t="shared" si="33"/>
        <v>115.92476891746337</v>
      </c>
      <c r="BG56" s="56">
        <f t="shared" si="34"/>
        <v>10.032</v>
      </c>
      <c r="BH56" s="65">
        <v>1.3</v>
      </c>
      <c r="BI56" s="56">
        <f t="shared" si="35"/>
        <v>-8.7319999999999993</v>
      </c>
      <c r="BJ56" s="64"/>
    </row>
    <row r="57" spans="1:62" ht="18" x14ac:dyDescent="0.3">
      <c r="AL57" s="62">
        <v>820</v>
      </c>
      <c r="AM57" s="62">
        <v>2.75</v>
      </c>
      <c r="AN57" s="62">
        <v>0</v>
      </c>
      <c r="AO57" s="67">
        <f t="shared" si="29"/>
        <v>85.870199198121014</v>
      </c>
      <c r="AP57" s="56">
        <f t="shared" si="36"/>
        <v>4.18</v>
      </c>
      <c r="AQ57" s="62">
        <v>1.05</v>
      </c>
      <c r="AR57" s="56">
        <f t="shared" si="30"/>
        <v>-3.13</v>
      </c>
      <c r="AS57" s="64"/>
      <c r="AT57" s="58"/>
      <c r="AU57" s="62">
        <v>844</v>
      </c>
      <c r="AV57" s="62">
        <v>3.67</v>
      </c>
      <c r="AW57" s="62">
        <v>0</v>
      </c>
      <c r="AX57" s="65">
        <f t="shared" si="31"/>
        <v>88.383473320992849</v>
      </c>
      <c r="AY57" s="73">
        <f t="shared" si="37"/>
        <v>5.5784000000000002</v>
      </c>
      <c r="AZ57" s="62">
        <v>1.05</v>
      </c>
      <c r="BA57" s="56">
        <f t="shared" si="32"/>
        <v>-4.5284000000000004</v>
      </c>
      <c r="BC57" s="66">
        <v>1200</v>
      </c>
      <c r="BD57" s="56">
        <v>6.5</v>
      </c>
      <c r="BE57" s="66">
        <v>0</v>
      </c>
      <c r="BF57" s="65">
        <f t="shared" si="33"/>
        <v>125.66370614359172</v>
      </c>
      <c r="BG57" s="56">
        <f t="shared" si="34"/>
        <v>9.8800000000000008</v>
      </c>
      <c r="BH57" s="65">
        <v>1.3</v>
      </c>
      <c r="BI57" s="56">
        <f t="shared" si="35"/>
        <v>-8.58</v>
      </c>
      <c r="BJ57" s="64"/>
    </row>
    <row r="58" spans="1:62" ht="18.600000000000001" thickBot="1" x14ac:dyDescent="0.35">
      <c r="AL58" s="62">
        <v>957</v>
      </c>
      <c r="AM58" s="62">
        <v>2.5</v>
      </c>
      <c r="AN58" s="62">
        <v>0</v>
      </c>
      <c r="AO58" s="67">
        <f t="shared" si="29"/>
        <v>100.2168056495144</v>
      </c>
      <c r="AP58" s="56">
        <f t="shared" si="36"/>
        <v>3.8</v>
      </c>
      <c r="AQ58" s="62">
        <v>1.1499999999999999</v>
      </c>
      <c r="AR58" s="56">
        <f t="shared" si="30"/>
        <v>-2.65</v>
      </c>
      <c r="AS58" s="64"/>
      <c r="AT58" s="58"/>
      <c r="AU58" s="62">
        <v>906</v>
      </c>
      <c r="AV58" s="62">
        <v>3.57</v>
      </c>
      <c r="AW58" s="62">
        <v>0</v>
      </c>
      <c r="AX58" s="65">
        <f t="shared" si="31"/>
        <v>94.876098138411763</v>
      </c>
      <c r="AY58" s="73">
        <f t="shared" si="37"/>
        <v>5.4264000000000001</v>
      </c>
      <c r="AZ58" s="62">
        <v>1.1499999999999999</v>
      </c>
      <c r="BA58" s="56">
        <f t="shared" si="32"/>
        <v>-4.2764000000000006</v>
      </c>
    </row>
    <row r="59" spans="1:62" ht="18.600000000000001" customHeight="1" thickBot="1" x14ac:dyDescent="0.35">
      <c r="A59" s="88" t="s">
        <v>76</v>
      </c>
      <c r="B59" s="101"/>
      <c r="C59" s="101"/>
      <c r="D59" s="101"/>
      <c r="E59" s="101"/>
      <c r="F59" s="89"/>
      <c r="H59" s="108" t="s">
        <v>0</v>
      </c>
      <c r="I59" s="108"/>
      <c r="J59" s="108"/>
      <c r="K59" s="108" t="s">
        <v>1</v>
      </c>
      <c r="L59" s="108"/>
      <c r="M59" s="108"/>
      <c r="N59" s="108"/>
      <c r="O59" s="108"/>
      <c r="Q59" s="105" t="s">
        <v>27</v>
      </c>
      <c r="R59" s="106"/>
      <c r="S59" s="106"/>
      <c r="T59" s="106"/>
      <c r="U59" s="107"/>
      <c r="V59" s="105" t="s">
        <v>28</v>
      </c>
      <c r="W59" s="106"/>
      <c r="X59" s="106"/>
      <c r="Y59" s="106"/>
      <c r="Z59" s="107"/>
      <c r="AB59" s="108" t="s">
        <v>0</v>
      </c>
      <c r="AC59" s="108"/>
      <c r="AD59" s="108"/>
      <c r="AE59" s="108" t="s">
        <v>1</v>
      </c>
      <c r="AF59" s="108"/>
      <c r="AG59" s="108"/>
      <c r="AH59" s="108"/>
      <c r="AI59" s="108"/>
      <c r="AL59" s="62">
        <v>1048</v>
      </c>
      <c r="AM59" s="62">
        <v>2.33</v>
      </c>
      <c r="AN59" s="62">
        <v>0</v>
      </c>
      <c r="AO59" s="67">
        <f t="shared" si="29"/>
        <v>109.74630336540345</v>
      </c>
      <c r="AP59" s="56">
        <f t="shared" si="36"/>
        <v>3.5416000000000003</v>
      </c>
      <c r="AQ59" s="62">
        <v>1.1499999999999999</v>
      </c>
      <c r="AR59" s="56">
        <f t="shared" si="30"/>
        <v>-2.3916000000000004</v>
      </c>
      <c r="AS59" s="64"/>
      <c r="AT59" s="58"/>
      <c r="AU59" s="62">
        <v>1016</v>
      </c>
      <c r="AV59" s="62">
        <v>3.55</v>
      </c>
      <c r="AW59" s="62">
        <v>0</v>
      </c>
      <c r="AX59" s="65">
        <f t="shared" si="31"/>
        <v>106.39527120157433</v>
      </c>
      <c r="AY59" s="73">
        <f t="shared" si="37"/>
        <v>5.3959999999999999</v>
      </c>
      <c r="AZ59" s="62">
        <v>1.1499999999999999</v>
      </c>
      <c r="BA59" s="56">
        <f t="shared" si="32"/>
        <v>-4.2460000000000004</v>
      </c>
    </row>
    <row r="60" spans="1:62" ht="24" thickBot="1" x14ac:dyDescent="0.35">
      <c r="A60" s="4" t="s">
        <v>16</v>
      </c>
      <c r="B60" s="47" t="s">
        <v>17</v>
      </c>
      <c r="C60" s="47" t="s">
        <v>18</v>
      </c>
      <c r="D60" s="47" t="s">
        <v>19</v>
      </c>
      <c r="E60" s="47" t="s">
        <v>20</v>
      </c>
      <c r="F60" s="3" t="s">
        <v>5</v>
      </c>
      <c r="H60" s="53" t="s">
        <v>2</v>
      </c>
      <c r="I60" s="54" t="s">
        <v>3</v>
      </c>
      <c r="J60" s="54" t="s">
        <v>4</v>
      </c>
      <c r="K60" s="55" t="s">
        <v>5</v>
      </c>
      <c r="L60" s="54" t="s">
        <v>6</v>
      </c>
      <c r="M60" s="54" t="s">
        <v>7</v>
      </c>
      <c r="N60" s="54" t="s">
        <v>8</v>
      </c>
      <c r="O60" s="54" t="s">
        <v>9</v>
      </c>
      <c r="Q60" s="63" t="s">
        <v>16</v>
      </c>
      <c r="R60" s="63" t="s">
        <v>29</v>
      </c>
      <c r="S60" s="63" t="s">
        <v>30</v>
      </c>
      <c r="T60" s="63" t="s">
        <v>19</v>
      </c>
      <c r="U60" s="63" t="s">
        <v>31</v>
      </c>
      <c r="V60" s="63" t="s">
        <v>86</v>
      </c>
      <c r="W60" s="63" t="s">
        <v>33</v>
      </c>
      <c r="X60" s="63" t="s">
        <v>19</v>
      </c>
      <c r="Y60" s="63" t="s">
        <v>34</v>
      </c>
      <c r="Z60" s="55" t="s">
        <v>5</v>
      </c>
      <c r="AB60" s="53" t="s">
        <v>2</v>
      </c>
      <c r="AC60" s="54" t="s">
        <v>3</v>
      </c>
      <c r="AD60" s="54" t="s">
        <v>4</v>
      </c>
      <c r="AE60" s="55" t="s">
        <v>5</v>
      </c>
      <c r="AF60" s="54" t="s">
        <v>6</v>
      </c>
      <c r="AG60" s="54" t="s">
        <v>7</v>
      </c>
      <c r="AH60" s="54" t="s">
        <v>8</v>
      </c>
      <c r="AI60" s="54" t="s">
        <v>9</v>
      </c>
      <c r="AL60" s="62">
        <v>1150</v>
      </c>
      <c r="AM60" s="62">
        <v>2.25</v>
      </c>
      <c r="AN60" s="62">
        <v>0</v>
      </c>
      <c r="AO60" s="67">
        <f t="shared" si="29"/>
        <v>120.42771838760873</v>
      </c>
      <c r="AP60" s="56">
        <f t="shared" si="36"/>
        <v>3.42</v>
      </c>
      <c r="AQ60" s="62">
        <v>1.3</v>
      </c>
      <c r="AR60" s="56">
        <f t="shared" si="30"/>
        <v>-2.12</v>
      </c>
      <c r="AS60" s="64"/>
      <c r="AT60" s="58"/>
      <c r="AU60" s="62">
        <v>1171</v>
      </c>
      <c r="AV60" s="62">
        <v>3.4</v>
      </c>
      <c r="AW60" s="62">
        <v>0</v>
      </c>
      <c r="AX60" s="65">
        <f t="shared" si="31"/>
        <v>122.62683324512159</v>
      </c>
      <c r="AY60" s="73">
        <f t="shared" si="37"/>
        <v>5.1680000000000001</v>
      </c>
      <c r="AZ60" s="62">
        <v>1.3</v>
      </c>
      <c r="BA60" s="56">
        <f t="shared" si="32"/>
        <v>-3.8680000000000003</v>
      </c>
    </row>
    <row r="61" spans="1:62" ht="18" x14ac:dyDescent="0.3">
      <c r="A61" s="48"/>
      <c r="B61" s="49"/>
      <c r="C61" s="49"/>
      <c r="D61" s="49"/>
      <c r="E61" s="49" t="s">
        <v>14</v>
      </c>
      <c r="F61" s="49" t="s">
        <v>13</v>
      </c>
      <c r="H61" s="54" t="s">
        <v>10</v>
      </c>
      <c r="I61" s="54" t="s">
        <v>11</v>
      </c>
      <c r="J61" s="54" t="s">
        <v>12</v>
      </c>
      <c r="K61" s="54" t="s">
        <v>13</v>
      </c>
      <c r="L61" s="54" t="s">
        <v>14</v>
      </c>
      <c r="M61" s="54" t="s">
        <v>14</v>
      </c>
      <c r="N61" s="54" t="s">
        <v>14</v>
      </c>
      <c r="O61" s="54" t="s">
        <v>14</v>
      </c>
      <c r="Q61" s="63">
        <v>-0.2</v>
      </c>
      <c r="R61" s="56">
        <f>$R$78/Q61</f>
        <v>13.445884838946693</v>
      </c>
      <c r="S61" s="56">
        <f>Q61/$R$78</f>
        <v>7.4372197291430672E-2</v>
      </c>
      <c r="T61" s="56">
        <f>S61+R61+2*$B$84</f>
        <v>14.604311175363094</v>
      </c>
      <c r="U61" s="70">
        <f>2*$B$82*(1+$B$84)/T61</f>
        <v>-28.878779533394773</v>
      </c>
      <c r="V61" s="56">
        <f>$R$79/Q61</f>
        <v>28.152321381544638</v>
      </c>
      <c r="W61" s="56">
        <f>Q61/$R$79</f>
        <v>3.5521049452623604E-2</v>
      </c>
      <c r="X61" s="56">
        <f>W61+V61+2*$B$84</f>
        <v>29.27189657012223</v>
      </c>
      <c r="Y61" s="70">
        <f>2*$B$82*(1+$B$84)/X61</f>
        <v>-14.408177538482031</v>
      </c>
      <c r="Z61" s="70">
        <f>$B$85*(1-Q61)</f>
        <v>125.66370614359172</v>
      </c>
      <c r="AB61" s="54" t="s">
        <v>10</v>
      </c>
      <c r="AC61" s="54" t="s">
        <v>11</v>
      </c>
      <c r="AD61" s="54" t="s">
        <v>12</v>
      </c>
      <c r="AE61" s="54" t="s">
        <v>13</v>
      </c>
      <c r="AF61" s="54" t="s">
        <v>14</v>
      </c>
      <c r="AG61" s="54" t="s">
        <v>14</v>
      </c>
      <c r="AH61" s="54" t="s">
        <v>14</v>
      </c>
      <c r="AI61" s="54" t="s">
        <v>14</v>
      </c>
      <c r="BD61" t="s">
        <v>91</v>
      </c>
    </row>
    <row r="62" spans="1:62" ht="18" x14ac:dyDescent="0.3">
      <c r="A62" s="50">
        <v>-0.2</v>
      </c>
      <c r="B62" s="50">
        <f>$B$83/A62</f>
        <v>2.941287308519589</v>
      </c>
      <c r="C62" s="50">
        <f>A62/$B$83</f>
        <v>0.33998718761796881</v>
      </c>
      <c r="D62" s="50">
        <f>C62+B62+2*$B$84</f>
        <v>4.3653286352625269</v>
      </c>
      <c r="E62" s="51">
        <f>2*$B$82*(1+$B$84)/D62</f>
        <v>-96.614646435443078</v>
      </c>
      <c r="F62" s="50">
        <f>$B$85*(1-A62)</f>
        <v>125.66370614359172</v>
      </c>
      <c r="H62" s="54">
        <v>977</v>
      </c>
      <c r="I62" s="56">
        <v>0</v>
      </c>
      <c r="J62" s="54">
        <v>170</v>
      </c>
      <c r="K62" s="56">
        <f>(PI()*H62)/30</f>
        <v>102.31120075190759</v>
      </c>
      <c r="L62" s="56">
        <f>1.52*I62</f>
        <v>0</v>
      </c>
      <c r="M62" s="54">
        <v>1.1499999999999999</v>
      </c>
      <c r="N62" s="56">
        <f>L62+M62</f>
        <v>1.1499999999999999</v>
      </c>
      <c r="O62" s="56">
        <f>N62*(380/J62)^2</f>
        <v>5.7460207612456742</v>
      </c>
      <c r="Q62" s="71">
        <v>-0.1</v>
      </c>
      <c r="R62" s="56">
        <f>$R$78/Q62</f>
        <v>26.891769677893386</v>
      </c>
      <c r="S62" s="56">
        <f>Q62/$R$78</f>
        <v>3.7186098645715336E-2</v>
      </c>
      <c r="T62" s="56">
        <f t="shared" ref="T62:T77" si="38">S62+R62+2*$B$84</f>
        <v>28.013009915664071</v>
      </c>
      <c r="U62" s="70">
        <f>2*$B$82*(1+$B$84)/T62</f>
        <v>-15.055671773227452</v>
      </c>
      <c r="V62" s="56">
        <f>$R$79/Q62</f>
        <v>56.304642763089277</v>
      </c>
      <c r="W62" s="56">
        <f>Q62/$R$79</f>
        <v>1.7760524726311802E-2</v>
      </c>
      <c r="X62" s="56">
        <f t="shared" ref="X62:X77" si="39">W62+V62+2*$B$84</f>
        <v>57.406457426940555</v>
      </c>
      <c r="Y62" s="70">
        <f>2*$B$82*(1+$B$84)/X62</f>
        <v>-7.346816047779269</v>
      </c>
      <c r="Z62" s="70">
        <f t="shared" ref="Z62:Z77" si="40">$B$85*(1-Q62)</f>
        <v>115.19173063162577</v>
      </c>
      <c r="AB62" s="108" t="s">
        <v>87</v>
      </c>
      <c r="AC62" s="108"/>
      <c r="AD62" s="108"/>
      <c r="AE62" s="108"/>
      <c r="AF62" s="108"/>
      <c r="AG62" s="108"/>
      <c r="AH62" s="108"/>
      <c r="AI62" s="108"/>
    </row>
    <row r="63" spans="1:62" ht="18" x14ac:dyDescent="0.3">
      <c r="A63" s="50">
        <v>-0.1</v>
      </c>
      <c r="B63" s="50">
        <f>$B$83/A63</f>
        <v>5.8825746170391779</v>
      </c>
      <c r="C63" s="50">
        <f>A63/$B$83</f>
        <v>0.16999359380898441</v>
      </c>
      <c r="D63" s="50">
        <f>C63+B63+2*$B$84</f>
        <v>7.1366223499731305</v>
      </c>
      <c r="E63" s="51">
        <f>2*$B$82*(1+$B$84)/D63</f>
        <v>-59.097239840916089</v>
      </c>
      <c r="F63" s="50">
        <f>$B$85*(1-A63)</f>
        <v>115.19173063162577</v>
      </c>
      <c r="H63" s="54">
        <v>1004</v>
      </c>
      <c r="I63" s="56">
        <v>0.75</v>
      </c>
      <c r="J63" s="54">
        <v>170</v>
      </c>
      <c r="K63" s="56">
        <f t="shared" ref="K63:K72" si="41">(PI()*H63)/30</f>
        <v>105.13863414013842</v>
      </c>
      <c r="L63" s="56">
        <f t="shared" ref="L63:L72" si="42">1.52*I63</f>
        <v>1.1400000000000001</v>
      </c>
      <c r="M63" s="54">
        <v>1.05</v>
      </c>
      <c r="N63" s="56">
        <f>-L63+M63</f>
        <v>-9.000000000000008E-2</v>
      </c>
      <c r="O63" s="56">
        <f t="shared" ref="O63:O72" si="43">N63*(380/J63)^2</f>
        <v>-0.44968858131487932</v>
      </c>
      <c r="Q63" s="71">
        <v>0.1</v>
      </c>
      <c r="R63" s="56">
        <f>$T$78/Q63</f>
        <v>26.891769677893386</v>
      </c>
      <c r="S63" s="56">
        <f>Q63/$T$78</f>
        <v>3.7186098645715336E-2</v>
      </c>
      <c r="T63" s="56">
        <f t="shared" si="38"/>
        <v>28.013009915664071</v>
      </c>
      <c r="U63" s="70">
        <f>2*$D$82*(1+$B$84)/T63</f>
        <v>4.4714455782197726</v>
      </c>
      <c r="V63" s="56">
        <f>$T$79/Q63</f>
        <v>56.304642763089277</v>
      </c>
      <c r="W63" s="56">
        <f>Q63/$T$79</f>
        <v>1.7760524726311802E-2</v>
      </c>
      <c r="X63" s="56">
        <f t="shared" si="39"/>
        <v>57.406457426940555</v>
      </c>
      <c r="Y63" s="70">
        <f>2*$D$82*(1+$B$84)/X63</f>
        <v>2.181960966315255</v>
      </c>
      <c r="Z63" s="70">
        <f t="shared" si="40"/>
        <v>94.247779607693801</v>
      </c>
      <c r="AB63" s="54">
        <v>915</v>
      </c>
      <c r="AC63" s="54">
        <v>0</v>
      </c>
      <c r="AD63" s="54">
        <v>170</v>
      </c>
      <c r="AE63" s="56">
        <f>PI()*AB63/30</f>
        <v>95.818575934488692</v>
      </c>
      <c r="AF63" s="54">
        <f>1.52*AC63</f>
        <v>0</v>
      </c>
      <c r="AG63" s="54">
        <v>1.1499999999999999</v>
      </c>
      <c r="AH63" s="56">
        <f>-AF63+AG63</f>
        <v>1.1499999999999999</v>
      </c>
      <c r="AI63" s="56">
        <f t="shared" ref="AI63:AI83" si="44">AH63*(380/AD63)^2</f>
        <v>5.7460207612456742</v>
      </c>
      <c r="AL63" s="79" t="s">
        <v>103</v>
      </c>
      <c r="AM63" s="79"/>
      <c r="AN63" s="79"/>
      <c r="AO63" s="79"/>
      <c r="AP63" s="79"/>
      <c r="AQ63" s="79"/>
      <c r="AR63" s="79"/>
      <c r="AS63" s="79"/>
      <c r="AT63" s="79"/>
      <c r="AU63" s="79"/>
      <c r="AV63" s="79"/>
    </row>
    <row r="64" spans="1:62" ht="18" x14ac:dyDescent="0.3">
      <c r="A64" s="50">
        <v>0.1</v>
      </c>
      <c r="B64" s="50">
        <f>$D$83/A64</f>
        <v>5.8825746170391779</v>
      </c>
      <c r="C64" s="50">
        <f>A64/$D$83</f>
        <v>0.16999359380898441</v>
      </c>
      <c r="D64" s="50">
        <f t="shared" ref="D64:D78" si="45">C64+B64+2*$B$84</f>
        <v>7.1366223499731305</v>
      </c>
      <c r="E64" s="51">
        <f>2*$D$82*(1+$B$84)/D64</f>
        <v>17.551531127395911</v>
      </c>
      <c r="F64" s="50">
        <f t="shared" ref="F64:F78" si="46">$B$85*(1-A64)</f>
        <v>94.247779607693801</v>
      </c>
      <c r="H64" s="54">
        <v>1007</v>
      </c>
      <c r="I64" s="56">
        <v>0.85</v>
      </c>
      <c r="J64" s="54">
        <v>170</v>
      </c>
      <c r="K64" s="56">
        <f t="shared" si="41"/>
        <v>105.45279340549739</v>
      </c>
      <c r="L64" s="56">
        <f t="shared" si="42"/>
        <v>1.292</v>
      </c>
      <c r="M64" s="54">
        <v>1.1499999999999999</v>
      </c>
      <c r="N64" s="56">
        <f>-L64+M64</f>
        <v>-0.14200000000000013</v>
      </c>
      <c r="O64" s="56">
        <f t="shared" si="43"/>
        <v>-0.70950865051903178</v>
      </c>
      <c r="Q64" s="72">
        <v>0.2</v>
      </c>
      <c r="R64" s="56">
        <f t="shared" ref="R64:R77" si="47">$T$78/Q64</f>
        <v>13.445884838946693</v>
      </c>
      <c r="S64" s="56">
        <f t="shared" ref="S64:S77" si="48">Q64/$T$78</f>
        <v>7.4372197291430672E-2</v>
      </c>
      <c r="T64" s="56">
        <f t="shared" si="38"/>
        <v>14.604311175363094</v>
      </c>
      <c r="U64" s="70">
        <f>2*$D$82*(1+$B$84)/T64</f>
        <v>8.576826925690904</v>
      </c>
      <c r="V64" s="56">
        <f t="shared" ref="V64:V77" si="49">$T$79/Q64</f>
        <v>28.152321381544638</v>
      </c>
      <c r="W64" s="56">
        <f t="shared" ref="W64:W77" si="50">Q64/$T$79</f>
        <v>3.5521049452623604E-2</v>
      </c>
      <c r="X64" s="56">
        <f t="shared" si="39"/>
        <v>29.27189657012223</v>
      </c>
      <c r="Y64" s="70">
        <f>2*$D$82*(1+$B$84)/X64</f>
        <v>4.2791436154456086</v>
      </c>
      <c r="Z64" s="70">
        <f t="shared" si="40"/>
        <v>83.775804095727835</v>
      </c>
      <c r="AB64" s="54">
        <v>1007</v>
      </c>
      <c r="AC64" s="54">
        <v>0.7</v>
      </c>
      <c r="AD64" s="54">
        <v>170</v>
      </c>
      <c r="AE64" s="56">
        <f t="shared" ref="AE64:AE83" si="51">PI()*AB64/30</f>
        <v>105.45279340549739</v>
      </c>
      <c r="AF64" s="54">
        <f t="shared" ref="AF64:AF83" si="52">1.52*AC64</f>
        <v>1.0639999999999998</v>
      </c>
      <c r="AG64" s="54">
        <v>1.1499999999999999</v>
      </c>
      <c r="AH64" s="56">
        <f>-AF64+AG64</f>
        <v>8.6000000000000076E-2</v>
      </c>
      <c r="AI64" s="56">
        <f t="shared" si="44"/>
        <v>0.42970242214532911</v>
      </c>
      <c r="AL64" s="83" t="s">
        <v>57</v>
      </c>
      <c r="AM64" s="84"/>
      <c r="AN64" s="85">
        <v>1</v>
      </c>
      <c r="AO64" s="85"/>
      <c r="AP64" s="85"/>
      <c r="AQ64" s="85"/>
      <c r="AR64" s="76">
        <v>2</v>
      </c>
      <c r="AS64" s="85">
        <v>3</v>
      </c>
      <c r="AT64" s="85"/>
      <c r="AU64" s="85"/>
      <c r="AV64" s="85"/>
    </row>
    <row r="65" spans="1:48" ht="18" x14ac:dyDescent="0.3">
      <c r="A65" s="50">
        <v>0.2</v>
      </c>
      <c r="B65" s="50">
        <f t="shared" ref="B65:B78" si="53">$D$83/A65</f>
        <v>2.941287308519589</v>
      </c>
      <c r="C65" s="50">
        <f t="shared" ref="C65:C78" si="54">A65/$D$83</f>
        <v>0.33998718761796881</v>
      </c>
      <c r="D65" s="50">
        <f t="shared" si="45"/>
        <v>4.3653286352625269</v>
      </c>
      <c r="E65" s="51">
        <f>2*$D$82*(1+$B$84)/D65</f>
        <v>28.693979259247641</v>
      </c>
      <c r="F65" s="50">
        <f t="shared" si="46"/>
        <v>83.775804095727835</v>
      </c>
      <c r="H65" s="54">
        <v>1141</v>
      </c>
      <c r="I65" s="56">
        <v>5</v>
      </c>
      <c r="J65" s="54">
        <v>180</v>
      </c>
      <c r="K65" s="56">
        <f t="shared" si="41"/>
        <v>119.48524059153179</v>
      </c>
      <c r="L65" s="56">
        <f t="shared" si="42"/>
        <v>7.6</v>
      </c>
      <c r="M65" s="54">
        <v>1.1499999999999999</v>
      </c>
      <c r="N65" s="56">
        <f>-L65+M65</f>
        <v>-6.4499999999999993</v>
      </c>
      <c r="O65" s="56">
        <f t="shared" si="43"/>
        <v>-28.746296296296293</v>
      </c>
      <c r="Q65" s="71">
        <v>0.3</v>
      </c>
      <c r="R65" s="56">
        <f t="shared" si="47"/>
        <v>8.9639232259644626</v>
      </c>
      <c r="S65" s="56">
        <f t="shared" si="48"/>
        <v>0.111558295937146</v>
      </c>
      <c r="T65" s="56">
        <f t="shared" si="38"/>
        <v>10.159535661026577</v>
      </c>
      <c r="U65" s="70">
        <f>2*$D$82*(1+$B$84)/T65</f>
        <v>12.329170692370591</v>
      </c>
      <c r="V65" s="56">
        <f t="shared" si="49"/>
        <v>18.768214254363095</v>
      </c>
      <c r="W65" s="56">
        <f t="shared" si="50"/>
        <v>5.3281574178935406E-2</v>
      </c>
      <c r="X65" s="56">
        <f t="shared" si="39"/>
        <v>19.905549967667</v>
      </c>
      <c r="Y65" s="70">
        <f>2*$D$82*(1+$B$84)/X65</f>
        <v>6.2926495135016616</v>
      </c>
      <c r="Z65" s="70">
        <f t="shared" si="40"/>
        <v>73.303828583761842</v>
      </c>
      <c r="AB65" s="54">
        <v>1152</v>
      </c>
      <c r="AC65" s="54">
        <v>1.6</v>
      </c>
      <c r="AD65" s="54">
        <v>170</v>
      </c>
      <c r="AE65" s="56">
        <f t="shared" si="51"/>
        <v>120.63715789784806</v>
      </c>
      <c r="AF65" s="54">
        <f t="shared" si="52"/>
        <v>2.4320000000000004</v>
      </c>
      <c r="AG65" s="54">
        <v>1.3</v>
      </c>
      <c r="AH65" s="56">
        <f>-AF65+AG65</f>
        <v>-1.1320000000000003</v>
      </c>
      <c r="AI65" s="56">
        <f t="shared" si="44"/>
        <v>-5.6560830449827009</v>
      </c>
      <c r="AL65" s="87" t="s">
        <v>2</v>
      </c>
      <c r="AM65" s="86"/>
      <c r="AN65" s="86"/>
      <c r="AO65" s="86"/>
      <c r="AP65" s="87" t="s">
        <v>19</v>
      </c>
      <c r="AQ65" s="87" t="s">
        <v>92</v>
      </c>
      <c r="AR65" s="87" t="s">
        <v>93</v>
      </c>
      <c r="AS65" s="86"/>
      <c r="AT65" s="86"/>
      <c r="AU65" s="87" t="s">
        <v>19</v>
      </c>
      <c r="AV65" s="111" t="s">
        <v>94</v>
      </c>
    </row>
    <row r="66" spans="1:48" ht="18" x14ac:dyDescent="0.3">
      <c r="A66" s="50">
        <v>0.3</v>
      </c>
      <c r="B66" s="50">
        <f t="shared" si="53"/>
        <v>1.9608582056797261</v>
      </c>
      <c r="C66" s="50">
        <f t="shared" si="54"/>
        <v>0.50998078142695324</v>
      </c>
      <c r="D66" s="50">
        <f t="shared" si="45"/>
        <v>3.5548931262316481</v>
      </c>
      <c r="E66" s="51">
        <f>2*$D$82*(1+$B$84)/D66</f>
        <v>35.23555979664647</v>
      </c>
      <c r="F66" s="50">
        <f t="shared" si="46"/>
        <v>73.303828583761842</v>
      </c>
      <c r="H66" s="54">
        <v>809</v>
      </c>
      <c r="I66" s="56">
        <f>2.5</f>
        <v>2.5</v>
      </c>
      <c r="J66" s="54">
        <v>165</v>
      </c>
      <c r="K66" s="56">
        <f t="shared" si="41"/>
        <v>84.71828189180475</v>
      </c>
      <c r="L66" s="56">
        <f t="shared" si="42"/>
        <v>3.8</v>
      </c>
      <c r="M66" s="54">
        <v>1</v>
      </c>
      <c r="N66" s="56">
        <f t="shared" ref="N66:N71" si="55">L66+M66</f>
        <v>4.8</v>
      </c>
      <c r="O66" s="56">
        <f t="shared" si="43"/>
        <v>25.458953168044079</v>
      </c>
      <c r="Q66" s="72">
        <v>0.4</v>
      </c>
      <c r="R66" s="56">
        <f t="shared" si="47"/>
        <v>6.7229424194733465</v>
      </c>
      <c r="S66" s="56">
        <f t="shared" si="48"/>
        <v>0.14874439458286134</v>
      </c>
      <c r="T66" s="56">
        <f t="shared" si="38"/>
        <v>7.9557409531811762</v>
      </c>
      <c r="U66" s="70">
        <f t="shared" ref="U66:U77" si="56">2*$D$82*(1+$B$84)/T66</f>
        <v>15.744435377818194</v>
      </c>
      <c r="V66" s="56">
        <f t="shared" si="49"/>
        <v>14.076160690772319</v>
      </c>
      <c r="W66" s="56">
        <f t="shared" si="50"/>
        <v>7.1042098905247208E-2</v>
      </c>
      <c r="X66" s="56">
        <f t="shared" si="39"/>
        <v>15.231256928802535</v>
      </c>
      <c r="Y66" s="70">
        <f t="shared" ref="Y66:Y77" si="57">2*$D$82*(1+$B$84)/X66</f>
        <v>8.2237894026432432</v>
      </c>
      <c r="Z66" s="70">
        <f t="shared" si="40"/>
        <v>62.831853071795862</v>
      </c>
      <c r="AB66" s="54">
        <v>814</v>
      </c>
      <c r="AC66" s="54">
        <v>0.68</v>
      </c>
      <c r="AD66" s="54">
        <v>170</v>
      </c>
      <c r="AE66" s="56">
        <f t="shared" si="51"/>
        <v>85.241880667403066</v>
      </c>
      <c r="AF66" s="54">
        <f t="shared" si="52"/>
        <v>1.0336000000000001</v>
      </c>
      <c r="AG66" s="54">
        <v>1.05</v>
      </c>
      <c r="AH66" s="56">
        <f t="shared" ref="AH66:AH71" si="58">AF66+AG66</f>
        <v>2.0836000000000001</v>
      </c>
      <c r="AI66" s="56">
        <f t="shared" si="44"/>
        <v>10.410790311418687</v>
      </c>
      <c r="AL66" s="87"/>
      <c r="AM66" s="86"/>
      <c r="AN66" s="86"/>
      <c r="AO66" s="86"/>
      <c r="AP66" s="87"/>
      <c r="AQ66" s="87"/>
      <c r="AR66" s="87"/>
      <c r="AS66" s="86"/>
      <c r="AT66" s="86"/>
      <c r="AU66" s="87"/>
      <c r="AV66" s="111"/>
    </row>
    <row r="67" spans="1:48" ht="18" x14ac:dyDescent="0.3">
      <c r="A67" s="50">
        <v>0.4</v>
      </c>
      <c r="B67" s="50">
        <f t="shared" si="53"/>
        <v>1.4706436542597945</v>
      </c>
      <c r="C67" s="50">
        <f t="shared" si="54"/>
        <v>0.67997437523593762</v>
      </c>
      <c r="D67" s="50">
        <f t="shared" si="45"/>
        <v>3.2346721686207012</v>
      </c>
      <c r="E67" s="51">
        <f>2*$D$82*(1+$B$84)/D67</f>
        <v>38.723753997436589</v>
      </c>
      <c r="F67" s="50">
        <f t="shared" si="46"/>
        <v>62.831853071795862</v>
      </c>
      <c r="H67" s="54">
        <v>507</v>
      </c>
      <c r="I67" s="56">
        <v>3.75</v>
      </c>
      <c r="J67" s="54">
        <v>160</v>
      </c>
      <c r="K67" s="56">
        <f t="shared" si="41"/>
        <v>53.092915845667498</v>
      </c>
      <c r="L67" s="56">
        <f t="shared" si="42"/>
        <v>5.7</v>
      </c>
      <c r="M67" s="54">
        <v>1</v>
      </c>
      <c r="N67" s="56">
        <f t="shared" si="55"/>
        <v>6.7</v>
      </c>
      <c r="O67" s="56">
        <f t="shared" si="43"/>
        <v>37.792187500000004</v>
      </c>
      <c r="Q67" s="71">
        <v>0.5</v>
      </c>
      <c r="R67" s="56">
        <f t="shared" si="47"/>
        <v>5.3783539355786774</v>
      </c>
      <c r="S67" s="56">
        <f t="shared" si="48"/>
        <v>0.18593049322857669</v>
      </c>
      <c r="T67" s="56">
        <f t="shared" si="38"/>
        <v>6.6483385679322229</v>
      </c>
      <c r="U67" s="70">
        <f t="shared" si="56"/>
        <v>18.840594238716832</v>
      </c>
      <c r="V67" s="56">
        <f t="shared" si="49"/>
        <v>11.260928552617855</v>
      </c>
      <c r="W67" s="56">
        <f t="shared" si="50"/>
        <v>8.8802623631559011E-2</v>
      </c>
      <c r="X67" s="56">
        <f t="shared" si="39"/>
        <v>12.433785315374383</v>
      </c>
      <c r="Y67" s="70">
        <f t="shared" si="57"/>
        <v>10.074055980775247</v>
      </c>
      <c r="Z67" s="70">
        <f t="shared" si="40"/>
        <v>52.35987755982989</v>
      </c>
      <c r="AB67" s="54">
        <v>600</v>
      </c>
      <c r="AC67" s="54">
        <v>1.5</v>
      </c>
      <c r="AD67" s="54">
        <v>170</v>
      </c>
      <c r="AE67" s="56">
        <f t="shared" si="51"/>
        <v>62.831853071795862</v>
      </c>
      <c r="AF67" s="54">
        <f t="shared" si="52"/>
        <v>2.2800000000000002</v>
      </c>
      <c r="AG67" s="54">
        <v>1</v>
      </c>
      <c r="AH67" s="56">
        <f t="shared" si="58"/>
        <v>3.2800000000000002</v>
      </c>
      <c r="AI67" s="56">
        <f t="shared" si="44"/>
        <v>16.388650519031145</v>
      </c>
      <c r="AL67" s="77"/>
      <c r="AM67" s="77">
        <v>0</v>
      </c>
      <c r="AN67" s="77"/>
      <c r="AO67" s="77"/>
      <c r="AP67" s="77"/>
      <c r="AQ67" s="77">
        <v>0</v>
      </c>
      <c r="AR67" s="77">
        <v>0</v>
      </c>
      <c r="AS67" s="77"/>
      <c r="AT67" s="77"/>
      <c r="AU67" s="77"/>
      <c r="AV67" s="77">
        <v>0</v>
      </c>
    </row>
    <row r="68" spans="1:48" ht="18" x14ac:dyDescent="0.3">
      <c r="A68" s="50">
        <v>0.5</v>
      </c>
      <c r="B68" s="50">
        <f t="shared" si="53"/>
        <v>1.1765149234078356</v>
      </c>
      <c r="C68" s="50">
        <f t="shared" si="54"/>
        <v>0.849967969044922</v>
      </c>
      <c r="D68" s="50">
        <f t="shared" si="45"/>
        <v>3.1105370315777261</v>
      </c>
      <c r="E68" s="51">
        <f t="shared" ref="E68:E78" si="59">2*$D$82*(1+$B$84)/D68</f>
        <v>40.269139395678273</v>
      </c>
      <c r="F68" s="50">
        <f t="shared" si="46"/>
        <v>52.35987755982989</v>
      </c>
      <c r="H68" s="54">
        <v>350</v>
      </c>
      <c r="I68" s="56">
        <v>3.8</v>
      </c>
      <c r="J68" s="54">
        <v>155</v>
      </c>
      <c r="K68" s="56">
        <f t="shared" si="41"/>
        <v>36.651914291880914</v>
      </c>
      <c r="L68" s="56">
        <f t="shared" si="42"/>
        <v>5.7759999999999998</v>
      </c>
      <c r="M68" s="54">
        <v>1</v>
      </c>
      <c r="N68" s="56">
        <f t="shared" si="55"/>
        <v>6.7759999999999998</v>
      </c>
      <c r="O68" s="56">
        <f t="shared" si="43"/>
        <v>40.726509885535897</v>
      </c>
      <c r="Q68" s="72">
        <v>0.6</v>
      </c>
      <c r="R68" s="56">
        <f t="shared" si="47"/>
        <v>4.4819616129822313</v>
      </c>
      <c r="S68" s="56">
        <f t="shared" si="48"/>
        <v>0.223116591874292</v>
      </c>
      <c r="T68" s="56">
        <f t="shared" si="38"/>
        <v>5.7891323439814917</v>
      </c>
      <c r="U68" s="70">
        <f t="shared" si="56"/>
        <v>21.636860565166451</v>
      </c>
      <c r="V68" s="56">
        <f t="shared" si="49"/>
        <v>9.3841071271815473</v>
      </c>
      <c r="W68" s="56">
        <f t="shared" si="50"/>
        <v>0.10656314835787081</v>
      </c>
      <c r="X68" s="56">
        <f t="shared" si="39"/>
        <v>10.574724414664388</v>
      </c>
      <c r="Y68" s="70">
        <f t="shared" si="57"/>
        <v>11.845098218003832</v>
      </c>
      <c r="Z68" s="70">
        <f t="shared" si="40"/>
        <v>41.887902047863918</v>
      </c>
      <c r="AB68" s="54">
        <v>499</v>
      </c>
      <c r="AC68" s="54">
        <v>1.85</v>
      </c>
      <c r="AD68" s="54">
        <v>170</v>
      </c>
      <c r="AE68" s="56">
        <f t="shared" si="51"/>
        <v>52.25515780471023</v>
      </c>
      <c r="AF68" s="54">
        <f t="shared" si="52"/>
        <v>2.8120000000000003</v>
      </c>
      <c r="AG68" s="54">
        <v>1</v>
      </c>
      <c r="AH68" s="56">
        <f t="shared" si="58"/>
        <v>3.8120000000000003</v>
      </c>
      <c r="AI68" s="56">
        <f t="shared" si="44"/>
        <v>19.046809688581316</v>
      </c>
      <c r="AL68" s="77">
        <v>100</v>
      </c>
      <c r="AM68" s="78">
        <f>AL68*PI()/30</f>
        <v>10.471975511965978</v>
      </c>
      <c r="AN68" s="78">
        <f>AM68/$AO$95</f>
        <v>0.10878543322088831</v>
      </c>
      <c r="AO68" s="78">
        <f>$AO$95/AM68</f>
        <v>9.1924072037246454</v>
      </c>
      <c r="AP68" s="78">
        <f>AN68+AO68</f>
        <v>9.3011926369455331</v>
      </c>
      <c r="AQ68" s="78">
        <f>2*$AO$94/AP68</f>
        <v>-1.8435007306605389</v>
      </c>
      <c r="AR68" s="78">
        <f>2*$AP$94/AP68</f>
        <v>-0.79872231624837309</v>
      </c>
      <c r="AS68" s="78">
        <f>AM68/$AQ$95</f>
        <v>0.22776950080623487</v>
      </c>
      <c r="AT68" s="78">
        <f>$AQ$95/AM68</f>
        <v>4.3904034405849055</v>
      </c>
      <c r="AU68" s="78">
        <f>AS68+AT68</f>
        <v>4.6181729413911405</v>
      </c>
      <c r="AV68" s="78">
        <f>2*$AQ$94/AU68</f>
        <v>-1.6086600093013359</v>
      </c>
    </row>
    <row r="69" spans="1:48" ht="18" x14ac:dyDescent="0.3">
      <c r="A69" s="50">
        <v>0.6</v>
      </c>
      <c r="B69" s="50">
        <f t="shared" si="53"/>
        <v>0.98042910283986306</v>
      </c>
      <c r="C69" s="50">
        <f t="shared" si="54"/>
        <v>1.0199615628539065</v>
      </c>
      <c r="D69" s="50">
        <f t="shared" si="45"/>
        <v>3.0844448048187383</v>
      </c>
      <c r="E69" s="51">
        <f t="shared" si="59"/>
        <v>40.609787902294386</v>
      </c>
      <c r="F69" s="50">
        <f t="shared" si="46"/>
        <v>41.887902047863918</v>
      </c>
      <c r="H69" s="54">
        <v>297</v>
      </c>
      <c r="I69" s="56">
        <v>3.75</v>
      </c>
      <c r="J69" s="54">
        <v>155</v>
      </c>
      <c r="K69" s="56">
        <f t="shared" si="41"/>
        <v>31.101767270538954</v>
      </c>
      <c r="L69" s="56">
        <f t="shared" si="42"/>
        <v>5.7</v>
      </c>
      <c r="M69" s="54">
        <v>1</v>
      </c>
      <c r="N69" s="56">
        <f t="shared" si="55"/>
        <v>6.7</v>
      </c>
      <c r="O69" s="56">
        <f t="shared" si="43"/>
        <v>40.269719042663894</v>
      </c>
      <c r="Q69" s="71">
        <v>0.7</v>
      </c>
      <c r="R69" s="56">
        <f t="shared" si="47"/>
        <v>3.8416813825561982</v>
      </c>
      <c r="S69" s="56">
        <f t="shared" si="48"/>
        <v>0.26030269052000732</v>
      </c>
      <c r="T69" s="56">
        <f t="shared" si="38"/>
        <v>5.1860382122011739</v>
      </c>
      <c r="U69" s="70">
        <f t="shared" si="56"/>
        <v>24.153051750626744</v>
      </c>
      <c r="V69" s="56">
        <f t="shared" si="49"/>
        <v>8.0435203947270395</v>
      </c>
      <c r="W69" s="56">
        <f t="shared" si="50"/>
        <v>0.12432367308418261</v>
      </c>
      <c r="X69" s="56">
        <f t="shared" si="39"/>
        <v>9.2518982069361915</v>
      </c>
      <c r="Y69" s="70">
        <f t="shared" si="57"/>
        <v>13.538697304961241</v>
      </c>
      <c r="Z69" s="70">
        <f t="shared" si="40"/>
        <v>31.415926535897938</v>
      </c>
      <c r="AB69" s="54">
        <v>402</v>
      </c>
      <c r="AC69" s="54">
        <v>2.2200000000000002</v>
      </c>
      <c r="AD69" s="54">
        <v>170</v>
      </c>
      <c r="AE69" s="56">
        <f t="shared" si="51"/>
        <v>42.097341558103231</v>
      </c>
      <c r="AF69" s="54">
        <f t="shared" si="52"/>
        <v>3.3744000000000005</v>
      </c>
      <c r="AG69" s="54">
        <v>1</v>
      </c>
      <c r="AH69" s="56">
        <f t="shared" si="58"/>
        <v>4.3744000000000005</v>
      </c>
      <c r="AI69" s="56">
        <f t="shared" si="44"/>
        <v>21.856863667820072</v>
      </c>
      <c r="AL69" s="77">
        <v>150</v>
      </c>
      <c r="AM69" s="78">
        <f t="shared" ref="AM69:AM74" si="60">AL69*PI()/30</f>
        <v>15.707963267948966</v>
      </c>
      <c r="AN69" s="78">
        <f t="shared" ref="AN69:AN81" si="61">AM69/$AO$95</f>
        <v>0.16317814983133247</v>
      </c>
      <c r="AO69" s="78">
        <f t="shared" ref="AO69:AO74" si="62">$AO$95/AM69</f>
        <v>6.1282714691497633</v>
      </c>
      <c r="AP69" s="78">
        <f t="shared" ref="AP69:AP74" si="63">AN69+AO69</f>
        <v>6.2914496189810958</v>
      </c>
      <c r="AQ69" s="78">
        <f t="shared" ref="AQ69:AQ81" si="64">2*$AO$94/AP69</f>
        <v>-2.72540614018307</v>
      </c>
      <c r="AR69" s="78">
        <f t="shared" ref="AR69:AR81" si="65">2*$AP$94/AP69</f>
        <v>-1.1808200934233328</v>
      </c>
      <c r="AS69" s="78">
        <f t="shared" ref="AS69:AS81" si="66">AM69/$AQ$95</f>
        <v>0.34165425120935228</v>
      </c>
      <c r="AT69" s="78">
        <f t="shared" ref="AT69:AT81" si="67">$AQ$95/AM69</f>
        <v>2.9269356270566038</v>
      </c>
      <c r="AU69" s="78">
        <f t="shared" ref="AU69:AU74" si="68">AS69+AT69</f>
        <v>3.2685898782659559</v>
      </c>
      <c r="AV69" s="78">
        <f t="shared" ref="AV69:AV81" si="69">2*$AQ$94/AU69</f>
        <v>-2.2728670171354448</v>
      </c>
    </row>
    <row r="70" spans="1:48" ht="18" x14ac:dyDescent="0.3">
      <c r="A70" s="50">
        <v>0.7</v>
      </c>
      <c r="B70" s="50">
        <f t="shared" si="53"/>
        <v>0.84036780243416831</v>
      </c>
      <c r="C70" s="50">
        <f t="shared" si="54"/>
        <v>1.1899551566628908</v>
      </c>
      <c r="D70" s="50">
        <f t="shared" si="45"/>
        <v>3.114377098222028</v>
      </c>
      <c r="E70" s="51">
        <f t="shared" si="59"/>
        <v>40.219487033709527</v>
      </c>
      <c r="F70" s="50">
        <f t="shared" si="46"/>
        <v>31.415926535897938</v>
      </c>
      <c r="H70" s="54">
        <v>243</v>
      </c>
      <c r="I70" s="56">
        <v>3.75</v>
      </c>
      <c r="J70" s="54">
        <v>155</v>
      </c>
      <c r="K70" s="56">
        <f t="shared" si="41"/>
        <v>25.446900494077326</v>
      </c>
      <c r="L70" s="56">
        <f t="shared" si="42"/>
        <v>5.7</v>
      </c>
      <c r="M70" s="54">
        <v>1</v>
      </c>
      <c r="N70" s="56">
        <f t="shared" si="55"/>
        <v>6.7</v>
      </c>
      <c r="O70" s="56">
        <f t="shared" si="43"/>
        <v>40.269719042663894</v>
      </c>
      <c r="Q70" s="72">
        <v>0.8</v>
      </c>
      <c r="R70" s="56">
        <f t="shared" si="47"/>
        <v>3.3614712097366732</v>
      </c>
      <c r="S70" s="56">
        <f t="shared" si="48"/>
        <v>0.29748878916572269</v>
      </c>
      <c r="T70" s="56">
        <f t="shared" si="38"/>
        <v>4.7430141380273643</v>
      </c>
      <c r="U70" s="70">
        <f t="shared" si="56"/>
        <v>26.409082004574891</v>
      </c>
      <c r="V70" s="56">
        <f t="shared" si="49"/>
        <v>7.0380803453861596</v>
      </c>
      <c r="W70" s="56">
        <f t="shared" si="50"/>
        <v>0.14208419781049442</v>
      </c>
      <c r="X70" s="56">
        <f t="shared" si="39"/>
        <v>8.2642186823216228</v>
      </c>
      <c r="Y70" s="70">
        <f t="shared" si="57"/>
        <v>15.156744289447397</v>
      </c>
      <c r="Z70" s="70">
        <f t="shared" si="40"/>
        <v>20.943951023931952</v>
      </c>
      <c r="AB70" s="54">
        <v>305</v>
      </c>
      <c r="AC70" s="54">
        <v>2.4900000000000002</v>
      </c>
      <c r="AD70" s="54">
        <v>170</v>
      </c>
      <c r="AE70" s="56">
        <f t="shared" si="51"/>
        <v>31.939525311496233</v>
      </c>
      <c r="AF70" s="54">
        <f t="shared" si="52"/>
        <v>3.7848000000000002</v>
      </c>
      <c r="AG70" s="54">
        <v>1</v>
      </c>
      <c r="AH70" s="56">
        <f t="shared" si="58"/>
        <v>4.7848000000000006</v>
      </c>
      <c r="AI70" s="56">
        <f t="shared" si="44"/>
        <v>23.90744359861592</v>
      </c>
      <c r="AL70" s="77">
        <v>200</v>
      </c>
      <c r="AM70" s="78">
        <f t="shared" si="60"/>
        <v>20.943951023931955</v>
      </c>
      <c r="AN70" s="78">
        <f t="shared" si="61"/>
        <v>0.21757086644177662</v>
      </c>
      <c r="AO70" s="78">
        <f t="shared" si="62"/>
        <v>4.5962036018623227</v>
      </c>
      <c r="AP70" s="78">
        <f t="shared" si="63"/>
        <v>4.8137744683040991</v>
      </c>
      <c r="AQ70" s="78">
        <f t="shared" si="64"/>
        <v>-3.5620188554999639</v>
      </c>
      <c r="AR70" s="78">
        <f t="shared" si="65"/>
        <v>-1.5432941812645253</v>
      </c>
      <c r="AS70" s="78">
        <f t="shared" si="66"/>
        <v>0.45553900161246974</v>
      </c>
      <c r="AT70" s="78">
        <f t="shared" si="67"/>
        <v>2.1952017202924528</v>
      </c>
      <c r="AU70" s="78">
        <f t="shared" si="68"/>
        <v>2.6507407219049224</v>
      </c>
      <c r="AV70" s="78">
        <f t="shared" si="69"/>
        <v>-2.8026393020870932</v>
      </c>
    </row>
    <row r="71" spans="1:48" ht="18" x14ac:dyDescent="0.3">
      <c r="A71" s="50">
        <v>0.8</v>
      </c>
      <c r="B71" s="50">
        <f t="shared" si="53"/>
        <v>0.73532182712989724</v>
      </c>
      <c r="C71" s="50">
        <f t="shared" si="54"/>
        <v>1.3599487504718752</v>
      </c>
      <c r="D71" s="50">
        <f t="shared" si="45"/>
        <v>3.1793247167267413</v>
      </c>
      <c r="E71" s="51">
        <f t="shared" si="59"/>
        <v>39.397878631592626</v>
      </c>
      <c r="F71" s="50">
        <f t="shared" si="46"/>
        <v>20.943951023931952</v>
      </c>
      <c r="H71" s="54">
        <v>185</v>
      </c>
      <c r="I71" s="56">
        <v>3.68</v>
      </c>
      <c r="J71" s="54">
        <v>155</v>
      </c>
      <c r="K71" s="56">
        <f t="shared" si="41"/>
        <v>19.373154697137057</v>
      </c>
      <c r="L71" s="56">
        <f t="shared" si="42"/>
        <v>5.5936000000000003</v>
      </c>
      <c r="M71" s="54">
        <v>1</v>
      </c>
      <c r="N71" s="56">
        <f t="shared" si="55"/>
        <v>6.5936000000000003</v>
      </c>
      <c r="O71" s="56">
        <f t="shared" si="43"/>
        <v>39.63021186264308</v>
      </c>
      <c r="Q71" s="71">
        <v>0.9</v>
      </c>
      <c r="R71" s="56">
        <f t="shared" si="47"/>
        <v>2.9879744086548206</v>
      </c>
      <c r="S71" s="56">
        <f t="shared" si="48"/>
        <v>0.334674887811438</v>
      </c>
      <c r="T71" s="56">
        <f t="shared" si="38"/>
        <v>4.4067034355912273</v>
      </c>
      <c r="U71" s="70">
        <f t="shared" si="56"/>
        <v>28.424569783470663</v>
      </c>
      <c r="V71" s="56">
        <f t="shared" si="49"/>
        <v>6.2560714181210306</v>
      </c>
      <c r="W71" s="56">
        <f t="shared" si="50"/>
        <v>0.15984472253680623</v>
      </c>
      <c r="X71" s="56">
        <f t="shared" si="39"/>
        <v>7.4999702797828052</v>
      </c>
      <c r="Y71" s="70">
        <f t="shared" si="57"/>
        <v>16.701219424518861</v>
      </c>
      <c r="Z71" s="70">
        <f t="shared" si="40"/>
        <v>10.471975511965976</v>
      </c>
      <c r="AB71" s="54">
        <v>201</v>
      </c>
      <c r="AC71" s="54">
        <v>2.75</v>
      </c>
      <c r="AD71" s="54">
        <v>170</v>
      </c>
      <c r="AE71" s="56">
        <f t="shared" si="51"/>
        <v>21.048670779051616</v>
      </c>
      <c r="AF71" s="54">
        <f t="shared" si="52"/>
        <v>4.18</v>
      </c>
      <c r="AG71" s="54">
        <v>1</v>
      </c>
      <c r="AH71" s="56">
        <f t="shared" si="58"/>
        <v>5.18</v>
      </c>
      <c r="AI71" s="56">
        <f t="shared" si="44"/>
        <v>25.882076124567472</v>
      </c>
      <c r="AL71" s="77">
        <v>250</v>
      </c>
      <c r="AM71" s="78">
        <f t="shared" si="60"/>
        <v>26.179938779914941</v>
      </c>
      <c r="AN71" s="78">
        <f t="shared" si="61"/>
        <v>0.27196358305222074</v>
      </c>
      <c r="AO71" s="78">
        <f t="shared" si="62"/>
        <v>3.6769628814898581</v>
      </c>
      <c r="AP71" s="78">
        <f t="shared" si="63"/>
        <v>3.9489264645420787</v>
      </c>
      <c r="AQ71" s="78">
        <f t="shared" si="64"/>
        <v>-4.3421308490260451</v>
      </c>
      <c r="AR71" s="78">
        <f t="shared" si="65"/>
        <v>-1.8812885460289097</v>
      </c>
      <c r="AS71" s="78">
        <f t="shared" si="66"/>
        <v>0.56942375201558715</v>
      </c>
      <c r="AT71" s="78">
        <f t="shared" si="67"/>
        <v>1.7561613762339623</v>
      </c>
      <c r="AU71" s="78">
        <f t="shared" si="68"/>
        <v>2.3255851282495494</v>
      </c>
      <c r="AV71" s="78">
        <f t="shared" si="69"/>
        <v>-3.1944950269118961</v>
      </c>
    </row>
    <row r="72" spans="1:48" ht="18" x14ac:dyDescent="0.3">
      <c r="A72" s="50">
        <v>0.9</v>
      </c>
      <c r="B72" s="50">
        <f t="shared" si="53"/>
        <v>0.65361940189324197</v>
      </c>
      <c r="C72" s="50">
        <f t="shared" si="54"/>
        <v>1.5299423442808597</v>
      </c>
      <c r="D72" s="50">
        <f t="shared" si="45"/>
        <v>3.2676158852990707</v>
      </c>
      <c r="E72" s="51">
        <f t="shared" si="59"/>
        <v>38.333345692055964</v>
      </c>
      <c r="F72" s="50">
        <f t="shared" si="46"/>
        <v>10.471975511965976</v>
      </c>
      <c r="H72" s="54">
        <v>-204</v>
      </c>
      <c r="I72" s="56">
        <v>4.3</v>
      </c>
      <c r="J72" s="54">
        <v>155</v>
      </c>
      <c r="K72" s="56">
        <f t="shared" si="41"/>
        <v>-21.362830044410593</v>
      </c>
      <c r="L72" s="56">
        <f t="shared" si="42"/>
        <v>6.5359999999999996</v>
      </c>
      <c r="M72" s="54">
        <v>1</v>
      </c>
      <c r="N72" s="56">
        <f>L72-M72</f>
        <v>5.5359999999999996</v>
      </c>
      <c r="O72" s="54">
        <f t="shared" si="43"/>
        <v>33.273606659729445</v>
      </c>
      <c r="Q72" s="72">
        <v>1</v>
      </c>
      <c r="R72" s="56">
        <f t="shared" si="47"/>
        <v>2.6891769677893387</v>
      </c>
      <c r="S72" s="56">
        <f t="shared" si="48"/>
        <v>0.37186098645715338</v>
      </c>
      <c r="T72" s="56">
        <f t="shared" si="38"/>
        <v>4.1450920933714608</v>
      </c>
      <c r="U72" s="70">
        <f t="shared" si="56"/>
        <v>30.218544364871306</v>
      </c>
      <c r="V72" s="56">
        <f t="shared" si="49"/>
        <v>5.6304642763089277</v>
      </c>
      <c r="W72" s="56">
        <f t="shared" si="50"/>
        <v>0.17760524726311802</v>
      </c>
      <c r="X72" s="56">
        <f t="shared" si="39"/>
        <v>6.8921236626970144</v>
      </c>
      <c r="Y72" s="70">
        <f t="shared" si="57"/>
        <v>18.174173222975334</v>
      </c>
      <c r="Z72" s="70">
        <f t="shared" si="40"/>
        <v>0</v>
      </c>
      <c r="AB72" s="54">
        <v>-200</v>
      </c>
      <c r="AC72" s="54">
        <v>4.21</v>
      </c>
      <c r="AD72" s="54">
        <v>160</v>
      </c>
      <c r="AE72" s="56">
        <f t="shared" si="51"/>
        <v>-20.943951023931955</v>
      </c>
      <c r="AF72" s="54">
        <f t="shared" si="52"/>
        <v>6.3992000000000004</v>
      </c>
      <c r="AG72" s="54">
        <v>1</v>
      </c>
      <c r="AH72" s="56">
        <f>AF72-AG72</f>
        <v>5.3992000000000004</v>
      </c>
      <c r="AI72" s="56">
        <f t="shared" si="44"/>
        <v>30.454862500000001</v>
      </c>
      <c r="AL72" s="77">
        <v>300</v>
      </c>
      <c r="AM72" s="78">
        <f t="shared" si="60"/>
        <v>31.415926535897931</v>
      </c>
      <c r="AN72" s="78">
        <f t="shared" si="61"/>
        <v>0.32635629966266494</v>
      </c>
      <c r="AO72" s="78">
        <f t="shared" si="62"/>
        <v>3.0641357345748816</v>
      </c>
      <c r="AP72" s="78">
        <f t="shared" si="63"/>
        <v>3.3904920342375466</v>
      </c>
      <c r="AQ72" s="78">
        <f t="shared" si="64"/>
        <v>-5.0573059158003515</v>
      </c>
      <c r="AR72" s="78">
        <f t="shared" si="65"/>
        <v>-2.1911480846537654</v>
      </c>
      <c r="AS72" s="78">
        <f t="shared" si="66"/>
        <v>0.68330850241870456</v>
      </c>
      <c r="AT72" s="78">
        <f t="shared" si="67"/>
        <v>1.4634678135283019</v>
      </c>
      <c r="AU72" s="78">
        <f t="shared" si="68"/>
        <v>2.1467763159470064</v>
      </c>
      <c r="AV72" s="78">
        <f t="shared" si="69"/>
        <v>-3.4605701915321663</v>
      </c>
    </row>
    <row r="73" spans="1:48" ht="18" x14ac:dyDescent="0.3">
      <c r="A73" s="50">
        <v>1</v>
      </c>
      <c r="B73" s="50">
        <f t="shared" si="53"/>
        <v>0.58825746170391779</v>
      </c>
      <c r="C73" s="50">
        <f t="shared" si="54"/>
        <v>1.699935938089844</v>
      </c>
      <c r="D73" s="50">
        <f t="shared" si="45"/>
        <v>3.3722475389187307</v>
      </c>
      <c r="E73" s="51">
        <f t="shared" si="59"/>
        <v>37.143966412437621</v>
      </c>
      <c r="F73" s="50">
        <f t="shared" si="46"/>
        <v>0</v>
      </c>
      <c r="Q73" s="71">
        <v>1.1000000000000001</v>
      </c>
      <c r="R73" s="56">
        <f t="shared" si="47"/>
        <v>2.4447063343539441</v>
      </c>
      <c r="S73" s="56">
        <f t="shared" si="48"/>
        <v>0.40904708510286875</v>
      </c>
      <c r="T73" s="56">
        <f t="shared" si="38"/>
        <v>3.937807558581782</v>
      </c>
      <c r="U73" s="70">
        <f t="shared" si="56"/>
        <v>31.809235839126476</v>
      </c>
      <c r="V73" s="56">
        <f t="shared" si="49"/>
        <v>5.1186038875535704</v>
      </c>
      <c r="W73" s="56">
        <f t="shared" si="50"/>
        <v>0.19536577198942984</v>
      </c>
      <c r="X73" s="56">
        <f t="shared" si="39"/>
        <v>6.3980237986679684</v>
      </c>
      <c r="Y73" s="70">
        <f t="shared" si="57"/>
        <v>19.57770918984404</v>
      </c>
      <c r="Z73" s="70">
        <f t="shared" si="40"/>
        <v>-10.471975511965987</v>
      </c>
      <c r="AB73" s="54">
        <v>-400</v>
      </c>
      <c r="AC73" s="54">
        <v>4.55</v>
      </c>
      <c r="AD73" s="54">
        <v>160</v>
      </c>
      <c r="AE73" s="56">
        <f t="shared" si="51"/>
        <v>-41.887902047863911</v>
      </c>
      <c r="AF73" s="54">
        <f t="shared" si="52"/>
        <v>6.9159999999999995</v>
      </c>
      <c r="AG73" s="54">
        <v>1</v>
      </c>
      <c r="AH73" s="56">
        <f>AF73-AG73</f>
        <v>5.9159999999999995</v>
      </c>
      <c r="AI73" s="56">
        <f t="shared" si="44"/>
        <v>33.369937499999999</v>
      </c>
      <c r="AL73" s="77">
        <v>350</v>
      </c>
      <c r="AM73" s="78">
        <f t="shared" si="60"/>
        <v>36.651914291880914</v>
      </c>
      <c r="AN73" s="78">
        <f t="shared" si="61"/>
        <v>0.38074901627310903</v>
      </c>
      <c r="AO73" s="78">
        <f t="shared" si="62"/>
        <v>2.626402058207042</v>
      </c>
      <c r="AP73" s="78">
        <f t="shared" si="63"/>
        <v>3.0071510744801508</v>
      </c>
      <c r="AQ73" s="78">
        <f t="shared" si="64"/>
        <v>-5.7019933477029214</v>
      </c>
      <c r="AR73" s="78">
        <f t="shared" si="65"/>
        <v>-2.4704678756911873</v>
      </c>
      <c r="AS73" s="78">
        <f t="shared" si="66"/>
        <v>0.79719325282182196</v>
      </c>
      <c r="AT73" s="78">
        <f t="shared" si="67"/>
        <v>1.2544009830242588</v>
      </c>
      <c r="AU73" s="78">
        <f t="shared" si="68"/>
        <v>2.051594235846081</v>
      </c>
      <c r="AV73" s="78">
        <f t="shared" si="69"/>
        <v>-3.6211205885893358</v>
      </c>
    </row>
    <row r="74" spans="1:48" ht="18" x14ac:dyDescent="0.3">
      <c r="A74" s="50">
        <v>1.1000000000000001</v>
      </c>
      <c r="B74" s="50">
        <f t="shared" si="53"/>
        <v>0.53477951063992524</v>
      </c>
      <c r="C74" s="50">
        <f t="shared" si="54"/>
        <v>1.8699295318988285</v>
      </c>
      <c r="D74" s="50">
        <f t="shared" si="45"/>
        <v>3.4887631816637228</v>
      </c>
      <c r="E74" s="51">
        <f t="shared" si="59"/>
        <v>35.903454260913563</v>
      </c>
      <c r="F74" s="50">
        <f t="shared" si="46"/>
        <v>-10.471975511965987</v>
      </c>
      <c r="Q74" s="72">
        <v>1.2</v>
      </c>
      <c r="R74" s="56">
        <f t="shared" si="47"/>
        <v>2.2409808064911156</v>
      </c>
      <c r="S74" s="56">
        <f t="shared" si="48"/>
        <v>0.44623318374858401</v>
      </c>
      <c r="T74" s="56">
        <f t="shared" si="38"/>
        <v>3.7712681293646684</v>
      </c>
      <c r="U74" s="70">
        <f t="shared" si="56"/>
        <v>33.213933622143337</v>
      </c>
      <c r="V74" s="56">
        <f t="shared" si="49"/>
        <v>4.6920535635907736</v>
      </c>
      <c r="W74" s="56">
        <f t="shared" si="50"/>
        <v>0.21312629671574163</v>
      </c>
      <c r="X74" s="56">
        <f t="shared" si="39"/>
        <v>5.9892339994314838</v>
      </c>
      <c r="Y74" s="70">
        <f t="shared" si="57"/>
        <v>20.913968185566414</v>
      </c>
      <c r="Z74" s="70">
        <f t="shared" si="40"/>
        <v>-20.943951023931952</v>
      </c>
      <c r="AB74" s="108" t="s">
        <v>88</v>
      </c>
      <c r="AC74" s="108"/>
      <c r="AD74" s="108"/>
      <c r="AE74" s="108"/>
      <c r="AF74" s="108"/>
      <c r="AG74" s="108"/>
      <c r="AH74" s="108"/>
      <c r="AI74" s="108"/>
      <c r="AL74" s="77">
        <v>400</v>
      </c>
      <c r="AM74" s="78">
        <f t="shared" si="60"/>
        <v>41.887902047863911</v>
      </c>
      <c r="AN74" s="78">
        <f t="shared" si="61"/>
        <v>0.43514173288355323</v>
      </c>
      <c r="AO74" s="78">
        <f t="shared" si="62"/>
        <v>2.2981018009311613</v>
      </c>
      <c r="AP74" s="78">
        <f t="shared" si="63"/>
        <v>2.7332435338147145</v>
      </c>
      <c r="AQ74" s="78">
        <f t="shared" si="64"/>
        <v>-6.2734093065948819</v>
      </c>
      <c r="AR74" s="78">
        <f t="shared" si="65"/>
        <v>-2.7180417825721137</v>
      </c>
      <c r="AS74" s="78">
        <f t="shared" si="66"/>
        <v>0.91107800322493948</v>
      </c>
      <c r="AT74" s="78">
        <f t="shared" si="67"/>
        <v>1.0976008601462264</v>
      </c>
      <c r="AU74" s="78">
        <f t="shared" si="68"/>
        <v>2.0086788633711659</v>
      </c>
      <c r="AV74" s="78">
        <f t="shared" si="69"/>
        <v>-3.6984857372299129</v>
      </c>
    </row>
    <row r="75" spans="1:48" ht="18" x14ac:dyDescent="0.3">
      <c r="A75" s="50">
        <v>1.2</v>
      </c>
      <c r="B75" s="50">
        <f t="shared" si="53"/>
        <v>0.49021455141993153</v>
      </c>
      <c r="C75" s="50">
        <f t="shared" si="54"/>
        <v>2.039923125707813</v>
      </c>
      <c r="D75" s="50">
        <f t="shared" si="45"/>
        <v>3.6141918162527134</v>
      </c>
      <c r="E75" s="51">
        <f t="shared" si="59"/>
        <v>34.657443679869246</v>
      </c>
      <c r="F75" s="50">
        <f t="shared" si="46"/>
        <v>-20.943951023931952</v>
      </c>
      <c r="Q75" s="71">
        <v>1.3</v>
      </c>
      <c r="R75" s="56">
        <f t="shared" si="47"/>
        <v>2.0685976675302604</v>
      </c>
      <c r="S75" s="56">
        <f t="shared" si="48"/>
        <v>0.48341928239429938</v>
      </c>
      <c r="T75" s="56">
        <f t="shared" si="38"/>
        <v>3.6360710890495289</v>
      </c>
      <c r="U75" s="70">
        <f t="shared" si="56"/>
        <v>34.44889999462729</v>
      </c>
      <c r="V75" s="56">
        <f t="shared" si="49"/>
        <v>4.3311263663914827</v>
      </c>
      <c r="W75" s="56">
        <f t="shared" si="50"/>
        <v>0.23088682144205344</v>
      </c>
      <c r="X75" s="56">
        <f t="shared" si="39"/>
        <v>5.6460673269585051</v>
      </c>
      <c r="Y75" s="70">
        <f t="shared" si="57"/>
        <v>22.185114357730953</v>
      </c>
      <c r="Z75" s="70">
        <f t="shared" si="40"/>
        <v>-31.415926535897938</v>
      </c>
      <c r="AB75" s="54">
        <v>832</v>
      </c>
      <c r="AC75" s="54">
        <v>0</v>
      </c>
      <c r="AD75" s="54">
        <v>170</v>
      </c>
      <c r="AE75" s="56">
        <f t="shared" si="51"/>
        <v>87.126836259556939</v>
      </c>
      <c r="AF75" s="54">
        <f t="shared" si="52"/>
        <v>0</v>
      </c>
      <c r="AG75" s="54">
        <v>1.05</v>
      </c>
      <c r="AH75" s="56">
        <f>AF75+AG75</f>
        <v>1.05</v>
      </c>
      <c r="AI75" s="56">
        <f t="shared" si="44"/>
        <v>5.2463667820069206</v>
      </c>
      <c r="AL75" s="77">
        <v>450</v>
      </c>
      <c r="AM75" s="78">
        <f t="shared" ref="AM75:AM80" si="70">AL75*PI()/30</f>
        <v>47.123889803846893</v>
      </c>
      <c r="AN75" s="78">
        <f t="shared" si="61"/>
        <v>0.48953444949399733</v>
      </c>
      <c r="AO75" s="78">
        <f t="shared" ref="AO75:AO81" si="71">$AO$95/AM75</f>
        <v>2.0427571563832547</v>
      </c>
      <c r="AP75" s="78">
        <f t="shared" ref="AP75:AP81" si="72">AN75+AO75</f>
        <v>2.5322916058772522</v>
      </c>
      <c r="AQ75" s="78">
        <f t="shared" si="64"/>
        <v>-6.7712404773712578</v>
      </c>
      <c r="AR75" s="78">
        <f t="shared" si="65"/>
        <v>-2.933734057172229</v>
      </c>
      <c r="AS75" s="78">
        <f t="shared" si="66"/>
        <v>1.0249627536280568</v>
      </c>
      <c r="AT75" s="78">
        <f t="shared" si="67"/>
        <v>0.97564520901886798</v>
      </c>
      <c r="AU75" s="78">
        <f t="shared" ref="AU75:AU81" si="73">AS75+AT75</f>
        <v>2.0006079626469249</v>
      </c>
      <c r="AV75" s="78">
        <f t="shared" si="69"/>
        <v>-3.7134062572780837</v>
      </c>
    </row>
    <row r="76" spans="1:48" ht="18" x14ac:dyDescent="0.3">
      <c r="A76" s="50">
        <v>1.3</v>
      </c>
      <c r="B76" s="50">
        <f t="shared" si="53"/>
        <v>0.45250573977224445</v>
      </c>
      <c r="C76" s="50">
        <f t="shared" si="54"/>
        <v>2.2099167195167975</v>
      </c>
      <c r="D76" s="50">
        <f t="shared" si="45"/>
        <v>3.7464765984140103</v>
      </c>
      <c r="E76" s="51">
        <f t="shared" si="59"/>
        <v>33.433719931161001</v>
      </c>
      <c r="F76" s="50">
        <f t="shared" si="46"/>
        <v>-31.415926535897938</v>
      </c>
      <c r="Q76" s="72">
        <v>1.4</v>
      </c>
      <c r="R76" s="56">
        <f t="shared" si="47"/>
        <v>1.9208406912780991</v>
      </c>
      <c r="S76" s="56">
        <f t="shared" si="48"/>
        <v>0.52060538104001464</v>
      </c>
      <c r="T76" s="56">
        <f t="shared" si="38"/>
        <v>3.5255002114430827</v>
      </c>
      <c r="U76" s="70">
        <f t="shared" si="56"/>
        <v>35.529326849409266</v>
      </c>
      <c r="V76" s="56">
        <f t="shared" si="49"/>
        <v>4.0217601973635198</v>
      </c>
      <c r="W76" s="56">
        <f t="shared" si="50"/>
        <v>0.24864734616836523</v>
      </c>
      <c r="X76" s="56">
        <f t="shared" si="39"/>
        <v>5.3544616826568534</v>
      </c>
      <c r="Y76" s="70">
        <f t="shared" si="57"/>
        <v>23.393322567931818</v>
      </c>
      <c r="Z76" s="70">
        <f t="shared" si="40"/>
        <v>-41.887902047863903</v>
      </c>
      <c r="AB76" s="54">
        <v>1005</v>
      </c>
      <c r="AC76" s="54">
        <v>0.7</v>
      </c>
      <c r="AD76" s="54">
        <v>170</v>
      </c>
      <c r="AE76" s="56">
        <f t="shared" si="51"/>
        <v>105.24335389525807</v>
      </c>
      <c r="AF76" s="54">
        <f t="shared" si="52"/>
        <v>1.0639999999999998</v>
      </c>
      <c r="AG76" s="54">
        <v>1.1499999999999999</v>
      </c>
      <c r="AH76" s="56">
        <f>-AF76+AG76</f>
        <v>8.6000000000000076E-2</v>
      </c>
      <c r="AI76" s="56">
        <f t="shared" si="44"/>
        <v>0.42970242214532911</v>
      </c>
      <c r="AL76" s="77">
        <v>500</v>
      </c>
      <c r="AM76" s="78">
        <f t="shared" si="70"/>
        <v>52.359877559829883</v>
      </c>
      <c r="AN76" s="78">
        <f t="shared" si="61"/>
        <v>0.54392716610444147</v>
      </c>
      <c r="AO76" s="78">
        <f t="shared" si="71"/>
        <v>1.838481440744929</v>
      </c>
      <c r="AP76" s="78">
        <f t="shared" si="72"/>
        <v>2.3824086068493706</v>
      </c>
      <c r="AQ76" s="78">
        <f t="shared" si="64"/>
        <v>-7.1972353411278744</v>
      </c>
      <c r="AR76" s="78">
        <f t="shared" si="65"/>
        <v>-3.1183022532302149</v>
      </c>
      <c r="AS76" s="78">
        <f t="shared" si="66"/>
        <v>1.1388475040311743</v>
      </c>
      <c r="AT76" s="78">
        <f t="shared" si="67"/>
        <v>0.87808068811698115</v>
      </c>
      <c r="AU76" s="78">
        <f t="shared" si="73"/>
        <v>2.0169281921481552</v>
      </c>
      <c r="AV76" s="78">
        <f t="shared" si="69"/>
        <v>-3.6833587609983396</v>
      </c>
    </row>
    <row r="77" spans="1:48" ht="18" x14ac:dyDescent="0.3">
      <c r="A77" s="50">
        <v>1.4</v>
      </c>
      <c r="B77" s="50">
        <f t="shared" si="53"/>
        <v>0.42018390121708415</v>
      </c>
      <c r="C77" s="50">
        <f t="shared" si="54"/>
        <v>2.3799103133257815</v>
      </c>
      <c r="D77" s="50">
        <f t="shared" si="45"/>
        <v>3.8841483536678343</v>
      </c>
      <c r="E77" s="51">
        <f t="shared" si="59"/>
        <v>32.248677937787818</v>
      </c>
      <c r="F77" s="50">
        <f t="shared" si="46"/>
        <v>-41.887902047863903</v>
      </c>
      <c r="Q77" s="71">
        <v>1.5</v>
      </c>
      <c r="R77" s="56">
        <f t="shared" si="47"/>
        <v>1.7927846451928924</v>
      </c>
      <c r="S77" s="56">
        <f t="shared" si="48"/>
        <v>0.55779147968573006</v>
      </c>
      <c r="T77" s="56">
        <f t="shared" si="38"/>
        <v>3.4346302640035908</v>
      </c>
      <c r="U77" s="70">
        <f t="shared" si="56"/>
        <v>36.469325572766166</v>
      </c>
      <c r="V77" s="56">
        <f t="shared" si="49"/>
        <v>3.7536428508726183</v>
      </c>
      <c r="W77" s="56">
        <f t="shared" si="50"/>
        <v>0.26640787089467705</v>
      </c>
      <c r="X77" s="56">
        <f t="shared" si="39"/>
        <v>5.1041048608922637</v>
      </c>
      <c r="Y77" s="70">
        <f t="shared" si="57"/>
        <v>24.540767232224521</v>
      </c>
      <c r="Z77" s="70">
        <f t="shared" si="40"/>
        <v>-52.35987755982989</v>
      </c>
      <c r="AB77" s="54">
        <v>1158</v>
      </c>
      <c r="AC77" s="54">
        <v>1.25</v>
      </c>
      <c r="AD77" s="54">
        <v>170</v>
      </c>
      <c r="AE77" s="56">
        <f t="shared" si="51"/>
        <v>121.26547642856602</v>
      </c>
      <c r="AF77" s="54">
        <f t="shared" si="52"/>
        <v>1.9</v>
      </c>
      <c r="AG77" s="54">
        <v>1.3</v>
      </c>
      <c r="AH77" s="56">
        <f>-AF77+AG77</f>
        <v>-0.59999999999999987</v>
      </c>
      <c r="AI77" s="56">
        <f t="shared" si="44"/>
        <v>-2.9979238754325253</v>
      </c>
      <c r="AL77" s="77">
        <v>600</v>
      </c>
      <c r="AM77" s="78">
        <f t="shared" si="70"/>
        <v>62.831853071795862</v>
      </c>
      <c r="AN77" s="78">
        <f t="shared" si="61"/>
        <v>0.65271259932532988</v>
      </c>
      <c r="AO77" s="78">
        <f t="shared" si="71"/>
        <v>1.5320678672874408</v>
      </c>
      <c r="AP77" s="78">
        <f t="shared" si="72"/>
        <v>2.1847804666127706</v>
      </c>
      <c r="AQ77" s="78">
        <f t="shared" si="64"/>
        <v>-7.8482738582917753</v>
      </c>
      <c r="AR77" s="78">
        <f t="shared" si="65"/>
        <v>-3.4003737402372951</v>
      </c>
      <c r="AS77" s="78">
        <f t="shared" si="66"/>
        <v>1.3666170048374091</v>
      </c>
      <c r="AT77" s="78">
        <f t="shared" si="67"/>
        <v>0.73173390676415095</v>
      </c>
      <c r="AU77" s="78">
        <f t="shared" si="73"/>
        <v>2.09835091160156</v>
      </c>
      <c r="AV77" s="78">
        <f t="shared" si="69"/>
        <v>-3.5404326729999771</v>
      </c>
    </row>
    <row r="78" spans="1:48" ht="18" x14ac:dyDescent="0.3">
      <c r="A78" s="50">
        <v>1.5</v>
      </c>
      <c r="B78" s="50">
        <f t="shared" si="53"/>
        <v>0.39217164113594521</v>
      </c>
      <c r="C78" s="50">
        <f t="shared" si="54"/>
        <v>2.549903907134766</v>
      </c>
      <c r="D78" s="50">
        <f t="shared" si="45"/>
        <v>4.02612968739568</v>
      </c>
      <c r="E78" s="51">
        <f t="shared" si="59"/>
        <v>31.111429349174013</v>
      </c>
      <c r="F78" s="50">
        <f t="shared" si="46"/>
        <v>-52.35987755982989</v>
      </c>
      <c r="Q78" t="s">
        <v>84</v>
      </c>
      <c r="R78">
        <f>(-1)*R80/(SQRT(6^2+D89^2))</f>
        <v>-2.6891769677893387</v>
      </c>
      <c r="S78" t="s">
        <v>85</v>
      </c>
      <c r="T78">
        <f>R80/(SQRT(6^2+D89^2))</f>
        <v>2.6891769677893387</v>
      </c>
      <c r="AB78" s="54">
        <v>778</v>
      </c>
      <c r="AC78" s="54">
        <v>0.35</v>
      </c>
      <c r="AD78" s="54">
        <v>170</v>
      </c>
      <c r="AE78" s="56">
        <f t="shared" si="51"/>
        <v>81.471969483095307</v>
      </c>
      <c r="AF78" s="54">
        <f t="shared" si="52"/>
        <v>0.53199999999999992</v>
      </c>
      <c r="AG78" s="54">
        <v>1.05</v>
      </c>
      <c r="AH78" s="56">
        <f>AF78+AG78</f>
        <v>1.5819999999999999</v>
      </c>
      <c r="AI78" s="56">
        <f t="shared" si="44"/>
        <v>7.9045259515570931</v>
      </c>
      <c r="AL78" s="77">
        <v>700</v>
      </c>
      <c r="AM78" s="78">
        <f t="shared" si="70"/>
        <v>73.303828583761828</v>
      </c>
      <c r="AN78" s="78">
        <f t="shared" si="61"/>
        <v>0.76149803254621806</v>
      </c>
      <c r="AO78" s="78">
        <f t="shared" si="71"/>
        <v>1.313201029103521</v>
      </c>
      <c r="AP78" s="78">
        <f t="shared" si="72"/>
        <v>2.0746990616497389</v>
      </c>
      <c r="AQ78" s="78">
        <f t="shared" si="64"/>
        <v>-8.2646952221537724</v>
      </c>
      <c r="AR78" s="78">
        <f t="shared" si="65"/>
        <v>-3.5807940843941357</v>
      </c>
      <c r="AS78" s="78">
        <f t="shared" si="66"/>
        <v>1.5943865056436439</v>
      </c>
      <c r="AT78" s="78">
        <f t="shared" si="67"/>
        <v>0.62720049151212942</v>
      </c>
      <c r="AU78" s="78">
        <f t="shared" si="73"/>
        <v>2.2215869971557733</v>
      </c>
      <c r="AV78" s="78">
        <f t="shared" si="69"/>
        <v>-3.344037454470453</v>
      </c>
    </row>
    <row r="79" spans="1:48" ht="18" x14ac:dyDescent="0.3">
      <c r="A79" s="52"/>
      <c r="B79" s="52"/>
      <c r="C79" s="52"/>
      <c r="D79" s="52"/>
      <c r="E79" s="52"/>
      <c r="F79" s="52"/>
      <c r="Q79" t="s">
        <v>82</v>
      </c>
      <c r="R79">
        <f>(-1)*T80/(SQRT(6^2+D89^2))</f>
        <v>-5.6304642763089277</v>
      </c>
      <c r="S79" t="s">
        <v>83</v>
      </c>
      <c r="T79">
        <f>T80/(SQRT(6^2+D89^2))</f>
        <v>5.6304642763089277</v>
      </c>
      <c r="AB79" s="54">
        <v>603</v>
      </c>
      <c r="AC79" s="54">
        <v>0.7</v>
      </c>
      <c r="AD79" s="54">
        <v>170</v>
      </c>
      <c r="AE79" s="56">
        <f t="shared" si="51"/>
        <v>63.146012337154843</v>
      </c>
      <c r="AF79" s="54">
        <f t="shared" si="52"/>
        <v>1.0639999999999998</v>
      </c>
      <c r="AG79" s="54">
        <v>1</v>
      </c>
      <c r="AH79" s="56">
        <f>AF79+AG79</f>
        <v>2.0640000000000001</v>
      </c>
      <c r="AI79" s="56">
        <f t="shared" si="44"/>
        <v>10.312858131487889</v>
      </c>
      <c r="AL79" s="77">
        <v>800</v>
      </c>
      <c r="AM79" s="78">
        <f t="shared" si="70"/>
        <v>83.775804095727821</v>
      </c>
      <c r="AN79" s="78">
        <f t="shared" si="61"/>
        <v>0.87028346576710647</v>
      </c>
      <c r="AO79" s="78">
        <f t="shared" si="71"/>
        <v>1.1490509004655807</v>
      </c>
      <c r="AP79" s="78">
        <f t="shared" si="72"/>
        <v>2.019334366232687</v>
      </c>
      <c r="AQ79" s="78">
        <f t="shared" si="64"/>
        <v>-8.4912908475939339</v>
      </c>
      <c r="AR79" s="78">
        <f t="shared" si="65"/>
        <v>-3.6789697887989101</v>
      </c>
      <c r="AS79" s="78">
        <f t="shared" si="66"/>
        <v>1.822156006449879</v>
      </c>
      <c r="AT79" s="78">
        <f t="shared" si="67"/>
        <v>0.54880043007311319</v>
      </c>
      <c r="AU79" s="78">
        <f t="shared" si="73"/>
        <v>2.370956436522992</v>
      </c>
      <c r="AV79" s="78">
        <f t="shared" si="69"/>
        <v>-3.1333642459277669</v>
      </c>
    </row>
    <row r="80" spans="1:48" ht="18" x14ac:dyDescent="0.3">
      <c r="Q80" t="s">
        <v>80</v>
      </c>
      <c r="R80">
        <f>(R81+R82)*3.05^2</f>
        <v>29.767999999999997</v>
      </c>
      <c r="S80" t="s">
        <v>81</v>
      </c>
      <c r="T80">
        <f>(R81+R83)*3.05^2</f>
        <v>62.32674999999999</v>
      </c>
      <c r="AB80" s="54">
        <v>407</v>
      </c>
      <c r="AC80" s="54">
        <v>1.1000000000000001</v>
      </c>
      <c r="AD80" s="54">
        <v>170</v>
      </c>
      <c r="AE80" s="56">
        <f t="shared" si="51"/>
        <v>42.620940333701533</v>
      </c>
      <c r="AF80" s="54">
        <f t="shared" si="52"/>
        <v>1.6720000000000002</v>
      </c>
      <c r="AG80" s="54">
        <v>1</v>
      </c>
      <c r="AH80" s="56">
        <f>AF80+AG80</f>
        <v>2.6720000000000002</v>
      </c>
      <c r="AI80" s="56">
        <f t="shared" si="44"/>
        <v>13.350754325259517</v>
      </c>
      <c r="AL80" s="77">
        <v>900</v>
      </c>
      <c r="AM80" s="78">
        <f t="shared" si="70"/>
        <v>94.247779607693786</v>
      </c>
      <c r="AN80" s="78">
        <f t="shared" si="61"/>
        <v>0.97906889898799465</v>
      </c>
      <c r="AO80" s="78">
        <f t="shared" si="71"/>
        <v>1.0213785781916274</v>
      </c>
      <c r="AP80" s="78">
        <f t="shared" si="72"/>
        <v>2.0004474771796219</v>
      </c>
      <c r="AQ80" s="78">
        <f t="shared" si="64"/>
        <v>-8.5714599447510977</v>
      </c>
      <c r="AR80" s="78">
        <f t="shared" si="65"/>
        <v>-3.7137041644939859</v>
      </c>
      <c r="AS80" s="78">
        <f t="shared" si="66"/>
        <v>2.0499255072561136</v>
      </c>
      <c r="AT80" s="78">
        <f t="shared" si="67"/>
        <v>0.48782260450943399</v>
      </c>
      <c r="AU80" s="78">
        <f t="shared" si="73"/>
        <v>2.5377481117655476</v>
      </c>
      <c r="AV80" s="78">
        <f t="shared" si="69"/>
        <v>-2.927426127286108</v>
      </c>
    </row>
    <row r="81" spans="1:48" ht="18" x14ac:dyDescent="0.3">
      <c r="Q81" t="s">
        <v>77</v>
      </c>
      <c r="R81">
        <v>0.7</v>
      </c>
      <c r="AB81" s="54">
        <v>208</v>
      </c>
      <c r="AC81" s="54">
        <v>1.5</v>
      </c>
      <c r="AD81" s="54">
        <v>170</v>
      </c>
      <c r="AE81" s="56">
        <f t="shared" si="51"/>
        <v>21.781709064889235</v>
      </c>
      <c r="AF81" s="54">
        <f t="shared" si="52"/>
        <v>2.2800000000000002</v>
      </c>
      <c r="AG81" s="54">
        <v>1</v>
      </c>
      <c r="AH81" s="56">
        <f>AF81+AG81</f>
        <v>3.2800000000000002</v>
      </c>
      <c r="AI81" s="56">
        <f>AH81*(380/AD81)^2</f>
        <v>16.388650519031145</v>
      </c>
      <c r="AL81" s="77">
        <v>1000</v>
      </c>
      <c r="AM81" s="78">
        <f>AL81*PI()/30</f>
        <v>104.71975511965977</v>
      </c>
      <c r="AN81" s="78">
        <f t="shared" si="61"/>
        <v>1.0878543322088829</v>
      </c>
      <c r="AO81" s="78">
        <f t="shared" si="71"/>
        <v>0.91924072037246451</v>
      </c>
      <c r="AP81" s="78">
        <f t="shared" si="72"/>
        <v>2.0070950525813473</v>
      </c>
      <c r="AQ81" s="78">
        <f t="shared" si="64"/>
        <v>-8.5430709423407123</v>
      </c>
      <c r="AR81" s="78">
        <f t="shared" si="65"/>
        <v>-3.7014042345920988</v>
      </c>
      <c r="AS81" s="78">
        <f t="shared" si="66"/>
        <v>2.2776950080623486</v>
      </c>
      <c r="AT81" s="78">
        <f t="shared" si="67"/>
        <v>0.43904034405849057</v>
      </c>
      <c r="AU81" s="78">
        <f t="shared" si="73"/>
        <v>2.7167353521208391</v>
      </c>
      <c r="AV81" s="78">
        <f t="shared" si="69"/>
        <v>-2.7345579027614497</v>
      </c>
    </row>
    <row r="82" spans="1:48" ht="18" x14ac:dyDescent="0.3">
      <c r="A82" t="s">
        <v>66</v>
      </c>
      <c r="B82">
        <f>(-1)*3*220^2/(2*B85*(SQRT(6^2+D89^2)-6))</f>
        <v>-136.75333299760678</v>
      </c>
      <c r="C82" t="s">
        <v>69</v>
      </c>
      <c r="D82">
        <f>3*220^2/(2*B85*(SQRT(6^2+D89^2)+6))</f>
        <v>40.61493205679006</v>
      </c>
      <c r="Q82" t="s">
        <v>78</v>
      </c>
      <c r="R82">
        <v>2.5</v>
      </c>
      <c r="AB82" s="54">
        <v>-200</v>
      </c>
      <c r="AC82" s="54">
        <v>2.9</v>
      </c>
      <c r="AD82" s="54">
        <v>160</v>
      </c>
      <c r="AE82" s="56">
        <f t="shared" si="51"/>
        <v>-20.943951023931955</v>
      </c>
      <c r="AF82" s="54">
        <f t="shared" si="52"/>
        <v>4.4079999999999995</v>
      </c>
      <c r="AG82" s="54">
        <v>1</v>
      </c>
      <c r="AH82" s="56">
        <f>AF82-AG82</f>
        <v>3.4079999999999995</v>
      </c>
      <c r="AI82" s="56">
        <f t="shared" si="44"/>
        <v>19.223249999999997</v>
      </c>
      <c r="AN82" s="74"/>
      <c r="AO82" s="74"/>
    </row>
    <row r="83" spans="1:48" ht="18" x14ac:dyDescent="0.3">
      <c r="A83" t="s">
        <v>67</v>
      </c>
      <c r="B83">
        <f>(-1)*B90/(SQRT(6^2+D89^2))</f>
        <v>-0.58825746170391779</v>
      </c>
      <c r="C83" t="s">
        <v>70</v>
      </c>
      <c r="D83">
        <f>B90/(SQRT(6^2+D89^2))</f>
        <v>0.58825746170391779</v>
      </c>
      <c r="Q83" t="s">
        <v>79</v>
      </c>
      <c r="R83">
        <v>6</v>
      </c>
      <c r="AB83" s="54">
        <v>-400</v>
      </c>
      <c r="AC83" s="54">
        <v>3.25</v>
      </c>
      <c r="AD83" s="54">
        <v>160</v>
      </c>
      <c r="AE83" s="56">
        <f t="shared" si="51"/>
        <v>-41.887902047863911</v>
      </c>
      <c r="AF83" s="54">
        <f t="shared" si="52"/>
        <v>4.9400000000000004</v>
      </c>
      <c r="AG83" s="54">
        <v>1</v>
      </c>
      <c r="AH83" s="56">
        <f>AF83-AG83</f>
        <v>3.9400000000000004</v>
      </c>
      <c r="AI83" s="56">
        <f t="shared" si="44"/>
        <v>22.224062500000002</v>
      </c>
    </row>
    <row r="84" spans="1:48" ht="18" x14ac:dyDescent="0.3">
      <c r="A84" t="s">
        <v>68</v>
      </c>
      <c r="B84">
        <f>6/SQRT(6^2+D89^2)</f>
        <v>0.54202706956248436</v>
      </c>
      <c r="AB84" s="58"/>
      <c r="AC84" s="58"/>
      <c r="AD84" s="58"/>
      <c r="AE84" s="58"/>
      <c r="AF84" s="58"/>
      <c r="AG84" s="58"/>
      <c r="AH84" s="58"/>
      <c r="AI84" s="58"/>
      <c r="AL84" s="74" t="s">
        <v>72</v>
      </c>
      <c r="AM84" s="74">
        <f>0.57*3.05^2</f>
        <v>5.3024249999999986</v>
      </c>
    </row>
    <row r="85" spans="1:48" ht="20.399999999999999" x14ac:dyDescent="0.45">
      <c r="A85" t="s">
        <v>75</v>
      </c>
      <c r="B85">
        <f>2*PI()*50/3</f>
        <v>104.71975511965978</v>
      </c>
      <c r="AB85" s="58"/>
      <c r="AC85" s="58"/>
      <c r="AD85" s="58"/>
      <c r="AE85" s="58"/>
      <c r="AF85" s="58"/>
      <c r="AG85" s="58"/>
      <c r="AH85" s="58"/>
      <c r="AI85" s="58"/>
      <c r="AM85" s="1" t="s">
        <v>95</v>
      </c>
      <c r="AN85">
        <v>62.5</v>
      </c>
    </row>
    <row r="86" spans="1:48" ht="18" x14ac:dyDescent="0.35">
      <c r="AB86" s="58"/>
      <c r="AC86" s="58"/>
      <c r="AD86" s="58"/>
      <c r="AE86" s="58"/>
      <c r="AF86" s="58"/>
      <c r="AG86" s="58"/>
      <c r="AH86" s="58"/>
      <c r="AI86" s="58"/>
      <c r="AM86" t="s">
        <v>96</v>
      </c>
      <c r="AN86">
        <v>2.5</v>
      </c>
    </row>
    <row r="87" spans="1:48" ht="18" x14ac:dyDescent="0.35">
      <c r="AB87" s="58"/>
      <c r="AC87" s="58"/>
      <c r="AD87" s="58"/>
      <c r="AE87" s="58"/>
      <c r="AF87" s="58"/>
      <c r="AG87" s="58"/>
      <c r="AH87" s="58"/>
      <c r="AI87" s="58"/>
      <c r="AM87" t="s">
        <v>97</v>
      </c>
      <c r="AN87">
        <v>6</v>
      </c>
    </row>
    <row r="88" spans="1:48" ht="18" x14ac:dyDescent="0.35">
      <c r="A88" s="1" t="s">
        <v>71</v>
      </c>
      <c r="AB88" s="58"/>
      <c r="AC88" s="58"/>
      <c r="AD88" s="58"/>
      <c r="AE88" s="58"/>
      <c r="AF88" s="58"/>
      <c r="AG88" s="58"/>
      <c r="AH88" s="58"/>
      <c r="AI88" s="58"/>
      <c r="AM88" t="s">
        <v>98</v>
      </c>
      <c r="AN88">
        <v>2.6</v>
      </c>
    </row>
    <row r="89" spans="1:48" ht="15" x14ac:dyDescent="0.35">
      <c r="A89" t="s">
        <v>72</v>
      </c>
      <c r="B89">
        <f>0.57*3.05^2</f>
        <v>5.3024249999999986</v>
      </c>
      <c r="C89" t="s">
        <v>73</v>
      </c>
      <c r="D89">
        <f>4+B89</f>
        <v>9.3024249999999995</v>
      </c>
      <c r="AM89" t="s">
        <v>99</v>
      </c>
      <c r="AN89">
        <v>3.95</v>
      </c>
    </row>
    <row r="90" spans="1:48" x14ac:dyDescent="0.3">
      <c r="A90" t="s">
        <v>74</v>
      </c>
      <c r="B90">
        <f>0.7*3.05^2</f>
        <v>6.5117499999999984</v>
      </c>
    </row>
    <row r="91" spans="1:48" x14ac:dyDescent="0.3">
      <c r="AM91" s="109" t="s">
        <v>44</v>
      </c>
      <c r="AN91" s="109"/>
      <c r="AO91" s="50">
        <v>1</v>
      </c>
      <c r="AP91" s="50">
        <v>2</v>
      </c>
      <c r="AQ91" s="50">
        <v>3</v>
      </c>
    </row>
    <row r="92" spans="1:48" ht="15" x14ac:dyDescent="0.35">
      <c r="AM92" s="50" t="s">
        <v>100</v>
      </c>
      <c r="AN92" s="50" t="s">
        <v>11</v>
      </c>
      <c r="AO92" s="50" t="s">
        <v>99</v>
      </c>
      <c r="AP92" s="50" t="s">
        <v>98</v>
      </c>
      <c r="AQ92" s="50" t="s">
        <v>98</v>
      </c>
    </row>
    <row r="93" spans="1:48" ht="15" x14ac:dyDescent="0.35">
      <c r="AM93" s="50" t="s">
        <v>101</v>
      </c>
      <c r="AN93" s="50" t="s">
        <v>49</v>
      </c>
      <c r="AO93" s="50" t="s">
        <v>97</v>
      </c>
      <c r="AP93" s="50" t="s">
        <v>97</v>
      </c>
      <c r="AQ93" s="50" t="s">
        <v>96</v>
      </c>
    </row>
    <row r="94" spans="1:48" ht="15" x14ac:dyDescent="0.35">
      <c r="AM94" s="50" t="s">
        <v>102</v>
      </c>
      <c r="AN94" s="50" t="s">
        <v>14</v>
      </c>
      <c r="AO94" s="50">
        <f>-3*(0.816*$AN$89)^2*$AN$85^2/(2*$B$85*($AN$85+$AM$84))</f>
        <v>-8.5733777111117568</v>
      </c>
      <c r="AP94" s="50">
        <f>-3*(0.816*$AN$88)^2*$AN$85^2/(2*$B$85*($AN$85+$AM$84))</f>
        <v>-3.7145350634267249</v>
      </c>
      <c r="AQ94" s="50">
        <f>-3*(0.816*$AN$88)^2*$AN$85^2/(2*$B$85*($AN$85+$AM$84))</f>
        <v>-3.7145350634267249</v>
      </c>
    </row>
    <row r="95" spans="1:48" ht="15.6" x14ac:dyDescent="0.35">
      <c r="AM95" s="50" t="s">
        <v>53</v>
      </c>
      <c r="AN95" s="50" t="s">
        <v>13</v>
      </c>
      <c r="AO95" s="50">
        <f>$B$85*$T$80/($AN$85+$AM$84)</f>
        <v>96.262663133424127</v>
      </c>
      <c r="AP95" s="75">
        <f>$B$85*$T$80/($AN$85+$AM$84)</f>
        <v>96.262663133424127</v>
      </c>
      <c r="AQ95" s="50">
        <f>$B$85*$R$80/($AN$85+$AM$84)</f>
        <v>45.976197317456304</v>
      </c>
    </row>
  </sheetData>
  <mergeCells count="64">
    <mergeCell ref="AM91:AN91"/>
    <mergeCell ref="BC48:BI48"/>
    <mergeCell ref="BC45:BE45"/>
    <mergeCell ref="BF45:BI45"/>
    <mergeCell ref="V59:Z59"/>
    <mergeCell ref="AL65:AL66"/>
    <mergeCell ref="AL48:AR48"/>
    <mergeCell ref="AM65:AM66"/>
    <mergeCell ref="AN65:AN66"/>
    <mergeCell ref="AO65:AO66"/>
    <mergeCell ref="AP65:AP66"/>
    <mergeCell ref="AQ65:AQ66"/>
    <mergeCell ref="AR65:AR66"/>
    <mergeCell ref="AV65:AV66"/>
    <mergeCell ref="AX45:BA45"/>
    <mergeCell ref="AU48:BA48"/>
    <mergeCell ref="AB74:AI74"/>
    <mergeCell ref="A59:F59"/>
    <mergeCell ref="I42:J42"/>
    <mergeCell ref="I43:J43"/>
    <mergeCell ref="H59:J59"/>
    <mergeCell ref="K59:O59"/>
    <mergeCell ref="AB59:AD59"/>
    <mergeCell ref="AE59:AI59"/>
    <mergeCell ref="U35:Y35"/>
    <mergeCell ref="I37:J37"/>
    <mergeCell ref="I38:J38"/>
    <mergeCell ref="I39:J39"/>
    <mergeCell ref="I40:J40"/>
    <mergeCell ref="N1:S1"/>
    <mergeCell ref="H32:I32"/>
    <mergeCell ref="H33:I33"/>
    <mergeCell ref="I34:J34"/>
    <mergeCell ref="I35:J35"/>
    <mergeCell ref="G34:H34"/>
    <mergeCell ref="G35:H35"/>
    <mergeCell ref="BM3:BM4"/>
    <mergeCell ref="AU3:AV3"/>
    <mergeCell ref="BJ2:BM2"/>
    <mergeCell ref="BJ3:BJ4"/>
    <mergeCell ref="BK3:BK4"/>
    <mergeCell ref="BL3:BL4"/>
    <mergeCell ref="G37:H37"/>
    <mergeCell ref="G38:H38"/>
    <mergeCell ref="I36:J36"/>
    <mergeCell ref="G36:H36"/>
    <mergeCell ref="G39:H39"/>
    <mergeCell ref="AS65:AS66"/>
    <mergeCell ref="AT65:AT66"/>
    <mergeCell ref="AU65:AU66"/>
    <mergeCell ref="G40:H40"/>
    <mergeCell ref="G41:H41"/>
    <mergeCell ref="G42:H42"/>
    <mergeCell ref="G43:H43"/>
    <mergeCell ref="I41:J41"/>
    <mergeCell ref="Q59:U59"/>
    <mergeCell ref="AB62:AI62"/>
    <mergeCell ref="AL45:AN45"/>
    <mergeCell ref="AO45:AR45"/>
    <mergeCell ref="AU45:AW45"/>
    <mergeCell ref="AL64:AM64"/>
    <mergeCell ref="AL63:AV63"/>
    <mergeCell ref="AN64:AQ64"/>
    <mergeCell ref="AS64:AV64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14</xdr:col>
                <xdr:colOff>685800</xdr:colOff>
                <xdr:row>25</xdr:row>
                <xdr:rowOff>1181100</xdr:rowOff>
              </from>
              <to>
                <xdr:col>16</xdr:col>
                <xdr:colOff>259080</xdr:colOff>
                <xdr:row>25</xdr:row>
                <xdr:rowOff>1645920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38" r:id="rId6">
          <objectPr defaultSize="0" autoPict="0" r:id="rId7">
            <anchor moveWithCells="1" sizeWithCells="1">
              <from>
                <xdr:col>55</xdr:col>
                <xdr:colOff>0</xdr:colOff>
                <xdr:row>2</xdr:row>
                <xdr:rowOff>0</xdr:rowOff>
              </from>
              <to>
                <xdr:col>55</xdr:col>
                <xdr:colOff>182880</xdr:colOff>
                <xdr:row>2</xdr:row>
                <xdr:rowOff>160020</xdr:rowOff>
              </to>
            </anchor>
          </objectPr>
        </oleObject>
      </mc:Choice>
      <mc:Fallback>
        <oleObject progId="Equation.3" shapeId="1038" r:id="rId6"/>
      </mc:Fallback>
    </mc:AlternateContent>
    <mc:AlternateContent xmlns:mc="http://schemas.openxmlformats.org/markup-compatibility/2006">
      <mc:Choice Requires="x14">
        <oleObject progId="Equation.3" shapeId="1037" r:id="rId8">
          <objectPr defaultSize="0" autoPict="0" r:id="rId9">
            <anchor moveWithCells="1" sizeWithCells="1">
              <from>
                <xdr:col>56</xdr:col>
                <xdr:colOff>0</xdr:colOff>
                <xdr:row>2</xdr:row>
                <xdr:rowOff>0</xdr:rowOff>
              </from>
              <to>
                <xdr:col>56</xdr:col>
                <xdr:colOff>342900</xdr:colOff>
                <xdr:row>3</xdr:row>
                <xdr:rowOff>38100</xdr:rowOff>
              </to>
            </anchor>
          </objectPr>
        </oleObject>
      </mc:Choice>
      <mc:Fallback>
        <oleObject progId="Equation.3" shapeId="1037" r:id="rId8"/>
      </mc:Fallback>
    </mc:AlternateContent>
    <mc:AlternateContent xmlns:mc="http://schemas.openxmlformats.org/markup-compatibility/2006">
      <mc:Choice Requires="x14">
        <oleObject progId="Equation.3" shapeId="1036" r:id="rId10">
          <objectPr defaultSize="0" autoPict="0" r:id="rId11">
            <anchor moveWithCells="1" sizeWithCells="1">
              <from>
                <xdr:col>57</xdr:col>
                <xdr:colOff>0</xdr:colOff>
                <xdr:row>2</xdr:row>
                <xdr:rowOff>0</xdr:rowOff>
              </from>
              <to>
                <xdr:col>57</xdr:col>
                <xdr:colOff>342900</xdr:colOff>
                <xdr:row>2</xdr:row>
                <xdr:rowOff>464820</xdr:rowOff>
              </to>
            </anchor>
          </objectPr>
        </oleObject>
      </mc:Choice>
      <mc:Fallback>
        <oleObject progId="Equation.3" shapeId="1036" r:id="rId10"/>
      </mc:Fallback>
    </mc:AlternateContent>
    <mc:AlternateContent xmlns:mc="http://schemas.openxmlformats.org/markup-compatibility/2006">
      <mc:Choice Requires="x14">
        <oleObject progId="Equation.3" shapeId="1062" r:id="rId12">
          <objectPr defaultSize="0" autoPict="0" r:id="rId7">
            <anchor moveWithCells="1" sizeWithCells="1">
              <from>
                <xdr:col>55</xdr:col>
                <xdr:colOff>0</xdr:colOff>
                <xdr:row>2</xdr:row>
                <xdr:rowOff>0</xdr:rowOff>
              </from>
              <to>
                <xdr:col>55</xdr:col>
                <xdr:colOff>182880</xdr:colOff>
                <xdr:row>2</xdr:row>
                <xdr:rowOff>160020</xdr:rowOff>
              </to>
            </anchor>
          </objectPr>
        </oleObject>
      </mc:Choice>
      <mc:Fallback>
        <oleObject progId="Equation.3" shapeId="1062" r:id="rId12"/>
      </mc:Fallback>
    </mc:AlternateContent>
    <mc:AlternateContent xmlns:mc="http://schemas.openxmlformats.org/markup-compatibility/2006">
      <mc:Choice Requires="x14">
        <oleObject progId="Equation.3" shapeId="1063" r:id="rId13">
          <objectPr defaultSize="0" autoPict="0" r:id="rId9">
            <anchor moveWithCells="1" sizeWithCells="1">
              <from>
                <xdr:col>56</xdr:col>
                <xdr:colOff>0</xdr:colOff>
                <xdr:row>2</xdr:row>
                <xdr:rowOff>0</xdr:rowOff>
              </from>
              <to>
                <xdr:col>56</xdr:col>
                <xdr:colOff>342900</xdr:colOff>
                <xdr:row>3</xdr:row>
                <xdr:rowOff>38100</xdr:rowOff>
              </to>
            </anchor>
          </objectPr>
        </oleObject>
      </mc:Choice>
      <mc:Fallback>
        <oleObject progId="Equation.3" shapeId="1063" r:id="rId13"/>
      </mc:Fallback>
    </mc:AlternateContent>
    <mc:AlternateContent xmlns:mc="http://schemas.openxmlformats.org/markup-compatibility/2006">
      <mc:Choice Requires="x14">
        <oleObject progId="Equation.3" shapeId="1064" r:id="rId14">
          <objectPr defaultSize="0" autoPict="0" r:id="rId11">
            <anchor moveWithCells="1" sizeWithCells="1">
              <from>
                <xdr:col>57</xdr:col>
                <xdr:colOff>0</xdr:colOff>
                <xdr:row>2</xdr:row>
                <xdr:rowOff>0</xdr:rowOff>
              </from>
              <to>
                <xdr:col>57</xdr:col>
                <xdr:colOff>342900</xdr:colOff>
                <xdr:row>2</xdr:row>
                <xdr:rowOff>464820</xdr:rowOff>
              </to>
            </anchor>
          </objectPr>
        </oleObject>
      </mc:Choice>
      <mc:Fallback>
        <oleObject progId="Equation.3" shapeId="1064" r:id="rId14"/>
      </mc:Fallback>
    </mc:AlternateContent>
    <mc:AlternateContent xmlns:mc="http://schemas.openxmlformats.org/markup-compatibility/2006">
      <mc:Choice Requires="x14">
        <oleObject progId="Equation.3" shapeId="1035" r:id="rId15">
          <objectPr defaultSize="0" autoPict="0" r:id="rId9">
            <anchor moveWithCells="1" sizeWithCells="1">
              <from>
                <xdr:col>61</xdr:col>
                <xdr:colOff>0</xdr:colOff>
                <xdr:row>2</xdr:row>
                <xdr:rowOff>0</xdr:rowOff>
              </from>
              <to>
                <xdr:col>61</xdr:col>
                <xdr:colOff>342900</xdr:colOff>
                <xdr:row>3</xdr:row>
                <xdr:rowOff>38100</xdr:rowOff>
              </to>
            </anchor>
          </objectPr>
        </oleObject>
      </mc:Choice>
      <mc:Fallback>
        <oleObject progId="Equation.3" shapeId="1035" r:id="rId15"/>
      </mc:Fallback>
    </mc:AlternateContent>
    <mc:AlternateContent xmlns:mc="http://schemas.openxmlformats.org/markup-compatibility/2006">
      <mc:Choice Requires="x14">
        <oleObject progId="Equation.3" shapeId="1034" r:id="rId16">
          <objectPr defaultSize="0" autoPict="0" r:id="rId11">
            <anchor moveWithCells="1" sizeWithCells="1">
              <from>
                <xdr:col>62</xdr:col>
                <xdr:colOff>0</xdr:colOff>
                <xdr:row>2</xdr:row>
                <xdr:rowOff>0</xdr:rowOff>
              </from>
              <to>
                <xdr:col>62</xdr:col>
                <xdr:colOff>342900</xdr:colOff>
                <xdr:row>2</xdr:row>
                <xdr:rowOff>464820</xdr:rowOff>
              </to>
            </anchor>
          </objectPr>
        </oleObject>
      </mc:Choice>
      <mc:Fallback>
        <oleObject progId="Equation.3" shapeId="1034" r:id="rId16"/>
      </mc:Fallback>
    </mc:AlternateContent>
    <mc:AlternateContent xmlns:mc="http://schemas.openxmlformats.org/markup-compatibility/2006">
      <mc:Choice Requires="x14">
        <oleObject progId="Equation.3" shapeId="1070" r:id="rId17">
          <objectPr defaultSize="0" autoPict="0" r:id="rId7">
            <anchor moveWithCells="1" sizeWithCells="1">
              <from>
                <xdr:col>38</xdr:col>
                <xdr:colOff>144780</xdr:colOff>
                <xdr:row>64</xdr:row>
                <xdr:rowOff>114300</xdr:rowOff>
              </from>
              <to>
                <xdr:col>38</xdr:col>
                <xdr:colOff>327660</xdr:colOff>
                <xdr:row>65</xdr:row>
                <xdr:rowOff>83820</xdr:rowOff>
              </to>
            </anchor>
          </objectPr>
        </oleObject>
      </mc:Choice>
      <mc:Fallback>
        <oleObject progId="Equation.3" shapeId="1070" r:id="rId17"/>
      </mc:Fallback>
    </mc:AlternateContent>
    <mc:AlternateContent xmlns:mc="http://schemas.openxmlformats.org/markup-compatibility/2006">
      <mc:Choice Requires="x14">
        <oleObject progId="Equation.3" shapeId="1071" r:id="rId18">
          <objectPr defaultSize="0" autoPict="0" r:id="rId19">
            <anchor moveWithCells="1" sizeWithCells="1">
              <from>
                <xdr:col>39</xdr:col>
                <xdr:colOff>114300</xdr:colOff>
                <xdr:row>63</xdr:row>
                <xdr:rowOff>114300</xdr:rowOff>
              </from>
              <to>
                <xdr:col>39</xdr:col>
                <xdr:colOff>457200</xdr:colOff>
                <xdr:row>66</xdr:row>
                <xdr:rowOff>30480</xdr:rowOff>
              </to>
            </anchor>
          </objectPr>
        </oleObject>
      </mc:Choice>
      <mc:Fallback>
        <oleObject progId="Equation.3" shapeId="1071" r:id="rId18"/>
      </mc:Fallback>
    </mc:AlternateContent>
    <mc:AlternateContent xmlns:mc="http://schemas.openxmlformats.org/markup-compatibility/2006">
      <mc:Choice Requires="x14">
        <oleObject progId="Equation.3" shapeId="1072" r:id="rId20">
          <objectPr defaultSize="0" autoPict="0" r:id="rId11">
            <anchor moveWithCells="1" sizeWithCells="1">
              <from>
                <xdr:col>40</xdr:col>
                <xdr:colOff>121920</xdr:colOff>
                <xdr:row>63</xdr:row>
                <xdr:rowOff>182880</xdr:rowOff>
              </from>
              <to>
                <xdr:col>40</xdr:col>
                <xdr:colOff>464820</xdr:colOff>
                <xdr:row>66</xdr:row>
                <xdr:rowOff>38100</xdr:rowOff>
              </to>
            </anchor>
          </objectPr>
        </oleObject>
      </mc:Choice>
      <mc:Fallback>
        <oleObject progId="Equation.3" shapeId="1072" r:id="rId20"/>
      </mc:Fallback>
    </mc:AlternateContent>
    <mc:AlternateContent xmlns:mc="http://schemas.openxmlformats.org/markup-compatibility/2006">
      <mc:Choice Requires="x14">
        <oleObject progId="Equation.3" shapeId="1073" r:id="rId21">
          <objectPr defaultSize="0" autoPict="0" r:id="rId9">
            <anchor moveWithCells="1" sizeWithCells="1">
              <from>
                <xdr:col>44</xdr:col>
                <xdr:colOff>137160</xdr:colOff>
                <xdr:row>63</xdr:row>
                <xdr:rowOff>106680</xdr:rowOff>
              </from>
              <to>
                <xdr:col>44</xdr:col>
                <xdr:colOff>480060</xdr:colOff>
                <xdr:row>66</xdr:row>
                <xdr:rowOff>22860</xdr:rowOff>
              </to>
            </anchor>
          </objectPr>
        </oleObject>
      </mc:Choice>
      <mc:Fallback>
        <oleObject progId="Equation.3" shapeId="1073" r:id="rId21"/>
      </mc:Fallback>
    </mc:AlternateContent>
    <mc:AlternateContent xmlns:mc="http://schemas.openxmlformats.org/markup-compatibility/2006">
      <mc:Choice Requires="x14">
        <oleObject progId="Equation.3" shapeId="1074" r:id="rId22">
          <objectPr defaultSize="0" autoPict="0" r:id="rId11">
            <anchor moveWithCells="1" sizeWithCells="1">
              <from>
                <xdr:col>45</xdr:col>
                <xdr:colOff>121920</xdr:colOff>
                <xdr:row>63</xdr:row>
                <xdr:rowOff>152400</xdr:rowOff>
              </from>
              <to>
                <xdr:col>45</xdr:col>
                <xdr:colOff>464820</xdr:colOff>
                <xdr:row>66</xdr:row>
                <xdr:rowOff>7620</xdr:rowOff>
              </to>
            </anchor>
          </objectPr>
        </oleObject>
      </mc:Choice>
      <mc:Fallback>
        <oleObject progId="Equation.3" shapeId="1074" r:id="rId2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2018-05-09T07:12:44Z</dcterms:modified>
</cp:coreProperties>
</file>