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CF2E7E5-55AD-40A9-AE95-F123B87DC90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9" i="1" l="1"/>
  <c r="W19" i="1"/>
  <c r="M19" i="1"/>
  <c r="M17" i="1"/>
  <c r="M16" i="1"/>
  <c r="AO19" i="1" l="1"/>
  <c r="AO18" i="1"/>
  <c r="AZ16" i="1" l="1"/>
  <c r="AZ15" i="1"/>
  <c r="AZ14" i="1"/>
  <c r="AZ13" i="1"/>
  <c r="AZ12" i="1"/>
  <c r="AQ23" i="1"/>
  <c r="AQ22" i="1"/>
  <c r="AQ21" i="1"/>
  <c r="AQ20" i="1"/>
  <c r="AQ19" i="1"/>
  <c r="AY16" i="1"/>
  <c r="AY15" i="1"/>
  <c r="AY14" i="1"/>
  <c r="AY13" i="1"/>
  <c r="AY12" i="1"/>
  <c r="AS23" i="1"/>
  <c r="AS22" i="1"/>
  <c r="AS21" i="1"/>
  <c r="AS20" i="1"/>
  <c r="AS19" i="1"/>
  <c r="AQ18" i="1" l="1"/>
  <c r="AS18" i="1"/>
  <c r="AS17" i="1"/>
  <c r="AG12" i="1"/>
  <c r="AG13" i="1" s="1"/>
  <c r="AG15" i="1"/>
  <c r="AG14" i="1" s="1"/>
  <c r="W14" i="1"/>
  <c r="W15" i="1" s="1"/>
  <c r="W17" i="1"/>
  <c r="W16" i="1"/>
  <c r="M18" i="1"/>
  <c r="M15" i="1"/>
  <c r="AR4" i="1" l="1"/>
  <c r="AS4" i="1"/>
  <c r="AU4" i="1"/>
  <c r="AV4" i="1"/>
  <c r="AR5" i="1"/>
  <c r="AS5" i="1"/>
  <c r="AU5" i="1"/>
  <c r="AV5" i="1"/>
  <c r="AR6" i="1"/>
  <c r="AS6" i="1"/>
  <c r="AU6" i="1"/>
  <c r="AV6" i="1"/>
  <c r="AR7" i="1"/>
  <c r="AS7" i="1"/>
  <c r="AU7" i="1"/>
  <c r="AV7" i="1"/>
  <c r="AR8" i="1"/>
  <c r="AS8" i="1"/>
  <c r="AU8" i="1"/>
  <c r="AV8" i="1"/>
  <c r="AR9" i="1"/>
  <c r="AS9" i="1"/>
  <c r="AU9" i="1"/>
  <c r="AV9" i="1"/>
  <c r="AR10" i="1"/>
  <c r="AV10" i="1" s="1"/>
  <c r="AS10" i="1"/>
  <c r="AU10" i="1"/>
  <c r="AR12" i="1"/>
  <c r="AS12" i="1"/>
  <c r="AU12" i="1"/>
  <c r="AV12" i="1"/>
  <c r="AR13" i="1"/>
  <c r="AS13" i="1"/>
  <c r="AU13" i="1" s="1"/>
  <c r="AV13" i="1" s="1"/>
  <c r="AR14" i="1"/>
  <c r="AS14" i="1"/>
  <c r="AU14" i="1" s="1"/>
  <c r="AV14" i="1" s="1"/>
  <c r="AR15" i="1"/>
  <c r="AS15" i="1"/>
  <c r="AU15" i="1"/>
  <c r="AV15" i="1" s="1"/>
  <c r="AR16" i="1"/>
  <c r="AS16" i="1"/>
  <c r="AU16" i="1" s="1"/>
  <c r="AV16" i="1" s="1"/>
  <c r="AK7" i="1"/>
  <c r="AK8" i="1"/>
  <c r="AK9" i="1"/>
  <c r="AK10" i="1"/>
  <c r="AK11" i="1"/>
  <c r="AK4" i="1"/>
  <c r="AK5" i="1"/>
  <c r="AK3" i="1"/>
  <c r="AK6" i="1"/>
  <c r="AA9" i="1"/>
  <c r="AA10" i="1"/>
  <c r="AA11" i="1"/>
  <c r="AA12" i="1"/>
  <c r="AA13" i="1"/>
  <c r="AA4" i="1"/>
  <c r="AA5" i="1"/>
  <c r="AA6" i="1"/>
  <c r="AA7" i="1"/>
  <c r="AA8" i="1"/>
  <c r="AA3" i="1"/>
  <c r="Q10" i="1"/>
  <c r="Q11" i="1"/>
  <c r="Q12" i="1"/>
  <c r="Q13" i="1"/>
  <c r="Q14" i="1"/>
  <c r="Q9" i="1"/>
  <c r="Q8" i="1"/>
  <c r="O8" i="1"/>
  <c r="Q4" i="1"/>
  <c r="Q5" i="1"/>
  <c r="Q6" i="1"/>
  <c r="Q7" i="1"/>
  <c r="Q3" i="1"/>
  <c r="O9" i="1"/>
  <c r="N9" i="1"/>
  <c r="N8" i="1"/>
  <c r="AI4" i="1"/>
  <c r="AI5" i="1"/>
  <c r="AI6" i="1"/>
  <c r="AI7" i="1"/>
  <c r="AI8" i="1"/>
  <c r="AI9" i="1"/>
  <c r="AI10" i="1"/>
  <c r="AI11" i="1"/>
  <c r="AI3" i="1"/>
  <c r="Y4" i="1"/>
  <c r="Y5" i="1"/>
  <c r="Y6" i="1"/>
  <c r="Y7" i="1"/>
  <c r="Y8" i="1"/>
  <c r="Y9" i="1"/>
  <c r="Y10" i="1"/>
  <c r="Y11" i="1"/>
  <c r="Y12" i="1"/>
  <c r="Y13" i="1"/>
  <c r="Y3" i="1"/>
  <c r="O4" i="1"/>
  <c r="O5" i="1"/>
  <c r="O6" i="1"/>
  <c r="O7" i="1"/>
  <c r="O10" i="1"/>
  <c r="O11" i="1"/>
  <c r="O12" i="1"/>
  <c r="O13" i="1"/>
  <c r="O14" i="1"/>
  <c r="O3" i="1"/>
  <c r="AH6" i="1" l="1"/>
  <c r="AH7" i="1"/>
  <c r="AH8" i="1"/>
  <c r="AH9" i="1"/>
  <c r="AH10" i="1"/>
  <c r="AH11" i="1"/>
  <c r="X8" i="1"/>
  <c r="X9" i="1"/>
  <c r="X10" i="1"/>
  <c r="X11" i="1"/>
  <c r="X12" i="1"/>
  <c r="X13" i="1"/>
  <c r="N7" i="1"/>
  <c r="N6" i="1"/>
  <c r="N5" i="1"/>
  <c r="N4" i="1"/>
  <c r="N3" i="1"/>
  <c r="AH4" i="1"/>
  <c r="AH5" i="1"/>
  <c r="AH3" i="1"/>
  <c r="X4" i="1"/>
  <c r="X5" i="1"/>
  <c r="X6" i="1"/>
  <c r="X7" i="1"/>
  <c r="X3" i="1"/>
  <c r="N10" i="1"/>
  <c r="N11" i="1"/>
  <c r="N12" i="1"/>
  <c r="N13" i="1"/>
  <c r="N14" i="1"/>
</calcChain>
</file>

<file path=xl/sharedStrings.xml><?xml version="1.0" encoding="utf-8"?>
<sst xmlns="http://schemas.openxmlformats.org/spreadsheetml/2006/main" count="107" uniqueCount="38">
  <si>
    <t>Iвг</t>
  </si>
  <si>
    <t>Uг(Ег)</t>
  </si>
  <si>
    <r>
      <t>U</t>
    </r>
    <r>
      <rPr>
        <vertAlign val="subscript"/>
        <sz val="10"/>
        <color theme="1"/>
        <rFont val="Times New Roman"/>
        <family val="1"/>
      </rPr>
      <t>Я</t>
    </r>
  </si>
  <si>
    <r>
      <t>I</t>
    </r>
    <r>
      <rPr>
        <vertAlign val="subscript"/>
        <sz val="10"/>
        <color theme="1"/>
        <rFont val="Times New Roman"/>
        <family val="1"/>
      </rPr>
      <t>Я</t>
    </r>
  </si>
  <si>
    <t>n</t>
  </si>
  <si>
    <r>
      <t>I</t>
    </r>
    <r>
      <rPr>
        <vertAlign val="subscript"/>
        <sz val="10"/>
        <color theme="1"/>
        <rFont val="Times New Roman"/>
        <family val="1"/>
      </rPr>
      <t>НМ</t>
    </r>
  </si>
  <si>
    <t>w</t>
  </si>
  <si>
    <r>
      <t>М</t>
    </r>
    <r>
      <rPr>
        <vertAlign val="subscript"/>
        <sz val="10"/>
        <color theme="1"/>
        <rFont val="Times New Roman"/>
        <family val="1"/>
      </rPr>
      <t>НМ</t>
    </r>
  </si>
  <si>
    <r>
      <t>М</t>
    </r>
    <r>
      <rPr>
        <vertAlign val="subscript"/>
        <sz val="10"/>
        <color theme="1"/>
        <rFont val="Times New Roman"/>
        <family val="1"/>
      </rPr>
      <t>ХХ</t>
    </r>
  </si>
  <si>
    <r>
      <t>М</t>
    </r>
    <r>
      <rPr>
        <vertAlign val="subscript"/>
        <sz val="10"/>
        <color theme="1"/>
        <rFont val="Times New Roman"/>
        <family val="1"/>
      </rPr>
      <t>Д</t>
    </r>
  </si>
  <si>
    <t>В</t>
  </si>
  <si>
    <t>А</t>
  </si>
  <si>
    <t>об/мин</t>
  </si>
  <si>
    <t>рад/с</t>
  </si>
  <si>
    <t>Нм</t>
  </si>
  <si>
    <t>Для Uг=90</t>
  </si>
  <si>
    <t>Uг = 140</t>
  </si>
  <si>
    <t>Uг = 190</t>
  </si>
  <si>
    <r>
      <t>Р</t>
    </r>
    <r>
      <rPr>
        <vertAlign val="subscript"/>
        <sz val="10"/>
        <color theme="1"/>
        <rFont val="Times New Roman"/>
        <family val="1"/>
      </rPr>
      <t>Д</t>
    </r>
  </si>
  <si>
    <t>Вт</t>
  </si>
  <si>
    <t>2 зона</t>
  </si>
  <si>
    <t>1 зона</t>
  </si>
  <si>
    <t>Естеств</t>
  </si>
  <si>
    <t>w0</t>
  </si>
  <si>
    <t>M</t>
  </si>
  <si>
    <t>M=Мн</t>
  </si>
  <si>
    <t>Wc</t>
  </si>
  <si>
    <t>Rгд=Rд+Rг</t>
  </si>
  <si>
    <t>P</t>
  </si>
  <si>
    <t>Рд</t>
  </si>
  <si>
    <t>w'</t>
  </si>
  <si>
    <t>P=const</t>
  </si>
  <si>
    <t>w''</t>
  </si>
  <si>
    <t>cФ'</t>
  </si>
  <si>
    <t>Iвд</t>
  </si>
  <si>
    <t>сФ'</t>
  </si>
  <si>
    <t>Мд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</si>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</sst>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Symbol"/>
      <family val="1"/>
      <charset val="2"/>
    </font>
    <font>
      <sz val="9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0" fillId="0" borderId="0" xfId="0" applyNumberFormat="1"/>
    <xf numFmtId="165" fontId="1" fillId="0" borderId="0" xfId="0" applyNumberFormat="1" applyFont="1" applyBorder="1" applyAlignment="1">
      <alignment horizontal="center" vertical="center" wrapText="1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Характеристика холостого хода генератора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0.04</c:v>
                </c:pt>
                <c:pt idx="2">
                  <c:v>0.1</c:v>
                </c:pt>
                <c:pt idx="3">
                  <c:v>0.2</c:v>
                </c:pt>
                <c:pt idx="4">
                  <c:v>0.25</c:v>
                </c:pt>
                <c:pt idx="5">
                  <c:v>0.38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140</c:v>
                </c:pt>
                <c:pt idx="4">
                  <c:v>160</c:v>
                </c:pt>
                <c:pt idx="5">
                  <c:v>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46-47D6-BF11-13E451941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272144"/>
        <c:axId val="503545912"/>
      </c:scatterChart>
      <c:valAx>
        <c:axId val="50327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45912"/>
        <c:crosses val="autoZero"/>
        <c:crossBetween val="midCat"/>
      </c:valAx>
      <c:valAx>
        <c:axId val="50354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Ег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3.1152647975077882E-2"/>
              <c:y val="0.226334937299504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7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Экспериментальные </a:t>
            </a:r>
            <a:r>
              <a:rPr lang="ru-RU" sz="1400" b="0" i="0" u="none" strike="noStrike" baseline="0">
                <a:effectLst/>
                <a:latin typeface="+mn-lt"/>
                <a:cs typeface="+mn-cs"/>
              </a:rPr>
              <a:t>м</a:t>
            </a:r>
            <a:r>
              <a:rPr lang="ru-RU" sz="1400" b="0" i="0" u="none" strike="noStrike" baseline="0">
                <a:effectLst/>
              </a:rPr>
              <a:t>еханические характеристики двигателя  в системе Г-Д</a:t>
            </a:r>
          </a:p>
          <a:p>
            <a:pPr>
              <a:defRPr/>
            </a:pPr>
            <a:endParaRPr lang="en-GB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3649300087489061"/>
          <c:y val="3.67454068241469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Uг = 90В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Sheet1!$Q$3:$Q$13</c:f>
              <c:numCache>
                <c:formatCode>0.00</c:formatCode>
                <c:ptCount val="11"/>
                <c:pt idx="0">
                  <c:v>-6.7109999999999994</c:v>
                </c:pt>
                <c:pt idx="1">
                  <c:v>-5.8029999999999999</c:v>
                </c:pt>
                <c:pt idx="2">
                  <c:v>-4.6979999999999995</c:v>
                </c:pt>
                <c:pt idx="3">
                  <c:v>-3.2225000000000001</c:v>
                </c:pt>
                <c:pt idx="4">
                  <c:v>-1.57</c:v>
                </c:pt>
                <c:pt idx="5">
                  <c:v>0.13249999999999995</c:v>
                </c:pt>
                <c:pt idx="6">
                  <c:v>0.63</c:v>
                </c:pt>
                <c:pt idx="7">
                  <c:v>1.8785000000000003</c:v>
                </c:pt>
                <c:pt idx="8">
                  <c:v>3.581</c:v>
                </c:pt>
                <c:pt idx="9">
                  <c:v>5.09</c:v>
                </c:pt>
                <c:pt idx="10">
                  <c:v>6.6790000000000003</c:v>
                </c:pt>
              </c:numCache>
            </c:numRef>
          </c:xVal>
          <c:yVal>
            <c:numRef>
              <c:f>Sheet1!$N$3:$N$13</c:f>
              <c:numCache>
                <c:formatCode>0.00</c:formatCode>
                <c:ptCount val="11"/>
                <c:pt idx="0">
                  <c:v>104.71975511965977</c:v>
                </c:pt>
                <c:pt idx="1">
                  <c:v>95.29497715889039</c:v>
                </c:pt>
                <c:pt idx="2">
                  <c:v>83.775804095727821</c:v>
                </c:pt>
                <c:pt idx="3">
                  <c:v>72.78022980816354</c:v>
                </c:pt>
                <c:pt idx="4">
                  <c:v>61.784655520599266</c:v>
                </c:pt>
                <c:pt idx="5">
                  <c:v>51.312680008633286</c:v>
                </c:pt>
                <c:pt idx="6">
                  <c:v>48.904125640881112</c:v>
                </c:pt>
                <c:pt idx="7">
                  <c:v>40.840704496667307</c:v>
                </c:pt>
                <c:pt idx="8">
                  <c:v>30.368728984701331</c:v>
                </c:pt>
                <c:pt idx="9">
                  <c:v>18.849555921538759</c:v>
                </c:pt>
                <c:pt idx="10">
                  <c:v>7.3303828583761836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55-454A-BB12-18D2F81ACFC2}"/>
            </c:ext>
          </c:extLst>
        </c:ser>
        <c:ser>
          <c:idx val="1"/>
          <c:order val="1"/>
          <c:tx>
            <c:v>Uг = 140В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Sheet1!$AA$3:$AA$13</c:f>
              <c:numCache>
                <c:formatCode>0.00</c:formatCode>
                <c:ptCount val="11"/>
                <c:pt idx="0">
                  <c:v>-5.5060000000000002</c:v>
                </c:pt>
                <c:pt idx="1">
                  <c:v>-4.5979999999999999</c:v>
                </c:pt>
                <c:pt idx="2">
                  <c:v>-3.1924999999999999</c:v>
                </c:pt>
                <c:pt idx="3">
                  <c:v>-1.49</c:v>
                </c:pt>
                <c:pt idx="4">
                  <c:v>0.29599999999999999</c:v>
                </c:pt>
                <c:pt idx="5">
                  <c:v>0.75</c:v>
                </c:pt>
                <c:pt idx="6">
                  <c:v>1.9485000000000001</c:v>
                </c:pt>
                <c:pt idx="7">
                  <c:v>3.6509999999999998</c:v>
                </c:pt>
                <c:pt idx="8">
                  <c:v>5.17</c:v>
                </c:pt>
                <c:pt idx="9">
                  <c:v>6.532</c:v>
                </c:pt>
                <c:pt idx="10">
                  <c:v>7.9275000000000002</c:v>
                </c:pt>
              </c:numCache>
            </c:numRef>
          </c:xVal>
          <c:yVal>
            <c:numRef>
              <c:f>Sheet1!$X$3:$X$13</c:f>
              <c:numCache>
                <c:formatCode>0.00</c:formatCode>
                <c:ptCount val="11"/>
                <c:pt idx="0">
                  <c:v>124.61650859239512</c:v>
                </c:pt>
                <c:pt idx="1">
                  <c:v>116.23892818282235</c:v>
                </c:pt>
                <c:pt idx="2">
                  <c:v>103.67255756846318</c:v>
                </c:pt>
                <c:pt idx="3">
                  <c:v>91.839225239941626</c:v>
                </c:pt>
                <c:pt idx="4">
                  <c:v>79.063415115343119</c:v>
                </c:pt>
                <c:pt idx="5">
                  <c:v>76.86430025783028</c:v>
                </c:pt>
                <c:pt idx="6">
                  <c:v>69.115038378975441</c:v>
                </c:pt>
                <c:pt idx="7">
                  <c:v>58.119464091411174</c:v>
                </c:pt>
                <c:pt idx="8">
                  <c:v>46.076692252650304</c:v>
                </c:pt>
                <c:pt idx="9">
                  <c:v>34.033920413889426</c:v>
                </c:pt>
                <c:pt idx="10">
                  <c:v>20.943951023931955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55-454A-BB12-18D2F81ACFC2}"/>
            </c:ext>
          </c:extLst>
        </c:ser>
        <c:ser>
          <c:idx val="2"/>
          <c:order val="2"/>
          <c:tx>
            <c:v> Uг = 190 В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Sheet1!$AK$3:$AK$11</c:f>
              <c:numCache>
                <c:formatCode>0.00</c:formatCode>
                <c:ptCount val="9"/>
                <c:pt idx="0">
                  <c:v>-3.1860000000000004</c:v>
                </c:pt>
                <c:pt idx="1">
                  <c:v>-1.42</c:v>
                </c:pt>
                <c:pt idx="2">
                  <c:v>9.9000000000000088E-2</c:v>
                </c:pt>
                <c:pt idx="3">
                  <c:v>0.78</c:v>
                </c:pt>
                <c:pt idx="4">
                  <c:v>2.1419999999999999</c:v>
                </c:pt>
                <c:pt idx="5">
                  <c:v>3.7010000000000001</c:v>
                </c:pt>
                <c:pt idx="6">
                  <c:v>5.1764999999999999</c:v>
                </c:pt>
                <c:pt idx="7">
                  <c:v>6.6020000000000003</c:v>
                </c:pt>
                <c:pt idx="8">
                  <c:v>7.8940000000000001</c:v>
                </c:pt>
              </c:numCache>
            </c:numRef>
          </c:xVal>
          <c:yVal>
            <c:numRef>
              <c:f>Sheet1!$AH$3:$AH$11</c:f>
              <c:numCache>
                <c:formatCode>0.00</c:formatCode>
                <c:ptCount val="9"/>
                <c:pt idx="0">
                  <c:v>140.32447186034409</c:v>
                </c:pt>
                <c:pt idx="1">
                  <c:v>124.61650859239512</c:v>
                </c:pt>
                <c:pt idx="2">
                  <c:v>109.95574287564276</c:v>
                </c:pt>
                <c:pt idx="3">
                  <c:v>106.70943046693331</c:v>
                </c:pt>
                <c:pt idx="4">
                  <c:v>98.436569812480187</c:v>
                </c:pt>
                <c:pt idx="5">
                  <c:v>86.917396749317604</c:v>
                </c:pt>
                <c:pt idx="6">
                  <c:v>74.874624910556747</c:v>
                </c:pt>
                <c:pt idx="7">
                  <c:v>61.784655520599266</c:v>
                </c:pt>
                <c:pt idx="8">
                  <c:v>47.647488579445195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55-454A-BB12-18D2F81AC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318088"/>
        <c:axId val="534321040"/>
      </c:scatterChart>
      <c:valAx>
        <c:axId val="534318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Мд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94126163373032412"/>
              <c:y val="0.751172110430640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21040"/>
        <c:crosses val="autoZero"/>
        <c:crossBetween val="midCat"/>
      </c:valAx>
      <c:valAx>
        <c:axId val="5343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ω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5414738373580738"/>
              <c:y val="0.175691406629726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18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76656504287938"/>
          <c:y val="0.88329420627977062"/>
          <c:w val="0.59846653543307082"/>
          <c:h val="6.8765762470400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Механические характеристики двигателя  в системе Г-Д</a:t>
            </a:r>
            <a:endParaRPr lang="ru-RU" u="none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Естественная характеристика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Sheet1!$E$1:$E$2</c:f>
              <c:numCache>
                <c:formatCode>General</c:formatCode>
                <c:ptCount val="2"/>
                <c:pt idx="0">
                  <c:v>0</c:v>
                </c:pt>
                <c:pt idx="1">
                  <c:v>6.125</c:v>
                </c:pt>
              </c:numCache>
            </c:numRef>
          </c:xVal>
          <c:yVal>
            <c:numRef>
              <c:f>Sheet1!$F$1:$F$2</c:f>
              <c:numCache>
                <c:formatCode>General</c:formatCode>
                <c:ptCount val="2"/>
                <c:pt idx="0">
                  <c:v>125.714</c:v>
                </c:pt>
                <c:pt idx="1">
                  <c:v>104.71975999999999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FD-412E-BDEF-55B202F5960E}"/>
            </c:ext>
          </c:extLst>
        </c:ser>
        <c:ser>
          <c:idx val="4"/>
          <c:order val="1"/>
          <c:tx>
            <c:v>Экспериментальная Uг = 90В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Sheet1!$Q$3:$Q$13</c:f>
              <c:numCache>
                <c:formatCode>0.00</c:formatCode>
                <c:ptCount val="11"/>
                <c:pt idx="0">
                  <c:v>-6.7109999999999994</c:v>
                </c:pt>
                <c:pt idx="1">
                  <c:v>-5.8029999999999999</c:v>
                </c:pt>
                <c:pt idx="2">
                  <c:v>-4.6979999999999995</c:v>
                </c:pt>
                <c:pt idx="3">
                  <c:v>-3.2225000000000001</c:v>
                </c:pt>
                <c:pt idx="4">
                  <c:v>-1.57</c:v>
                </c:pt>
                <c:pt idx="5">
                  <c:v>0.13249999999999995</c:v>
                </c:pt>
                <c:pt idx="6">
                  <c:v>0.63</c:v>
                </c:pt>
                <c:pt idx="7">
                  <c:v>1.8785000000000003</c:v>
                </c:pt>
                <c:pt idx="8">
                  <c:v>3.581</c:v>
                </c:pt>
                <c:pt idx="9">
                  <c:v>5.09</c:v>
                </c:pt>
                <c:pt idx="10">
                  <c:v>6.6790000000000003</c:v>
                </c:pt>
              </c:numCache>
            </c:numRef>
          </c:xVal>
          <c:yVal>
            <c:numRef>
              <c:f>Sheet1!$N$3:$N$13</c:f>
              <c:numCache>
                <c:formatCode>0.00</c:formatCode>
                <c:ptCount val="11"/>
                <c:pt idx="0">
                  <c:v>104.71975511965977</c:v>
                </c:pt>
                <c:pt idx="1">
                  <c:v>95.29497715889039</c:v>
                </c:pt>
                <c:pt idx="2">
                  <c:v>83.775804095727821</c:v>
                </c:pt>
                <c:pt idx="3">
                  <c:v>72.78022980816354</c:v>
                </c:pt>
                <c:pt idx="4">
                  <c:v>61.784655520599266</c:v>
                </c:pt>
                <c:pt idx="5">
                  <c:v>51.312680008633286</c:v>
                </c:pt>
                <c:pt idx="6">
                  <c:v>48.904125640881112</c:v>
                </c:pt>
                <c:pt idx="7">
                  <c:v>40.840704496667307</c:v>
                </c:pt>
                <c:pt idx="8">
                  <c:v>30.368728984701331</c:v>
                </c:pt>
                <c:pt idx="9">
                  <c:v>18.849555921538759</c:v>
                </c:pt>
                <c:pt idx="10">
                  <c:v>7.3303828583761836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6-4893-A04F-8A12D78BD3EC}"/>
            </c:ext>
          </c:extLst>
        </c:ser>
        <c:ser>
          <c:idx val="1"/>
          <c:order val="2"/>
          <c:tx>
            <c:v>Расчетная Uг = 90 В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(Sheet1!$Q$3,Sheet1!$K$15:$K$16)</c:f>
              <c:numCache>
                <c:formatCode>General</c:formatCode>
                <c:ptCount val="3"/>
                <c:pt idx="0" formatCode="0.00">
                  <c:v>-6.7109999999999994</c:v>
                </c:pt>
                <c:pt idx="1">
                  <c:v>0</c:v>
                </c:pt>
                <c:pt idx="2">
                  <c:v>6.125</c:v>
                </c:pt>
              </c:numCache>
            </c:numRef>
          </c:xVal>
          <c:yVal>
            <c:numRef>
              <c:f>(Sheet1!$M$19,Sheet1!$M$15:$M$16)</c:f>
              <c:numCache>
                <c:formatCode>0.00</c:formatCode>
                <c:ptCount val="3"/>
                <c:pt idx="0" formatCode="General">
                  <c:v>89.1197387755102</c:v>
                </c:pt>
                <c:pt idx="1">
                  <c:v>51.428571428571431</c:v>
                </c:pt>
                <c:pt idx="2">
                  <c:v>17.028571428571432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FD-412E-BDEF-55B202F5960E}"/>
            </c:ext>
          </c:extLst>
        </c:ser>
        <c:ser>
          <c:idx val="5"/>
          <c:order val="3"/>
          <c:tx>
            <c:v>Экспериментальная Uг = 140В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Sheet1!$AA$3:$AA$13</c:f>
              <c:numCache>
                <c:formatCode>0.00</c:formatCode>
                <c:ptCount val="11"/>
                <c:pt idx="0">
                  <c:v>-5.5060000000000002</c:v>
                </c:pt>
                <c:pt idx="1">
                  <c:v>-4.5979999999999999</c:v>
                </c:pt>
                <c:pt idx="2">
                  <c:v>-3.1924999999999999</c:v>
                </c:pt>
                <c:pt idx="3">
                  <c:v>-1.49</c:v>
                </c:pt>
                <c:pt idx="4">
                  <c:v>0.29599999999999999</c:v>
                </c:pt>
                <c:pt idx="5">
                  <c:v>0.75</c:v>
                </c:pt>
                <c:pt idx="6">
                  <c:v>1.9485000000000001</c:v>
                </c:pt>
                <c:pt idx="7">
                  <c:v>3.6509999999999998</c:v>
                </c:pt>
                <c:pt idx="8">
                  <c:v>5.17</c:v>
                </c:pt>
                <c:pt idx="9">
                  <c:v>6.532</c:v>
                </c:pt>
                <c:pt idx="10">
                  <c:v>7.9275000000000002</c:v>
                </c:pt>
              </c:numCache>
            </c:numRef>
          </c:xVal>
          <c:yVal>
            <c:numRef>
              <c:f>Sheet1!$X$3:$X$13</c:f>
              <c:numCache>
                <c:formatCode>0.00</c:formatCode>
                <c:ptCount val="11"/>
                <c:pt idx="0">
                  <c:v>124.61650859239512</c:v>
                </c:pt>
                <c:pt idx="1">
                  <c:v>116.23892818282235</c:v>
                </c:pt>
                <c:pt idx="2">
                  <c:v>103.67255756846318</c:v>
                </c:pt>
                <c:pt idx="3">
                  <c:v>91.839225239941626</c:v>
                </c:pt>
                <c:pt idx="4">
                  <c:v>79.063415115343119</c:v>
                </c:pt>
                <c:pt idx="5">
                  <c:v>76.86430025783028</c:v>
                </c:pt>
                <c:pt idx="6">
                  <c:v>69.115038378975441</c:v>
                </c:pt>
                <c:pt idx="7">
                  <c:v>58.119464091411174</c:v>
                </c:pt>
                <c:pt idx="8">
                  <c:v>46.076692252650304</c:v>
                </c:pt>
                <c:pt idx="9">
                  <c:v>34.033920413889426</c:v>
                </c:pt>
                <c:pt idx="10">
                  <c:v>20.943951023931955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86-4893-A04F-8A12D78BD3EC}"/>
            </c:ext>
          </c:extLst>
        </c:ser>
        <c:ser>
          <c:idx val="2"/>
          <c:order val="4"/>
          <c:tx>
            <c:v>Расчетная Uг = 140 В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(Sheet1!$AA$3,Sheet1!$U$14:$U$15)</c:f>
              <c:numCache>
                <c:formatCode>General</c:formatCode>
                <c:ptCount val="3"/>
                <c:pt idx="0" formatCode="0.00">
                  <c:v>-5.5060000000000002</c:v>
                </c:pt>
                <c:pt idx="1">
                  <c:v>0</c:v>
                </c:pt>
                <c:pt idx="2">
                  <c:v>6.125</c:v>
                </c:pt>
              </c:numCache>
            </c:numRef>
          </c:xVal>
          <c:yVal>
            <c:numRef>
              <c:f>(Sheet1!$W$19,Sheet1!$W$14:$W$15)</c:f>
              <c:numCache>
                <c:formatCode>General</c:formatCode>
                <c:ptCount val="3"/>
                <c:pt idx="0">
                  <c:v>110.92349387755101</c:v>
                </c:pt>
                <c:pt idx="1">
                  <c:v>80</c:v>
                </c:pt>
                <c:pt idx="2">
                  <c:v>45.6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FD-412E-BDEF-55B202F5960E}"/>
            </c:ext>
          </c:extLst>
        </c:ser>
        <c:ser>
          <c:idx val="6"/>
          <c:order val="5"/>
          <c:tx>
            <c:v>Экспериментальная Uг = 190В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Sheet1!$AK$3:$AK$11</c:f>
              <c:numCache>
                <c:formatCode>0.00</c:formatCode>
                <c:ptCount val="9"/>
                <c:pt idx="0">
                  <c:v>-3.1860000000000004</c:v>
                </c:pt>
                <c:pt idx="1">
                  <c:v>-1.42</c:v>
                </c:pt>
                <c:pt idx="2">
                  <c:v>9.9000000000000088E-2</c:v>
                </c:pt>
                <c:pt idx="3">
                  <c:v>0.78</c:v>
                </c:pt>
                <c:pt idx="4">
                  <c:v>2.1419999999999999</c:v>
                </c:pt>
                <c:pt idx="5">
                  <c:v>3.7010000000000001</c:v>
                </c:pt>
                <c:pt idx="6">
                  <c:v>5.1764999999999999</c:v>
                </c:pt>
                <c:pt idx="7">
                  <c:v>6.6020000000000003</c:v>
                </c:pt>
                <c:pt idx="8">
                  <c:v>7.8940000000000001</c:v>
                </c:pt>
              </c:numCache>
            </c:numRef>
          </c:xVal>
          <c:yVal>
            <c:numRef>
              <c:f>Sheet1!$AH$3:$AH$11</c:f>
              <c:numCache>
                <c:formatCode>0.00</c:formatCode>
                <c:ptCount val="9"/>
                <c:pt idx="0">
                  <c:v>140.32447186034409</c:v>
                </c:pt>
                <c:pt idx="1">
                  <c:v>124.61650859239512</c:v>
                </c:pt>
                <c:pt idx="2">
                  <c:v>109.95574287564276</c:v>
                </c:pt>
                <c:pt idx="3">
                  <c:v>106.70943046693331</c:v>
                </c:pt>
                <c:pt idx="4">
                  <c:v>98.436569812480187</c:v>
                </c:pt>
                <c:pt idx="5">
                  <c:v>86.917396749317604</c:v>
                </c:pt>
                <c:pt idx="6">
                  <c:v>74.874624910556747</c:v>
                </c:pt>
                <c:pt idx="7">
                  <c:v>61.784655520599266</c:v>
                </c:pt>
                <c:pt idx="8">
                  <c:v>47.647488579445195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86-4893-A04F-8A12D78BD3EC}"/>
            </c:ext>
          </c:extLst>
        </c:ser>
        <c:ser>
          <c:idx val="3"/>
          <c:order val="6"/>
          <c:tx>
            <c:v>Расчетная Uг = 190 В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(Sheet1!$AK$3,Sheet1!$AE$12:$AE$13)</c:f>
              <c:numCache>
                <c:formatCode>General</c:formatCode>
                <c:ptCount val="3"/>
                <c:pt idx="0" formatCode="0.00">
                  <c:v>-3.1860000000000004</c:v>
                </c:pt>
                <c:pt idx="1">
                  <c:v>0</c:v>
                </c:pt>
                <c:pt idx="2">
                  <c:v>6.125</c:v>
                </c:pt>
              </c:numCache>
            </c:numRef>
          </c:xVal>
          <c:yVal>
            <c:numRef>
              <c:f>(Sheet1!$AG$19,Sheet1!$AG$12:$AG$13)</c:f>
              <c:numCache>
                <c:formatCode>0.00</c:formatCode>
                <c:ptCount val="3"/>
                <c:pt idx="0" formatCode="General">
                  <c:v>126.46504489795919</c:v>
                </c:pt>
                <c:pt idx="1">
                  <c:v>108.57142857142857</c:v>
                </c:pt>
                <c:pt idx="2">
                  <c:v>74.171428571428578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FD-412E-BDEF-55B202F59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11912"/>
        <c:axId val="524613880"/>
      </c:scatterChart>
      <c:valAx>
        <c:axId val="524611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Мд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90209430937921065"/>
              <c:y val="0.73317720478073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13880"/>
        <c:crosses val="autoZero"/>
        <c:crossBetween val="midCat"/>
      </c:valAx>
      <c:valAx>
        <c:axId val="52461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Calibri" panose="020F0502020204030204" pitchFamily="34" charset="0"/>
                    <a:cs typeface="Calibri" panose="020F0502020204030204" pitchFamily="34" charset="0"/>
                  </a:rPr>
                  <a:t>ω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6001622060016223"/>
              <c:y val="0.113962804005722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11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Регулировочные</a:t>
            </a:r>
            <a:r>
              <a:rPr lang="ru-RU" baseline="0"/>
              <a:t> характеристики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2"/>
          <c:tx>
            <c:v>Расчетная хар-ка M=f(w)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Sheet1!$AQ$17:$AQ$23</c:f>
              <c:numCache>
                <c:formatCode>0.00</c:formatCode>
                <c:ptCount val="7"/>
                <c:pt idx="0" formatCode="General">
                  <c:v>0</c:v>
                </c:pt>
                <c:pt idx="1">
                  <c:v>57.028571428571432</c:v>
                </c:pt>
                <c:pt idx="2">
                  <c:v>57.687861271676304</c:v>
                </c:pt>
                <c:pt idx="3">
                  <c:v>58.705882352941188</c:v>
                </c:pt>
                <c:pt idx="4">
                  <c:v>60.484848484848492</c:v>
                </c:pt>
                <c:pt idx="5">
                  <c:v>64.387096774193552</c:v>
                </c:pt>
                <c:pt idx="6">
                  <c:v>68.827586206896555</c:v>
                </c:pt>
              </c:numCache>
            </c:numRef>
          </c:xVal>
          <c:yVal>
            <c:numRef>
              <c:f>Sheet1!$AS$17:$AS$23</c:f>
              <c:numCache>
                <c:formatCode>General</c:formatCode>
                <c:ptCount val="7"/>
                <c:pt idx="0">
                  <c:v>6.125</c:v>
                </c:pt>
                <c:pt idx="1">
                  <c:v>6.125</c:v>
                </c:pt>
                <c:pt idx="2" formatCode="0.00">
                  <c:v>6.0549999999999997</c:v>
                </c:pt>
                <c:pt idx="3" formatCode="0.00">
                  <c:v>5.95</c:v>
                </c:pt>
                <c:pt idx="4" formatCode="0.00">
                  <c:v>5.7749999999999995</c:v>
                </c:pt>
                <c:pt idx="5" formatCode="0.00">
                  <c:v>5.4249999999999998</c:v>
                </c:pt>
                <c:pt idx="6" formatCode="0.00">
                  <c:v>5.0750000000000002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76-4B73-B1DA-83978A6D619E}"/>
            </c:ext>
          </c:extLst>
        </c:ser>
        <c:ser>
          <c:idx val="3"/>
          <c:order val="3"/>
          <c:tx>
            <c:v>Экспериментальная хар-ка M=f(w)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(Sheet1!$AR$4:$AR$10,Sheet1!$AR$12:$AR$16)</c:f>
              <c:numCache>
                <c:formatCode>0.00</c:formatCode>
                <c:ptCount val="12"/>
                <c:pt idx="0">
                  <c:v>2.0943951023931953</c:v>
                </c:pt>
                <c:pt idx="1">
                  <c:v>12.042771838760874</c:v>
                </c:pt>
                <c:pt idx="2">
                  <c:v>19.373154697137057</c:v>
                </c:pt>
                <c:pt idx="3">
                  <c:v>30.892327760299633</c:v>
                </c:pt>
                <c:pt idx="4">
                  <c:v>50.579641722795671</c:v>
                </c:pt>
                <c:pt idx="5">
                  <c:v>61.261056745000964</c:v>
                </c:pt>
                <c:pt idx="6">
                  <c:v>65.973445725385659</c:v>
                </c:pt>
                <c:pt idx="7">
                  <c:v>65.973445725385659</c:v>
                </c:pt>
                <c:pt idx="8">
                  <c:v>71.209433481368649</c:v>
                </c:pt>
                <c:pt idx="9">
                  <c:v>72.78022980816354</c:v>
                </c:pt>
                <c:pt idx="10">
                  <c:v>77.492618788548228</c:v>
                </c:pt>
                <c:pt idx="11">
                  <c:v>83.775804095727821</c:v>
                </c:pt>
              </c:numCache>
            </c:numRef>
          </c:xVal>
          <c:yVal>
            <c:numRef>
              <c:f>(Sheet1!$AU$4:$AU$10,Sheet1!$AU$12:$AU$16)</c:f>
              <c:numCache>
                <c:formatCode>0.00</c:formatCode>
                <c:ptCount val="12"/>
                <c:pt idx="0">
                  <c:v>5.770999999999999</c:v>
                </c:pt>
                <c:pt idx="1">
                  <c:v>5.770999999999999</c:v>
                </c:pt>
                <c:pt idx="2">
                  <c:v>5.770999999999999</c:v>
                </c:pt>
                <c:pt idx="3">
                  <c:v>5.7828999999999997</c:v>
                </c:pt>
                <c:pt idx="4">
                  <c:v>5.9209999999999994</c:v>
                </c:pt>
                <c:pt idx="5">
                  <c:v>5.9209999999999994</c:v>
                </c:pt>
                <c:pt idx="6">
                  <c:v>5.9209999999999994</c:v>
                </c:pt>
                <c:pt idx="7">
                  <c:v>5.9209999999999994</c:v>
                </c:pt>
                <c:pt idx="8">
                  <c:v>5.5170000000000003</c:v>
                </c:pt>
                <c:pt idx="9">
                  <c:v>5.4034999999999993</c:v>
                </c:pt>
                <c:pt idx="10">
                  <c:v>5.0629999999999997</c:v>
                </c:pt>
                <c:pt idx="11">
                  <c:v>4.7225000000000001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76-4B73-B1DA-83978A6D6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476984"/>
        <c:axId val="517481904"/>
      </c:scatterChart>
      <c:scatterChart>
        <c:scatterStyle val="lineMarker"/>
        <c:varyColors val="0"/>
        <c:ser>
          <c:idx val="0"/>
          <c:order val="0"/>
          <c:tx>
            <c:v>Расчетная хар-ка P=f(w)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(Sheet1!$AQ$17:$AQ$18,Sheet1!$AQ$23)</c:f>
              <c:numCache>
                <c:formatCode>0.00</c:formatCode>
                <c:ptCount val="3"/>
                <c:pt idx="0" formatCode="General">
                  <c:v>0</c:v>
                </c:pt>
                <c:pt idx="1">
                  <c:v>57.028571428571432</c:v>
                </c:pt>
                <c:pt idx="2">
                  <c:v>68.827586206896555</c:v>
                </c:pt>
              </c:numCache>
            </c:numRef>
          </c:xVal>
          <c:yVal>
            <c:numRef>
              <c:f>Sheet1!$AO$17:$AO$19</c:f>
              <c:numCache>
                <c:formatCode>0.0</c:formatCode>
                <c:ptCount val="3"/>
                <c:pt idx="0" formatCode="General">
                  <c:v>0</c:v>
                </c:pt>
                <c:pt idx="1">
                  <c:v>349.30000000000007</c:v>
                </c:pt>
                <c:pt idx="2" formatCode="General">
                  <c:v>349.30000000000007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76-4B73-B1DA-83978A6D619E}"/>
            </c:ext>
          </c:extLst>
        </c:ser>
        <c:ser>
          <c:idx val="2"/>
          <c:order val="1"/>
          <c:tx>
            <c:v>Экспериментальная  хар-ка P=f(w)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(Sheet1!$AR$4:$AR$10,Sheet1!$AR$12:$AR$16)</c:f>
              <c:numCache>
                <c:formatCode>0.00</c:formatCode>
                <c:ptCount val="12"/>
                <c:pt idx="0">
                  <c:v>2.0943951023931953</c:v>
                </c:pt>
                <c:pt idx="1">
                  <c:v>12.042771838760874</c:v>
                </c:pt>
                <c:pt idx="2">
                  <c:v>19.373154697137057</c:v>
                </c:pt>
                <c:pt idx="3">
                  <c:v>30.892327760299633</c:v>
                </c:pt>
                <c:pt idx="4">
                  <c:v>50.579641722795671</c:v>
                </c:pt>
                <c:pt idx="5">
                  <c:v>61.261056745000964</c:v>
                </c:pt>
                <c:pt idx="6">
                  <c:v>65.973445725385659</c:v>
                </c:pt>
                <c:pt idx="7">
                  <c:v>65.973445725385659</c:v>
                </c:pt>
                <c:pt idx="8">
                  <c:v>71.209433481368649</c:v>
                </c:pt>
                <c:pt idx="9">
                  <c:v>72.78022980816354</c:v>
                </c:pt>
                <c:pt idx="10">
                  <c:v>77.492618788548228</c:v>
                </c:pt>
                <c:pt idx="11">
                  <c:v>83.775804095727821</c:v>
                </c:pt>
              </c:numCache>
            </c:numRef>
          </c:xVal>
          <c:yVal>
            <c:numRef>
              <c:f>(Sheet1!$AV$4:$AV$10,Sheet1!$AV$12:$AV$16)</c:f>
              <c:numCache>
                <c:formatCode>0.00</c:formatCode>
                <c:ptCount val="12"/>
                <c:pt idx="0">
                  <c:v>12.086754135911129</c:v>
                </c:pt>
                <c:pt idx="1">
                  <c:v>69.498836281488991</c:v>
                </c:pt>
                <c:pt idx="2">
                  <c:v>111.80247575717793</c:v>
                </c:pt>
                <c:pt idx="3">
                  <c:v>178.64724220503675</c:v>
                </c:pt>
                <c:pt idx="4">
                  <c:v>299.48205864067313</c:v>
                </c:pt>
                <c:pt idx="5">
                  <c:v>362.72671698715067</c:v>
                </c:pt>
                <c:pt idx="6">
                  <c:v>390.62877214000844</c:v>
                </c:pt>
                <c:pt idx="7">
                  <c:v>390.62877214000844</c:v>
                </c:pt>
                <c:pt idx="8">
                  <c:v>392.86244451671087</c:v>
                </c:pt>
                <c:pt idx="9">
                  <c:v>393.26797176841166</c:v>
                </c:pt>
                <c:pt idx="10">
                  <c:v>392.34512892641965</c:v>
                </c:pt>
                <c:pt idx="11">
                  <c:v>395.63123484207466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6-4B73-B1DA-83978A6D6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090848"/>
        <c:axId val="592098392"/>
      </c:scatterChart>
      <c:valAx>
        <c:axId val="517476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ω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85975795046250292"/>
              <c:y val="0.778655637830039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481904"/>
        <c:crosses val="autoZero"/>
        <c:crossBetween val="midCat"/>
      </c:valAx>
      <c:valAx>
        <c:axId val="51748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6.2636165577342043E-2"/>
              <c:y val="4.977597736991736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476984"/>
        <c:crosses val="autoZero"/>
        <c:crossBetween val="midCat"/>
      </c:valAx>
      <c:valAx>
        <c:axId val="592098392"/>
        <c:scaling>
          <c:orientation val="minMax"/>
        </c:scaling>
        <c:delete val="0"/>
        <c:axPos val="r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91699204316693428"/>
              <c:y val="4.374815316959552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90848"/>
        <c:crosses val="max"/>
        <c:crossBetween val="midCat"/>
      </c:valAx>
      <c:valAx>
        <c:axId val="592090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2098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806229773462783"/>
          <c:y val="0.84332173995491944"/>
          <c:w val="0.72050970873786424"/>
          <c:h val="8.82600881786328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</a:t>
            </a:r>
            <a:r>
              <a:rPr lang="el-GR" baseline="0">
                <a:latin typeface="Calibri" panose="020F0502020204030204" pitchFamily="34" charset="0"/>
                <a:cs typeface="Calibri" panose="020F0502020204030204" pitchFamily="34" charset="0"/>
              </a:rPr>
              <a:t>ω</a:t>
            </a:r>
            <a:r>
              <a:rPr lang="en-GB" baseline="0">
                <a:latin typeface="Calibri" panose="020F0502020204030204" pitchFamily="34" charset="0"/>
                <a:cs typeface="Calibri" panose="020F0502020204030204" pitchFamily="34" charset="0"/>
              </a:rPr>
              <a:t>=f(U</a:t>
            </a:r>
            <a:r>
              <a:rPr lang="ru-RU" sz="1000" baseline="0">
                <a:latin typeface="Calibri" panose="020F0502020204030204" pitchFamily="34" charset="0"/>
                <a:cs typeface="Calibri" panose="020F0502020204030204" pitchFamily="34" charset="0"/>
              </a:rPr>
              <a:t>Г</a:t>
            </a:r>
            <a:r>
              <a:rPr lang="ru-RU" sz="1400" baseline="0">
                <a:latin typeface="Calibri" panose="020F0502020204030204" pitchFamily="34" charset="0"/>
                <a:cs typeface="Calibri" panose="020F0502020204030204" pitchFamily="34" charset="0"/>
              </a:rPr>
              <a:t>)</a:t>
            </a:r>
            <a:r>
              <a:rPr lang="en-GB" sz="1400" baseline="0">
                <a:latin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ru-RU" sz="1400" baseline="0">
                <a:latin typeface="Calibri" panose="020F0502020204030204" pitchFamily="34" charset="0"/>
                <a:cs typeface="Calibri" panose="020F0502020204030204" pitchFamily="34" charset="0"/>
              </a:rPr>
              <a:t>в первой зоне </a:t>
            </a:r>
          </a:p>
          <a:p>
            <a:pPr>
              <a:defRPr/>
            </a:pPr>
            <a:r>
              <a:rPr lang="ru-RU" sz="1400" baseline="0">
                <a:latin typeface="Calibri" panose="020F0502020204030204" pitchFamily="34" charset="0"/>
                <a:cs typeface="Calibri" panose="020F0502020204030204" pitchFamily="34" charset="0"/>
              </a:rPr>
              <a:t>и</a:t>
            </a:r>
            <a:r>
              <a:rPr lang="en-GB" sz="1400" baseline="0">
                <a:latin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l-GR" sz="1400" b="0" i="0" u="none" strike="noStrike" baseline="0">
                <a:effectLst/>
              </a:rPr>
              <a:t>ω</a:t>
            </a:r>
            <a:r>
              <a:rPr lang="en-GB" sz="1400" b="0" i="0" u="none" strike="noStrike" baseline="0">
                <a:effectLst/>
              </a:rPr>
              <a:t>=f(c</a:t>
            </a:r>
            <a:r>
              <a:rPr lang="ru-RU" sz="1400" b="0" i="0" u="none" strike="noStrike" baseline="0">
                <a:effectLst/>
              </a:rPr>
              <a:t>Ф</a:t>
            </a:r>
            <a:r>
              <a:rPr lang="en-GB" sz="1400" b="0" i="0" u="none" strike="noStrike" baseline="0">
                <a:effectLst/>
              </a:rPr>
              <a:t>'</a:t>
            </a:r>
            <a:r>
              <a:rPr lang="ru-RU" sz="1400" b="0" i="0" u="none" strike="noStrike" baseline="0">
                <a:effectLst/>
              </a:rPr>
              <a:t>) во второй</a:t>
            </a:r>
            <a:r>
              <a:rPr lang="ru-RU" sz="1400" baseline="0">
                <a:latin typeface="Calibri" panose="020F0502020204030204" pitchFamily="34" charset="0"/>
                <a:cs typeface="Calibri" panose="020F0502020204030204" pitchFamily="34" charset="0"/>
              </a:rPr>
              <a:t> </a:t>
            </a:r>
            <a:endParaRPr lang="ru-RU"/>
          </a:p>
        </c:rich>
      </c:tx>
      <c:layout>
        <c:manualLayout>
          <c:xMode val="edge"/>
          <c:yMode val="edge"/>
          <c:x val="0.19524300087489063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ω=f(Uг)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Sheet1!$AR$4:$AR$9</c:f>
              <c:numCache>
                <c:formatCode>0.00</c:formatCode>
                <c:ptCount val="6"/>
                <c:pt idx="0">
                  <c:v>2.0943951023931953</c:v>
                </c:pt>
                <c:pt idx="1">
                  <c:v>12.042771838760874</c:v>
                </c:pt>
                <c:pt idx="2">
                  <c:v>19.373154697137057</c:v>
                </c:pt>
                <c:pt idx="3">
                  <c:v>30.892327760299633</c:v>
                </c:pt>
                <c:pt idx="4">
                  <c:v>50.579641722795671</c:v>
                </c:pt>
                <c:pt idx="5">
                  <c:v>61.261056745000964</c:v>
                </c:pt>
              </c:numCache>
            </c:numRef>
          </c:xVal>
          <c:yVal>
            <c:numRef>
              <c:f>Sheet1!$AN$4:$AN$9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90</c:v>
                </c:pt>
                <c:pt idx="3">
                  <c:v>110</c:v>
                </c:pt>
                <c:pt idx="4">
                  <c:v>140</c:v>
                </c:pt>
                <c:pt idx="5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47-4BF1-A009-28C379BF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068448"/>
        <c:axId val="500069432"/>
      </c:scatterChart>
      <c:scatterChart>
        <c:scatterStyle val="lineMarker"/>
        <c:varyColors val="0"/>
        <c:ser>
          <c:idx val="1"/>
          <c:order val="1"/>
          <c:tx>
            <c:v>ω=f(сФ')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Sheet1!$AR$12:$AR$16</c:f>
              <c:numCache>
                <c:formatCode>0.00</c:formatCode>
                <c:ptCount val="5"/>
                <c:pt idx="0">
                  <c:v>65.973445725385659</c:v>
                </c:pt>
                <c:pt idx="1">
                  <c:v>71.209433481368649</c:v>
                </c:pt>
                <c:pt idx="2">
                  <c:v>72.78022980816354</c:v>
                </c:pt>
                <c:pt idx="3">
                  <c:v>77.492618788548228</c:v>
                </c:pt>
                <c:pt idx="4">
                  <c:v>83.775804095727821</c:v>
                </c:pt>
              </c:numCache>
            </c:numRef>
          </c:xVal>
          <c:yVal>
            <c:numRef>
              <c:f>Sheet1!$AX$12:$AX$16</c:f>
              <c:numCache>
                <c:formatCode>0.00</c:formatCode>
                <c:ptCount val="5"/>
                <c:pt idx="0">
                  <c:v>1.73</c:v>
                </c:pt>
                <c:pt idx="1">
                  <c:v>1.7</c:v>
                </c:pt>
                <c:pt idx="2">
                  <c:v>1.65</c:v>
                </c:pt>
                <c:pt idx="3">
                  <c:v>1.55</c:v>
                </c:pt>
                <c:pt idx="4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47-4BF1-A009-28C379BF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234296"/>
        <c:axId val="503233312"/>
      </c:scatterChart>
      <c:valAx>
        <c:axId val="50006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ω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95503809446499599"/>
              <c:y val="0.84595770356291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69432"/>
        <c:crosses val="autoZero"/>
        <c:crossBetween val="midCat"/>
      </c:valAx>
      <c:valAx>
        <c:axId val="50006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</a:t>
                </a:r>
                <a:r>
                  <a:rPr lang="ru-RU"/>
                  <a:t>г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7.6092292587137941E-2"/>
              <c:y val="0.12561619452740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68448"/>
        <c:crosses val="autoZero"/>
        <c:crossBetween val="midCat"/>
      </c:valAx>
      <c:valAx>
        <c:axId val="503233312"/>
        <c:scaling>
          <c:orientation val="minMax"/>
        </c:scaling>
        <c:delete val="0"/>
        <c:axPos val="r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сФ</a:t>
                </a:r>
                <a:r>
                  <a:rPr lang="en-GB"/>
                  <a:t>'</a:t>
                </a:r>
              </a:p>
            </c:rich>
          </c:tx>
          <c:layout>
            <c:manualLayout>
              <c:xMode val="edge"/>
              <c:yMode val="edge"/>
              <c:x val="0.87380952380952381"/>
              <c:y val="0.121784776902887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34296"/>
        <c:crosses val="max"/>
        <c:crossBetween val="midCat"/>
      </c:valAx>
      <c:valAx>
        <c:axId val="50323429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50323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152400</xdr:rowOff>
    </xdr:from>
    <xdr:to>
      <xdr:col>6</xdr:col>
      <xdr:colOff>419100</xdr:colOff>
      <xdr:row>29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AC5E60-0FC4-4532-AD87-FE74AFC2A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297180</xdr:colOff>
      <xdr:row>23</xdr:row>
      <xdr:rowOff>160020</xdr:rowOff>
    </xdr:from>
    <xdr:to>
      <xdr:col>38</xdr:col>
      <xdr:colOff>541020</xdr:colOff>
      <xdr:row>46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AA0B27-059C-4736-A84A-37C0D9ABB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358140</xdr:colOff>
      <xdr:row>23</xdr:row>
      <xdr:rowOff>140970</xdr:rowOff>
    </xdr:from>
    <xdr:to>
      <xdr:col>29</xdr:col>
      <xdr:colOff>525780</xdr:colOff>
      <xdr:row>48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8969BE-31F7-42C6-8B5D-8E523357B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68580</xdr:colOff>
      <xdr:row>24</xdr:row>
      <xdr:rowOff>45720</xdr:rowOff>
    </xdr:from>
    <xdr:to>
      <xdr:col>51</xdr:col>
      <xdr:colOff>251460</xdr:colOff>
      <xdr:row>49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36E38A-D8A2-4F98-89F7-598A7312A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51</xdr:col>
      <xdr:colOff>411480</xdr:colOff>
      <xdr:row>24</xdr:row>
      <xdr:rowOff>7620</xdr:rowOff>
    </xdr:from>
    <xdr:to>
      <xdr:col>60</xdr:col>
      <xdr:colOff>243840</xdr:colOff>
      <xdr:row>42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BDA344-77E1-42FB-B801-63F7F286A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"/>
  <sheetViews>
    <sheetView tabSelected="1" topLeftCell="U20" workbookViewId="0">
      <selection activeCell="AG20" sqref="AG20"/>
    </sheetView>
  </sheetViews>
  <sheetFormatPr defaultRowHeight="14.4" x14ac:dyDescent="0.3"/>
  <cols>
    <col min="13" max="13" width="14" bestFit="1" customWidth="1"/>
    <col min="14" max="14" width="12.33203125" customWidth="1"/>
    <col min="33" max="33" width="14" bestFit="1" customWidth="1"/>
    <col min="40" max="40" width="7.21875" customWidth="1"/>
    <col min="41" max="41" width="7.33203125" customWidth="1"/>
    <col min="42" max="42" width="7" customWidth="1"/>
    <col min="43" max="43" width="7.21875" customWidth="1"/>
    <col min="44" max="44" width="7.88671875" customWidth="1"/>
    <col min="45" max="45" width="7.44140625" customWidth="1"/>
    <col min="46" max="46" width="6.6640625" customWidth="1"/>
    <col min="47" max="47" width="6.109375" customWidth="1"/>
    <col min="48" max="48" width="10.109375" customWidth="1"/>
    <col min="49" max="49" width="7.109375" customWidth="1"/>
    <col min="50" max="50" width="7.21875" customWidth="1"/>
    <col min="51" max="51" width="7.5546875" customWidth="1"/>
    <col min="52" max="52" width="6.77734375" customWidth="1"/>
  </cols>
  <sheetData>
    <row r="1" spans="1:52" ht="22.8" x14ac:dyDescent="0.3">
      <c r="A1" s="6" t="s">
        <v>0</v>
      </c>
      <c r="B1" s="6" t="s">
        <v>1</v>
      </c>
      <c r="D1" t="s">
        <v>22</v>
      </c>
      <c r="E1">
        <v>0</v>
      </c>
      <c r="F1">
        <v>125.714</v>
      </c>
      <c r="H1" s="22" t="s">
        <v>15</v>
      </c>
      <c r="I1" s="23"/>
      <c r="J1" s="10" t="s">
        <v>2</v>
      </c>
      <c r="K1" s="10" t="s">
        <v>3</v>
      </c>
      <c r="L1" s="4" t="s">
        <v>4</v>
      </c>
      <c r="M1" s="10" t="s">
        <v>5</v>
      </c>
      <c r="N1" s="5" t="s">
        <v>6</v>
      </c>
      <c r="O1" s="10" t="s">
        <v>7</v>
      </c>
      <c r="P1" s="10" t="s">
        <v>8</v>
      </c>
      <c r="Q1" s="10" t="s">
        <v>9</v>
      </c>
      <c r="R1" s="23" t="s">
        <v>16</v>
      </c>
      <c r="S1" s="23"/>
      <c r="T1" s="3" t="s">
        <v>2</v>
      </c>
      <c r="U1" s="3" t="s">
        <v>3</v>
      </c>
      <c r="V1" s="4" t="s">
        <v>4</v>
      </c>
      <c r="W1" s="3" t="s">
        <v>5</v>
      </c>
      <c r="X1" s="5" t="s">
        <v>6</v>
      </c>
      <c r="Y1" s="3" t="s">
        <v>7</v>
      </c>
      <c r="Z1" s="3" t="s">
        <v>8</v>
      </c>
      <c r="AA1" s="3" t="s">
        <v>9</v>
      </c>
      <c r="AB1" s="23" t="s">
        <v>17</v>
      </c>
      <c r="AC1" s="23"/>
      <c r="AD1" s="3" t="s">
        <v>2</v>
      </c>
      <c r="AE1" s="3" t="s">
        <v>3</v>
      </c>
      <c r="AF1" s="4" t="s">
        <v>4</v>
      </c>
      <c r="AG1" s="3" t="s">
        <v>5</v>
      </c>
      <c r="AH1" s="5" t="s">
        <v>6</v>
      </c>
      <c r="AI1" s="3" t="s">
        <v>7</v>
      </c>
      <c r="AJ1" s="3" t="s">
        <v>8</v>
      </c>
      <c r="AK1" s="3" t="s">
        <v>9</v>
      </c>
      <c r="AN1" s="10" t="s">
        <v>2</v>
      </c>
      <c r="AO1" s="10" t="s">
        <v>3</v>
      </c>
      <c r="AP1" s="4" t="s">
        <v>4</v>
      </c>
      <c r="AQ1" s="10" t="s">
        <v>5</v>
      </c>
      <c r="AR1" s="5" t="s">
        <v>6</v>
      </c>
      <c r="AS1" s="10" t="s">
        <v>7</v>
      </c>
      <c r="AT1" s="10" t="s">
        <v>8</v>
      </c>
      <c r="AU1" s="10" t="s">
        <v>9</v>
      </c>
      <c r="AV1" s="10" t="s">
        <v>18</v>
      </c>
      <c r="AW1" s="18"/>
      <c r="AX1" s="18"/>
      <c r="AY1" s="18"/>
      <c r="AZ1" s="18"/>
    </row>
    <row r="2" spans="1:52" ht="36" x14ac:dyDescent="0.3">
      <c r="A2" s="6">
        <v>0</v>
      </c>
      <c r="B2" s="6">
        <v>10</v>
      </c>
      <c r="E2">
        <v>6.125</v>
      </c>
      <c r="F2">
        <v>104.71975999999999</v>
      </c>
      <c r="J2" s="10" t="s">
        <v>10</v>
      </c>
      <c r="K2" s="10" t="s">
        <v>11</v>
      </c>
      <c r="L2" s="10" t="s">
        <v>12</v>
      </c>
      <c r="M2" s="10" t="s">
        <v>11</v>
      </c>
      <c r="N2" s="10" t="s">
        <v>13</v>
      </c>
      <c r="O2" s="10" t="s">
        <v>14</v>
      </c>
      <c r="P2" s="10" t="s">
        <v>14</v>
      </c>
      <c r="Q2" s="10" t="s">
        <v>14</v>
      </c>
      <c r="T2" s="3" t="s">
        <v>10</v>
      </c>
      <c r="U2" s="3" t="s">
        <v>11</v>
      </c>
      <c r="V2" s="3" t="s">
        <v>12</v>
      </c>
      <c r="W2" s="3" t="s">
        <v>11</v>
      </c>
      <c r="X2" s="3" t="s">
        <v>13</v>
      </c>
      <c r="Y2" s="3" t="s">
        <v>14</v>
      </c>
      <c r="Z2" s="3" t="s">
        <v>14</v>
      </c>
      <c r="AA2" s="3" t="s">
        <v>14</v>
      </c>
      <c r="AD2" s="3" t="s">
        <v>10</v>
      </c>
      <c r="AE2" s="3" t="s">
        <v>11</v>
      </c>
      <c r="AF2" s="3" t="s">
        <v>12</v>
      </c>
      <c r="AG2" s="3" t="s">
        <v>11</v>
      </c>
      <c r="AH2" s="3" t="s">
        <v>13</v>
      </c>
      <c r="AI2" s="3" t="s">
        <v>14</v>
      </c>
      <c r="AJ2" s="3" t="s">
        <v>14</v>
      </c>
      <c r="AK2" s="3" t="s">
        <v>14</v>
      </c>
      <c r="AN2" s="10" t="s">
        <v>10</v>
      </c>
      <c r="AO2" s="10" t="s">
        <v>11</v>
      </c>
      <c r="AP2" s="10" t="s">
        <v>12</v>
      </c>
      <c r="AQ2" s="10" t="s">
        <v>11</v>
      </c>
      <c r="AR2" s="10" t="s">
        <v>13</v>
      </c>
      <c r="AS2" s="10" t="s">
        <v>14</v>
      </c>
      <c r="AT2" s="10" t="s">
        <v>14</v>
      </c>
      <c r="AU2" s="10" t="s">
        <v>14</v>
      </c>
      <c r="AV2" s="10" t="s">
        <v>19</v>
      </c>
      <c r="AW2" s="18"/>
      <c r="AX2" s="18"/>
      <c r="AY2" s="18"/>
      <c r="AZ2" s="18"/>
    </row>
    <row r="3" spans="1:52" ht="18" x14ac:dyDescent="0.3">
      <c r="A3" s="6">
        <v>0.04</v>
      </c>
      <c r="B3" s="6">
        <v>50</v>
      </c>
      <c r="J3" s="10">
        <v>90</v>
      </c>
      <c r="K3" s="10">
        <v>-4.5</v>
      </c>
      <c r="L3" s="10">
        <v>1000</v>
      </c>
      <c r="M3" s="13">
        <v>3.3</v>
      </c>
      <c r="N3" s="13">
        <f t="shared" ref="N3:N8" si="0">PI()*L3/30</f>
        <v>104.71975511965977</v>
      </c>
      <c r="O3" s="13">
        <f>2.27*M3</f>
        <v>7.4909999999999997</v>
      </c>
      <c r="P3" s="13">
        <v>0.78</v>
      </c>
      <c r="Q3" s="13">
        <f>-O3+P3</f>
        <v>-6.7109999999999994</v>
      </c>
      <c r="T3" s="3">
        <v>140</v>
      </c>
      <c r="U3" s="3">
        <v>-3.5</v>
      </c>
      <c r="V3" s="3">
        <v>1190</v>
      </c>
      <c r="W3" s="13">
        <v>2.8</v>
      </c>
      <c r="X3" s="13">
        <f>PI()*V3/30</f>
        <v>124.61650859239512</v>
      </c>
      <c r="Y3" s="13">
        <f>2.27*W3</f>
        <v>6.3559999999999999</v>
      </c>
      <c r="Z3" s="13">
        <v>0.85</v>
      </c>
      <c r="AA3" s="13">
        <f>-Y3+Z3</f>
        <v>-5.5060000000000002</v>
      </c>
      <c r="AD3" s="3">
        <v>190</v>
      </c>
      <c r="AE3" s="3">
        <v>-2</v>
      </c>
      <c r="AF3" s="3">
        <v>1340</v>
      </c>
      <c r="AG3" s="11">
        <v>1.8</v>
      </c>
      <c r="AH3" s="13">
        <f>PI()*AF3/30</f>
        <v>140.32447186034409</v>
      </c>
      <c r="AI3" s="13">
        <f>2.27*AG3</f>
        <v>4.0860000000000003</v>
      </c>
      <c r="AJ3" s="13">
        <v>0.9</v>
      </c>
      <c r="AK3" s="13">
        <f>-AI3+AJ3</f>
        <v>-3.1860000000000004</v>
      </c>
      <c r="AN3" s="24" t="s">
        <v>21</v>
      </c>
      <c r="AO3" s="24"/>
      <c r="AP3" s="24"/>
      <c r="AQ3" s="24"/>
      <c r="AR3" s="24"/>
      <c r="AS3" s="24"/>
      <c r="AT3" s="24"/>
      <c r="AU3" s="24"/>
      <c r="AV3" s="24"/>
      <c r="AW3" s="18"/>
      <c r="AX3" s="18"/>
      <c r="AY3" s="18"/>
      <c r="AZ3" s="18"/>
    </row>
    <row r="4" spans="1:52" ht="18" x14ac:dyDescent="0.3">
      <c r="A4" s="6">
        <v>0.1</v>
      </c>
      <c r="B4" s="6">
        <v>90</v>
      </c>
      <c r="J4" s="10">
        <v>90</v>
      </c>
      <c r="K4" s="10">
        <v>-4</v>
      </c>
      <c r="L4" s="10">
        <v>910</v>
      </c>
      <c r="M4" s="13">
        <v>2.9</v>
      </c>
      <c r="N4" s="13">
        <f t="shared" si="0"/>
        <v>95.29497715889039</v>
      </c>
      <c r="O4" s="13">
        <f t="shared" ref="O4:O14" si="1">2.27*M4</f>
        <v>6.5830000000000002</v>
      </c>
      <c r="P4" s="13">
        <v>0.78</v>
      </c>
      <c r="Q4" s="13">
        <f t="shared" ref="Q4:Q8" si="2">-O4+P4</f>
        <v>-5.8029999999999999</v>
      </c>
      <c r="T4" s="3">
        <v>140</v>
      </c>
      <c r="U4" s="3">
        <v>-3</v>
      </c>
      <c r="V4" s="3">
        <v>1110</v>
      </c>
      <c r="W4" s="13">
        <v>2.4</v>
      </c>
      <c r="X4" s="13">
        <f t="shared" ref="X4:X8" si="3">PI()*V4/30</f>
        <v>116.23892818282235</v>
      </c>
      <c r="Y4" s="13">
        <f t="shared" ref="Y4:Y13" si="4">2.27*W4</f>
        <v>5.4479999999999995</v>
      </c>
      <c r="Z4" s="13">
        <v>0.85</v>
      </c>
      <c r="AA4" s="13">
        <f t="shared" ref="AA4:AA7" si="5">-Y4+Z4</f>
        <v>-4.5979999999999999</v>
      </c>
      <c r="AD4" s="3">
        <v>190</v>
      </c>
      <c r="AE4" s="3">
        <v>-1</v>
      </c>
      <c r="AF4" s="3">
        <v>1190</v>
      </c>
      <c r="AG4" s="11">
        <v>1</v>
      </c>
      <c r="AH4" s="13">
        <f t="shared" ref="AH4:AH6" si="6">PI()*AF4/30</f>
        <v>124.61650859239512</v>
      </c>
      <c r="AI4" s="13">
        <f t="shared" ref="AI4:AI11" si="7">2.27*AG4</f>
        <v>2.27</v>
      </c>
      <c r="AJ4" s="13">
        <v>0.85</v>
      </c>
      <c r="AK4" s="13">
        <f t="shared" ref="AK4:AK5" si="8">-AI4+AJ4</f>
        <v>-1.42</v>
      </c>
      <c r="AN4" s="10">
        <v>60</v>
      </c>
      <c r="AO4" s="10">
        <v>3.5</v>
      </c>
      <c r="AP4" s="10">
        <v>20</v>
      </c>
      <c r="AQ4" s="13">
        <v>2.2999999999999998</v>
      </c>
      <c r="AR4" s="13">
        <f>PI()*AP4/30</f>
        <v>2.0943951023931953</v>
      </c>
      <c r="AS4" s="13">
        <f>2.27*AQ4</f>
        <v>5.2209999999999992</v>
      </c>
      <c r="AT4" s="13">
        <v>0.55000000000000004</v>
      </c>
      <c r="AU4" s="13">
        <f>AS4+AT4</f>
        <v>5.770999999999999</v>
      </c>
      <c r="AV4" s="13">
        <f>AR4*AU4</f>
        <v>12.086754135911129</v>
      </c>
      <c r="AW4" s="18"/>
      <c r="AX4" s="18"/>
      <c r="AY4" s="18"/>
      <c r="AZ4" s="18"/>
    </row>
    <row r="5" spans="1:52" ht="18" x14ac:dyDescent="0.3">
      <c r="A5" s="6">
        <v>0.2</v>
      </c>
      <c r="B5" s="6">
        <v>140</v>
      </c>
      <c r="J5" s="10">
        <v>90</v>
      </c>
      <c r="K5" s="10">
        <v>-3</v>
      </c>
      <c r="L5" s="10">
        <v>800</v>
      </c>
      <c r="M5" s="13">
        <v>2.4</v>
      </c>
      <c r="N5" s="13">
        <f t="shared" si="0"/>
        <v>83.775804095727821</v>
      </c>
      <c r="O5" s="13">
        <f t="shared" si="1"/>
        <v>5.4479999999999995</v>
      </c>
      <c r="P5" s="13">
        <v>0.75</v>
      </c>
      <c r="Q5" s="13">
        <f t="shared" si="2"/>
        <v>-4.6979999999999995</v>
      </c>
      <c r="T5" s="3">
        <v>140</v>
      </c>
      <c r="U5" s="3">
        <v>-2</v>
      </c>
      <c r="V5" s="3">
        <v>990</v>
      </c>
      <c r="W5" s="13">
        <v>1.75</v>
      </c>
      <c r="X5" s="13">
        <f t="shared" si="3"/>
        <v>103.67255756846318</v>
      </c>
      <c r="Y5" s="13">
        <f t="shared" si="4"/>
        <v>3.9725000000000001</v>
      </c>
      <c r="Z5" s="13">
        <v>0.78</v>
      </c>
      <c r="AA5" s="13">
        <f t="shared" si="5"/>
        <v>-3.1924999999999999</v>
      </c>
      <c r="AD5" s="3">
        <v>190</v>
      </c>
      <c r="AE5" s="3">
        <v>0</v>
      </c>
      <c r="AF5" s="3">
        <v>1050</v>
      </c>
      <c r="AG5" s="11">
        <v>0.3</v>
      </c>
      <c r="AH5" s="13">
        <f t="shared" si="6"/>
        <v>109.95574287564276</v>
      </c>
      <c r="AI5" s="13">
        <f t="shared" si="7"/>
        <v>0.68099999999999994</v>
      </c>
      <c r="AJ5" s="13">
        <v>0.78</v>
      </c>
      <c r="AK5" s="13">
        <f t="shared" si="8"/>
        <v>9.9000000000000088E-2</v>
      </c>
      <c r="AN5" s="10">
        <v>80</v>
      </c>
      <c r="AO5" s="10">
        <v>3.5</v>
      </c>
      <c r="AP5" s="10">
        <v>115</v>
      </c>
      <c r="AQ5" s="13">
        <v>2.2999999999999998</v>
      </c>
      <c r="AR5" s="13">
        <f t="shared" ref="AR5:AR9" si="9">PI()*AP5/30</f>
        <v>12.042771838760874</v>
      </c>
      <c r="AS5" s="13">
        <f t="shared" ref="AS5:AS9" si="10">2.27*AQ5</f>
        <v>5.2209999999999992</v>
      </c>
      <c r="AT5" s="13">
        <v>0.55000000000000004</v>
      </c>
      <c r="AU5" s="13">
        <f t="shared" ref="AU5:AU10" si="11">AS5+AT5</f>
        <v>5.770999999999999</v>
      </c>
      <c r="AV5" s="13">
        <f t="shared" ref="AV5:AV10" si="12">AR5*AU5</f>
        <v>69.498836281488991</v>
      </c>
      <c r="AW5" s="18"/>
      <c r="AX5" s="18"/>
      <c r="AY5" s="18"/>
      <c r="AZ5" s="18"/>
    </row>
    <row r="6" spans="1:52" ht="18" x14ac:dyDescent="0.3">
      <c r="A6" s="6">
        <v>0.25</v>
      </c>
      <c r="B6" s="6">
        <v>160</v>
      </c>
      <c r="J6" s="10">
        <v>90</v>
      </c>
      <c r="K6" s="10">
        <v>-2</v>
      </c>
      <c r="L6" s="10">
        <v>695</v>
      </c>
      <c r="M6" s="13">
        <v>1.75</v>
      </c>
      <c r="N6" s="13">
        <f t="shared" si="0"/>
        <v>72.78022980816354</v>
      </c>
      <c r="O6" s="13">
        <f t="shared" si="1"/>
        <v>3.9725000000000001</v>
      </c>
      <c r="P6" s="13">
        <v>0.75</v>
      </c>
      <c r="Q6" s="13">
        <f t="shared" si="2"/>
        <v>-3.2225000000000001</v>
      </c>
      <c r="T6" s="3">
        <v>140</v>
      </c>
      <c r="U6" s="3">
        <v>-1</v>
      </c>
      <c r="V6" s="3">
        <v>877</v>
      </c>
      <c r="W6" s="13">
        <v>1</v>
      </c>
      <c r="X6" s="13">
        <f t="shared" si="3"/>
        <v>91.839225239941626</v>
      </c>
      <c r="Y6" s="13">
        <f t="shared" si="4"/>
        <v>2.27</v>
      </c>
      <c r="Z6" s="13">
        <v>0.78</v>
      </c>
      <c r="AA6" s="13">
        <f t="shared" si="5"/>
        <v>-1.49</v>
      </c>
      <c r="AD6" s="3">
        <v>190</v>
      </c>
      <c r="AE6" s="3">
        <v>0.5</v>
      </c>
      <c r="AF6" s="3">
        <v>1019</v>
      </c>
      <c r="AG6" s="11">
        <v>0</v>
      </c>
      <c r="AH6" s="13">
        <f t="shared" si="6"/>
        <v>106.70943046693331</v>
      </c>
      <c r="AI6" s="13">
        <f t="shared" si="7"/>
        <v>0</v>
      </c>
      <c r="AJ6" s="13">
        <v>0.78</v>
      </c>
      <c r="AK6" s="13">
        <f t="shared" ref="AK6:AK11" si="13">AI6+AJ6</f>
        <v>0.78</v>
      </c>
      <c r="AN6" s="10">
        <v>90</v>
      </c>
      <c r="AO6" s="10">
        <v>3.5</v>
      </c>
      <c r="AP6" s="10">
        <v>185</v>
      </c>
      <c r="AQ6" s="13">
        <v>2.2999999999999998</v>
      </c>
      <c r="AR6" s="13">
        <f t="shared" si="9"/>
        <v>19.373154697137057</v>
      </c>
      <c r="AS6" s="13">
        <f t="shared" si="10"/>
        <v>5.2209999999999992</v>
      </c>
      <c r="AT6" s="13">
        <v>0.55000000000000004</v>
      </c>
      <c r="AU6" s="13">
        <f t="shared" si="11"/>
        <v>5.770999999999999</v>
      </c>
      <c r="AV6" s="13">
        <f t="shared" si="12"/>
        <v>111.80247575717793</v>
      </c>
      <c r="AW6" s="18"/>
      <c r="AX6" s="18"/>
      <c r="AY6" s="18"/>
      <c r="AZ6" s="18"/>
    </row>
    <row r="7" spans="1:52" ht="18" x14ac:dyDescent="0.3">
      <c r="A7" s="6">
        <v>0.38</v>
      </c>
      <c r="B7" s="6">
        <v>190</v>
      </c>
      <c r="J7" s="10">
        <v>90</v>
      </c>
      <c r="K7" s="10">
        <v>-1</v>
      </c>
      <c r="L7" s="10">
        <v>590</v>
      </c>
      <c r="M7" s="13">
        <v>1</v>
      </c>
      <c r="N7" s="13">
        <f t="shared" si="0"/>
        <v>61.784655520599266</v>
      </c>
      <c r="O7" s="13">
        <f t="shared" si="1"/>
        <v>2.27</v>
      </c>
      <c r="P7" s="13">
        <v>0.7</v>
      </c>
      <c r="Q7" s="13">
        <f t="shared" si="2"/>
        <v>-1.57</v>
      </c>
      <c r="T7" s="3">
        <v>140</v>
      </c>
      <c r="U7" s="3">
        <v>0</v>
      </c>
      <c r="V7" s="3">
        <v>755</v>
      </c>
      <c r="W7" s="13">
        <v>0.2</v>
      </c>
      <c r="X7" s="13">
        <f t="shared" si="3"/>
        <v>79.063415115343119</v>
      </c>
      <c r="Y7" s="13">
        <f t="shared" si="4"/>
        <v>0.45400000000000001</v>
      </c>
      <c r="Z7" s="13">
        <v>0.75</v>
      </c>
      <c r="AA7" s="13">
        <f t="shared" si="5"/>
        <v>0.29599999999999999</v>
      </c>
      <c r="AD7" s="3">
        <v>180</v>
      </c>
      <c r="AE7" s="3">
        <v>1</v>
      </c>
      <c r="AF7" s="3">
        <v>940</v>
      </c>
      <c r="AG7" s="11">
        <v>0.6</v>
      </c>
      <c r="AH7" s="13">
        <f t="shared" ref="AH7:AH11" si="14">PI()*AF7/30</f>
        <v>98.436569812480187</v>
      </c>
      <c r="AI7" s="13">
        <f t="shared" si="7"/>
        <v>1.3619999999999999</v>
      </c>
      <c r="AJ7" s="13">
        <v>0.78</v>
      </c>
      <c r="AK7" s="13">
        <f t="shared" si="13"/>
        <v>2.1419999999999999</v>
      </c>
      <c r="AN7" s="10">
        <v>110</v>
      </c>
      <c r="AO7" s="10">
        <v>3.5</v>
      </c>
      <c r="AP7" s="10">
        <v>295</v>
      </c>
      <c r="AQ7" s="13">
        <v>2.27</v>
      </c>
      <c r="AR7" s="13">
        <f t="shared" si="9"/>
        <v>30.892327760299633</v>
      </c>
      <c r="AS7" s="13">
        <f t="shared" si="10"/>
        <v>5.1528999999999998</v>
      </c>
      <c r="AT7" s="13">
        <v>0.63</v>
      </c>
      <c r="AU7" s="13">
        <f t="shared" si="11"/>
        <v>5.7828999999999997</v>
      </c>
      <c r="AV7" s="13">
        <f t="shared" si="12"/>
        <v>178.64724220503675</v>
      </c>
      <c r="AW7" s="18"/>
      <c r="AX7" s="18"/>
      <c r="AY7" s="18"/>
      <c r="AZ7" s="18"/>
    </row>
    <row r="8" spans="1:52" ht="18" x14ac:dyDescent="0.3">
      <c r="J8" s="10">
        <v>90</v>
      </c>
      <c r="K8" s="10">
        <v>0</v>
      </c>
      <c r="L8" s="10">
        <v>490</v>
      </c>
      <c r="M8" s="13">
        <v>0.25</v>
      </c>
      <c r="N8" s="13">
        <f t="shared" si="0"/>
        <v>51.312680008633286</v>
      </c>
      <c r="O8" s="13">
        <f>2.27*M8</f>
        <v>0.5675</v>
      </c>
      <c r="P8" s="13">
        <v>0.7</v>
      </c>
      <c r="Q8" s="13">
        <f t="shared" si="2"/>
        <v>0.13249999999999995</v>
      </c>
      <c r="T8" s="3">
        <v>140</v>
      </c>
      <c r="U8" s="3">
        <v>0.5</v>
      </c>
      <c r="V8" s="3">
        <v>734</v>
      </c>
      <c r="W8" s="13">
        <v>0</v>
      </c>
      <c r="X8" s="13">
        <f t="shared" si="3"/>
        <v>76.86430025783028</v>
      </c>
      <c r="Y8" s="13">
        <f t="shared" si="4"/>
        <v>0</v>
      </c>
      <c r="Z8" s="13">
        <v>0.75</v>
      </c>
      <c r="AA8" s="13">
        <f t="shared" ref="AA8:AA13" si="15">Y8+Z8</f>
        <v>0.75</v>
      </c>
      <c r="AD8" s="3">
        <v>180</v>
      </c>
      <c r="AE8" s="3">
        <v>2</v>
      </c>
      <c r="AF8" s="3">
        <v>830</v>
      </c>
      <c r="AG8" s="11">
        <v>1.3</v>
      </c>
      <c r="AH8" s="13">
        <f t="shared" si="14"/>
        <v>86.917396749317604</v>
      </c>
      <c r="AI8" s="13">
        <f t="shared" si="7"/>
        <v>2.9510000000000001</v>
      </c>
      <c r="AJ8" s="13">
        <v>0.75</v>
      </c>
      <c r="AK8" s="13">
        <f t="shared" si="13"/>
        <v>3.7010000000000001</v>
      </c>
      <c r="AN8" s="10">
        <v>140</v>
      </c>
      <c r="AO8" s="10">
        <v>3.5</v>
      </c>
      <c r="AP8" s="10">
        <v>483</v>
      </c>
      <c r="AQ8" s="13">
        <v>2.2999999999999998</v>
      </c>
      <c r="AR8" s="13">
        <f t="shared" si="9"/>
        <v>50.579641722795671</v>
      </c>
      <c r="AS8" s="13">
        <f t="shared" si="10"/>
        <v>5.2209999999999992</v>
      </c>
      <c r="AT8" s="13">
        <v>0.7</v>
      </c>
      <c r="AU8" s="13">
        <f t="shared" si="11"/>
        <v>5.9209999999999994</v>
      </c>
      <c r="AV8" s="13">
        <f t="shared" si="12"/>
        <v>299.48205864067313</v>
      </c>
      <c r="AW8" s="18"/>
      <c r="AX8" s="18"/>
      <c r="AY8" s="18"/>
      <c r="AZ8" s="18"/>
    </row>
    <row r="9" spans="1:52" ht="18" x14ac:dyDescent="0.3">
      <c r="J9" s="10">
        <v>90</v>
      </c>
      <c r="K9" s="10">
        <v>0.5</v>
      </c>
      <c r="L9" s="10">
        <v>467</v>
      </c>
      <c r="M9" s="13">
        <v>0</v>
      </c>
      <c r="N9" s="13">
        <f>PI()*L9/30</f>
        <v>48.904125640881112</v>
      </c>
      <c r="O9" s="13">
        <f t="shared" ref="O9" si="16">2.27*M9</f>
        <v>0</v>
      </c>
      <c r="P9" s="13">
        <v>0.63</v>
      </c>
      <c r="Q9" s="13">
        <f>O9+P9</f>
        <v>0.63</v>
      </c>
      <c r="T9" s="3">
        <v>135</v>
      </c>
      <c r="U9" s="3">
        <v>1</v>
      </c>
      <c r="V9" s="3">
        <v>660</v>
      </c>
      <c r="W9" s="13">
        <v>0.55000000000000004</v>
      </c>
      <c r="X9" s="13">
        <f t="shared" ref="X9:X13" si="17">PI()*V9/30</f>
        <v>69.115038378975441</v>
      </c>
      <c r="Y9" s="13">
        <f t="shared" si="4"/>
        <v>1.2485000000000002</v>
      </c>
      <c r="Z9" s="13">
        <v>0.7</v>
      </c>
      <c r="AA9" s="13">
        <f t="shared" si="15"/>
        <v>1.9485000000000001</v>
      </c>
      <c r="AD9" s="3">
        <v>170</v>
      </c>
      <c r="AE9" s="3">
        <v>3</v>
      </c>
      <c r="AF9" s="3">
        <v>715</v>
      </c>
      <c r="AG9" s="11">
        <v>1.95</v>
      </c>
      <c r="AH9" s="13">
        <f t="shared" si="14"/>
        <v>74.874624910556747</v>
      </c>
      <c r="AI9" s="13">
        <f t="shared" si="7"/>
        <v>4.4264999999999999</v>
      </c>
      <c r="AJ9" s="13">
        <v>0.75</v>
      </c>
      <c r="AK9" s="13">
        <f t="shared" si="13"/>
        <v>5.1764999999999999</v>
      </c>
      <c r="AN9" s="10">
        <v>160</v>
      </c>
      <c r="AO9" s="10">
        <v>3.5</v>
      </c>
      <c r="AP9" s="10">
        <v>585</v>
      </c>
      <c r="AQ9" s="13">
        <v>2.2999999999999998</v>
      </c>
      <c r="AR9" s="13">
        <f t="shared" si="9"/>
        <v>61.261056745000964</v>
      </c>
      <c r="AS9" s="13">
        <f t="shared" si="10"/>
        <v>5.2209999999999992</v>
      </c>
      <c r="AT9" s="13">
        <v>0.7</v>
      </c>
      <c r="AU9" s="13">
        <f t="shared" si="11"/>
        <v>5.9209999999999994</v>
      </c>
      <c r="AV9" s="13">
        <f t="shared" si="12"/>
        <v>362.72671698715067</v>
      </c>
      <c r="AW9" s="18"/>
      <c r="AX9" s="18"/>
      <c r="AY9" s="18"/>
      <c r="AZ9" s="18"/>
    </row>
    <row r="10" spans="1:52" ht="18" x14ac:dyDescent="0.3">
      <c r="J10" s="10">
        <v>85</v>
      </c>
      <c r="K10" s="10">
        <v>1</v>
      </c>
      <c r="L10" s="10">
        <v>390</v>
      </c>
      <c r="M10" s="13">
        <v>0.55000000000000004</v>
      </c>
      <c r="N10" s="13">
        <f t="shared" ref="N10:N14" si="18">PI()*L10/30</f>
        <v>40.840704496667307</v>
      </c>
      <c r="O10" s="13">
        <f t="shared" si="1"/>
        <v>1.2485000000000002</v>
      </c>
      <c r="P10" s="13">
        <v>0.63</v>
      </c>
      <c r="Q10" s="13">
        <f t="shared" ref="Q10:Q14" si="19">O10+P10</f>
        <v>1.8785000000000003</v>
      </c>
      <c r="T10" s="3">
        <v>130</v>
      </c>
      <c r="U10" s="3">
        <v>2</v>
      </c>
      <c r="V10" s="3">
        <v>555</v>
      </c>
      <c r="W10" s="13">
        <v>1.3</v>
      </c>
      <c r="X10" s="13">
        <f t="shared" si="17"/>
        <v>58.119464091411174</v>
      </c>
      <c r="Y10" s="13">
        <f t="shared" si="4"/>
        <v>2.9510000000000001</v>
      </c>
      <c r="Z10" s="13">
        <v>0.7</v>
      </c>
      <c r="AA10" s="13">
        <f t="shared" si="15"/>
        <v>3.6509999999999998</v>
      </c>
      <c r="AD10" s="3">
        <v>160</v>
      </c>
      <c r="AE10" s="3">
        <v>4</v>
      </c>
      <c r="AF10" s="3">
        <v>590</v>
      </c>
      <c r="AG10" s="11">
        <v>2.6</v>
      </c>
      <c r="AH10" s="13">
        <f t="shared" si="14"/>
        <v>61.784655520599266</v>
      </c>
      <c r="AI10" s="13">
        <f t="shared" si="7"/>
        <v>5.9020000000000001</v>
      </c>
      <c r="AJ10" s="13">
        <v>0.7</v>
      </c>
      <c r="AK10" s="13">
        <f t="shared" si="13"/>
        <v>6.6020000000000003</v>
      </c>
      <c r="AN10" s="10">
        <v>160</v>
      </c>
      <c r="AO10" s="10">
        <v>3.5</v>
      </c>
      <c r="AP10" s="10">
        <v>630</v>
      </c>
      <c r="AQ10" s="13">
        <v>2.2999999999999998</v>
      </c>
      <c r="AR10" s="13">
        <f>PI()*AP10/30</f>
        <v>65.973445725385659</v>
      </c>
      <c r="AS10" s="13">
        <f>2.27*AQ10</f>
        <v>5.2209999999999992</v>
      </c>
      <c r="AT10" s="13">
        <v>0.7</v>
      </c>
      <c r="AU10" s="13">
        <f t="shared" si="11"/>
        <v>5.9209999999999994</v>
      </c>
      <c r="AV10" s="13">
        <f t="shared" si="12"/>
        <v>390.62877214000844</v>
      </c>
      <c r="AW10" s="18"/>
      <c r="AX10" s="18"/>
      <c r="AY10" s="18"/>
      <c r="AZ10" s="18"/>
    </row>
    <row r="11" spans="1:52" ht="18" x14ac:dyDescent="0.3">
      <c r="J11" s="10">
        <v>80</v>
      </c>
      <c r="K11" s="10">
        <v>2</v>
      </c>
      <c r="L11" s="10">
        <v>290</v>
      </c>
      <c r="M11" s="13">
        <v>1.3</v>
      </c>
      <c r="N11" s="13">
        <f t="shared" si="18"/>
        <v>30.368728984701331</v>
      </c>
      <c r="O11" s="13">
        <f t="shared" si="1"/>
        <v>2.9510000000000001</v>
      </c>
      <c r="P11" s="13">
        <v>0.63</v>
      </c>
      <c r="Q11" s="13">
        <f t="shared" si="19"/>
        <v>3.581</v>
      </c>
      <c r="T11" s="3">
        <v>120</v>
      </c>
      <c r="U11" s="3">
        <v>3</v>
      </c>
      <c r="V11" s="3">
        <v>440</v>
      </c>
      <c r="W11" s="13">
        <v>2</v>
      </c>
      <c r="X11" s="13">
        <f t="shared" si="17"/>
        <v>46.076692252650304</v>
      </c>
      <c r="Y11" s="13">
        <f t="shared" si="4"/>
        <v>4.54</v>
      </c>
      <c r="Z11" s="13">
        <v>0.63</v>
      </c>
      <c r="AA11" s="13">
        <f t="shared" si="15"/>
        <v>5.17</v>
      </c>
      <c r="AD11" s="3">
        <v>150</v>
      </c>
      <c r="AE11" s="3">
        <v>5</v>
      </c>
      <c r="AF11" s="3">
        <v>455</v>
      </c>
      <c r="AG11" s="11">
        <v>3.2</v>
      </c>
      <c r="AH11" s="13">
        <f t="shared" si="14"/>
        <v>47.647488579445195</v>
      </c>
      <c r="AI11" s="13">
        <f t="shared" si="7"/>
        <v>7.2640000000000002</v>
      </c>
      <c r="AJ11" s="13">
        <v>0.63</v>
      </c>
      <c r="AK11" s="13">
        <f t="shared" si="13"/>
        <v>7.8940000000000001</v>
      </c>
      <c r="AN11" s="24" t="s">
        <v>20</v>
      </c>
      <c r="AO11" s="24"/>
      <c r="AP11" s="24"/>
      <c r="AQ11" s="24"/>
      <c r="AR11" s="24"/>
      <c r="AS11" s="24"/>
      <c r="AT11" s="24"/>
      <c r="AU11" s="24"/>
      <c r="AV11" s="24"/>
      <c r="AW11" s="19" t="s">
        <v>34</v>
      </c>
      <c r="AX11" s="19" t="s">
        <v>35</v>
      </c>
      <c r="AY11" s="19" t="s">
        <v>36</v>
      </c>
      <c r="AZ11" s="20" t="s">
        <v>37</v>
      </c>
    </row>
    <row r="12" spans="1:52" ht="18" x14ac:dyDescent="0.3">
      <c r="J12" s="10">
        <v>80</v>
      </c>
      <c r="K12" s="10">
        <v>3</v>
      </c>
      <c r="L12" s="10">
        <v>180</v>
      </c>
      <c r="M12" s="13">
        <v>2</v>
      </c>
      <c r="N12" s="13">
        <f t="shared" si="18"/>
        <v>18.849555921538759</v>
      </c>
      <c r="O12" s="13">
        <f t="shared" si="1"/>
        <v>4.54</v>
      </c>
      <c r="P12" s="13">
        <v>0.55000000000000004</v>
      </c>
      <c r="Q12" s="13">
        <f t="shared" si="19"/>
        <v>5.09</v>
      </c>
      <c r="T12" s="3">
        <v>115</v>
      </c>
      <c r="U12" s="3">
        <v>4</v>
      </c>
      <c r="V12" s="3">
        <v>325</v>
      </c>
      <c r="W12" s="13">
        <v>2.6</v>
      </c>
      <c r="X12" s="13">
        <f t="shared" si="17"/>
        <v>34.033920413889426</v>
      </c>
      <c r="Y12" s="13">
        <f t="shared" si="4"/>
        <v>5.9020000000000001</v>
      </c>
      <c r="Z12" s="13">
        <v>0.63</v>
      </c>
      <c r="AA12" s="13">
        <f t="shared" si="15"/>
        <v>6.532</v>
      </c>
      <c r="AD12" s="2" t="s">
        <v>24</v>
      </c>
      <c r="AE12" s="2">
        <v>0</v>
      </c>
      <c r="AF12" s="2" t="s">
        <v>23</v>
      </c>
      <c r="AG12" s="14">
        <f>190/1.75</f>
        <v>108.57142857142857</v>
      </c>
      <c r="AN12" s="10">
        <v>160</v>
      </c>
      <c r="AO12" s="10">
        <v>3.5</v>
      </c>
      <c r="AP12" s="10">
        <v>630</v>
      </c>
      <c r="AQ12" s="13">
        <v>2.2999999999999998</v>
      </c>
      <c r="AR12" s="13">
        <f>PI()*AP12/30</f>
        <v>65.973445725385659</v>
      </c>
      <c r="AS12" s="13">
        <f>2.27*AQ12</f>
        <v>5.2209999999999992</v>
      </c>
      <c r="AT12" s="13">
        <v>0.7</v>
      </c>
      <c r="AU12" s="13">
        <f t="shared" ref="AU12:AU16" si="20">AS12+AT12</f>
        <v>5.9209999999999994</v>
      </c>
      <c r="AV12" s="13">
        <f t="shared" ref="AV12:AV16" si="21">AR12*AU12</f>
        <v>390.62877214000844</v>
      </c>
      <c r="AW12" s="21">
        <v>0.55000000000000004</v>
      </c>
      <c r="AX12" s="21">
        <v>1.73</v>
      </c>
      <c r="AY12" s="21">
        <f>3.5*$AU$19</f>
        <v>6.0549999999999997</v>
      </c>
      <c r="AZ12" s="21">
        <f>($AN$12-3.5*(11+6.2))/$AU$19</f>
        <v>57.687861271676304</v>
      </c>
    </row>
    <row r="13" spans="1:52" ht="18" x14ac:dyDescent="0.3">
      <c r="J13" s="10">
        <v>70</v>
      </c>
      <c r="K13" s="10">
        <v>4</v>
      </c>
      <c r="L13" s="10">
        <v>70</v>
      </c>
      <c r="M13" s="13">
        <v>2.7</v>
      </c>
      <c r="N13" s="13">
        <f t="shared" si="18"/>
        <v>7.3303828583761836</v>
      </c>
      <c r="O13" s="13">
        <f t="shared" si="1"/>
        <v>6.1290000000000004</v>
      </c>
      <c r="P13" s="13">
        <v>0.55000000000000004</v>
      </c>
      <c r="Q13" s="13">
        <f t="shared" si="19"/>
        <v>6.6790000000000003</v>
      </c>
      <c r="T13" s="3">
        <v>110</v>
      </c>
      <c r="U13" s="3">
        <v>5</v>
      </c>
      <c r="V13" s="3">
        <v>200</v>
      </c>
      <c r="W13" s="13">
        <v>3.25</v>
      </c>
      <c r="X13" s="13">
        <f t="shared" si="17"/>
        <v>20.943951023931955</v>
      </c>
      <c r="Y13" s="13">
        <f t="shared" si="4"/>
        <v>7.3775000000000004</v>
      </c>
      <c r="Z13" s="13">
        <v>0.55000000000000004</v>
      </c>
      <c r="AA13" s="13">
        <f t="shared" si="15"/>
        <v>7.9275000000000002</v>
      </c>
      <c r="AD13" s="2" t="s">
        <v>25</v>
      </c>
      <c r="AE13" s="2">
        <v>6.125</v>
      </c>
      <c r="AF13" s="2" t="s">
        <v>6</v>
      </c>
      <c r="AG13" s="14">
        <f>AG12-AG14</f>
        <v>74.171428571428578</v>
      </c>
      <c r="AN13" s="10">
        <v>160</v>
      </c>
      <c r="AO13" s="10">
        <v>3.5</v>
      </c>
      <c r="AP13" s="10">
        <v>680</v>
      </c>
      <c r="AQ13" s="13">
        <v>2.1</v>
      </c>
      <c r="AR13" s="13">
        <f t="shared" ref="AR13:AR16" si="22">PI()*AP13/30</f>
        <v>71.209433481368649</v>
      </c>
      <c r="AS13" s="13">
        <f t="shared" ref="AS13:AS16" si="23">2.27*AQ13</f>
        <v>4.7670000000000003</v>
      </c>
      <c r="AT13" s="13">
        <v>0.75</v>
      </c>
      <c r="AU13" s="13">
        <f t="shared" si="20"/>
        <v>5.5170000000000003</v>
      </c>
      <c r="AV13" s="13">
        <f t="shared" si="21"/>
        <v>392.86244451671087</v>
      </c>
      <c r="AW13" s="21">
        <v>0.5</v>
      </c>
      <c r="AX13" s="21">
        <v>1.7</v>
      </c>
      <c r="AY13" s="21">
        <f>3.5*$AU$20</f>
        <v>5.95</v>
      </c>
      <c r="AZ13" s="21">
        <f>($AN$13-3.5*(11+6.2))/$AU$20</f>
        <v>58.705882352941188</v>
      </c>
    </row>
    <row r="14" spans="1:52" ht="18" x14ac:dyDescent="0.3">
      <c r="J14" s="10">
        <v>70</v>
      </c>
      <c r="K14" s="10">
        <v>4.5</v>
      </c>
      <c r="L14" s="10">
        <v>0</v>
      </c>
      <c r="M14" s="13">
        <v>2.95</v>
      </c>
      <c r="N14" s="13">
        <f t="shared" si="18"/>
        <v>0</v>
      </c>
      <c r="O14" s="13">
        <f t="shared" si="1"/>
        <v>6.6965000000000003</v>
      </c>
      <c r="P14" s="13">
        <v>0.55000000000000004</v>
      </c>
      <c r="Q14" s="13">
        <f t="shared" si="19"/>
        <v>7.2465000000000002</v>
      </c>
      <c r="T14" s="2" t="s">
        <v>24</v>
      </c>
      <c r="U14" s="2">
        <v>0</v>
      </c>
      <c r="V14" s="2" t="s">
        <v>23</v>
      </c>
      <c r="W14" s="2">
        <f>140/1.75</f>
        <v>80</v>
      </c>
      <c r="X14" s="2"/>
      <c r="Y14" s="2"/>
      <c r="Z14" s="2"/>
      <c r="AA14" s="2"/>
      <c r="AF14" s="1" t="s">
        <v>26</v>
      </c>
      <c r="AG14">
        <f>AG15*AE13/1.75^2</f>
        <v>34.4</v>
      </c>
      <c r="AH14" s="2"/>
      <c r="AN14" s="10">
        <v>160</v>
      </c>
      <c r="AO14" s="10">
        <v>3.5</v>
      </c>
      <c r="AP14" s="10">
        <v>695</v>
      </c>
      <c r="AQ14" s="13">
        <v>2.0499999999999998</v>
      </c>
      <c r="AR14" s="13">
        <f t="shared" si="22"/>
        <v>72.78022980816354</v>
      </c>
      <c r="AS14" s="13">
        <f t="shared" si="23"/>
        <v>4.6534999999999993</v>
      </c>
      <c r="AT14" s="13">
        <v>0.75</v>
      </c>
      <c r="AU14" s="13">
        <f t="shared" si="20"/>
        <v>5.4034999999999993</v>
      </c>
      <c r="AV14" s="13">
        <f t="shared" si="21"/>
        <v>393.26797176841166</v>
      </c>
      <c r="AW14" s="21">
        <v>0.45</v>
      </c>
      <c r="AX14" s="21">
        <v>1.65</v>
      </c>
      <c r="AY14" s="21">
        <f>3.5*$AU$21</f>
        <v>5.7749999999999995</v>
      </c>
      <c r="AZ14" s="21">
        <f>($AN$14-3.5*(11+6.2))/$AU$21</f>
        <v>60.484848484848492</v>
      </c>
    </row>
    <row r="15" spans="1:52" ht="24" x14ac:dyDescent="0.3">
      <c r="J15" s="2" t="s">
        <v>24</v>
      </c>
      <c r="K15" s="2">
        <v>0</v>
      </c>
      <c r="L15" s="2" t="s">
        <v>23</v>
      </c>
      <c r="M15" s="14">
        <f>90/1.75</f>
        <v>51.428571428571431</v>
      </c>
      <c r="N15" s="16"/>
      <c r="O15" s="17"/>
      <c r="P15" s="17"/>
      <c r="Q15" s="17"/>
      <c r="T15" s="2" t="s">
        <v>25</v>
      </c>
      <c r="U15" s="2">
        <v>6.125</v>
      </c>
      <c r="V15" s="2" t="s">
        <v>6</v>
      </c>
      <c r="W15" s="2">
        <f>W14-W16</f>
        <v>45.6</v>
      </c>
      <c r="AF15" s="7" t="s">
        <v>27</v>
      </c>
      <c r="AG15">
        <f>11+6.2</f>
        <v>17.2</v>
      </c>
      <c r="AN15" s="10">
        <v>160</v>
      </c>
      <c r="AO15" s="10">
        <v>3.5</v>
      </c>
      <c r="AP15" s="10">
        <v>740</v>
      </c>
      <c r="AQ15" s="13">
        <v>1.9</v>
      </c>
      <c r="AR15" s="13">
        <f t="shared" si="22"/>
        <v>77.492618788548228</v>
      </c>
      <c r="AS15" s="13">
        <f t="shared" si="23"/>
        <v>4.3129999999999997</v>
      </c>
      <c r="AT15" s="13">
        <v>0.75</v>
      </c>
      <c r="AU15" s="13">
        <f t="shared" si="20"/>
        <v>5.0629999999999997</v>
      </c>
      <c r="AV15" s="13">
        <f t="shared" si="21"/>
        <v>392.34512892641965</v>
      </c>
      <c r="AW15" s="21">
        <v>0.4</v>
      </c>
      <c r="AX15" s="21">
        <v>1.55</v>
      </c>
      <c r="AY15" s="21">
        <f>3.5*$AU$22</f>
        <v>5.4249999999999998</v>
      </c>
      <c r="AZ15" s="21">
        <f>($AN$15-3.5*(11+6.2))/$AU$22</f>
        <v>64.387096774193552</v>
      </c>
    </row>
    <row r="16" spans="1:52" ht="18" x14ac:dyDescent="0.3">
      <c r="J16" s="2" t="s">
        <v>25</v>
      </c>
      <c r="K16" s="2">
        <v>6.125</v>
      </c>
      <c r="L16" s="2" t="s">
        <v>6</v>
      </c>
      <c r="M16" s="14">
        <f>M15-M17</f>
        <v>17.028571428571432</v>
      </c>
      <c r="N16" s="16"/>
      <c r="O16" s="16"/>
      <c r="P16" s="17"/>
      <c r="Q16" s="17"/>
      <c r="V16" s="1" t="s">
        <v>26</v>
      </c>
      <c r="W16">
        <f>W17*U15/1.75^2</f>
        <v>34.4</v>
      </c>
      <c r="AN16" s="10">
        <v>160</v>
      </c>
      <c r="AO16" s="10">
        <v>3.5</v>
      </c>
      <c r="AP16" s="10">
        <v>800</v>
      </c>
      <c r="AQ16" s="13">
        <v>1.75</v>
      </c>
      <c r="AR16" s="13">
        <f t="shared" si="22"/>
        <v>83.775804095727821</v>
      </c>
      <c r="AS16" s="13">
        <f t="shared" si="23"/>
        <v>3.9725000000000001</v>
      </c>
      <c r="AT16" s="13">
        <v>0.75</v>
      </c>
      <c r="AU16" s="13">
        <f t="shared" si="20"/>
        <v>4.7225000000000001</v>
      </c>
      <c r="AV16" s="13">
        <f t="shared" si="21"/>
        <v>395.63123484207466</v>
      </c>
      <c r="AW16" s="21">
        <v>0.35</v>
      </c>
      <c r="AX16" s="21">
        <v>1.45</v>
      </c>
      <c r="AY16" s="21">
        <f>3.5*$AU$23</f>
        <v>5.0750000000000002</v>
      </c>
      <c r="AZ16" s="21">
        <f>($AN$16-3.5*(11+6.2))/$AU$23</f>
        <v>68.827586206896555</v>
      </c>
    </row>
    <row r="17" spans="12:47" ht="24" x14ac:dyDescent="0.3">
      <c r="L17" s="1" t="s">
        <v>26</v>
      </c>
      <c r="M17">
        <f>M18*K16/1.75^2</f>
        <v>34.4</v>
      </c>
      <c r="V17" s="7" t="s">
        <v>27</v>
      </c>
      <c r="W17">
        <f>11+6.2</f>
        <v>17.2</v>
      </c>
      <c r="X17" s="2"/>
      <c r="AN17" s="8" t="s">
        <v>28</v>
      </c>
      <c r="AO17" s="9">
        <v>0</v>
      </c>
      <c r="AP17" s="8" t="s">
        <v>6</v>
      </c>
      <c r="AQ17" s="9">
        <v>0</v>
      </c>
      <c r="AR17" s="8" t="s">
        <v>24</v>
      </c>
      <c r="AS17" s="9">
        <f>1.75*3.5</f>
        <v>6.125</v>
      </c>
    </row>
    <row r="18" spans="12:47" ht="24" x14ac:dyDescent="0.3">
      <c r="L18" s="7" t="s">
        <v>27</v>
      </c>
      <c r="M18">
        <f>11+6.2</f>
        <v>17.2</v>
      </c>
      <c r="AN18" t="s">
        <v>29</v>
      </c>
      <c r="AO18" s="12">
        <f>(160-3.5*(11+6.2))*3.5</f>
        <v>349.30000000000007</v>
      </c>
      <c r="AP18" t="s">
        <v>30</v>
      </c>
      <c r="AQ18" s="15">
        <f>160/1.75-(11+6.2)*6.125/1.75^2</f>
        <v>57.028571428571432</v>
      </c>
      <c r="AR18" t="s">
        <v>24</v>
      </c>
      <c r="AS18" s="9">
        <f>1.75*3.5</f>
        <v>6.125</v>
      </c>
    </row>
    <row r="19" spans="12:47" x14ac:dyDescent="0.3">
      <c r="M19">
        <f>M15+(Q3-K15)/(K16-K15)*(M16-M15)</f>
        <v>89.1197387755102</v>
      </c>
      <c r="W19">
        <f>W14+(AA3-U14)/(U15-U14)*(W15-W14)</f>
        <v>110.92349387755101</v>
      </c>
      <c r="AG19">
        <f>AG12+(AK3-AE12)/(AE13-AE12)*(AG13-AG12)</f>
        <v>126.46504489795919</v>
      </c>
      <c r="AM19" t="s">
        <v>20</v>
      </c>
      <c r="AN19" t="s">
        <v>31</v>
      </c>
      <c r="AO19">
        <f>(160-3.5*(11+6.2))*3.5</f>
        <v>349.30000000000007</v>
      </c>
      <c r="AP19" t="s">
        <v>32</v>
      </c>
      <c r="AQ19" s="15">
        <f>($AN$12-3.5*(11+6.2))/$AU$19</f>
        <v>57.687861271676304</v>
      </c>
      <c r="AR19" t="s">
        <v>24</v>
      </c>
      <c r="AS19" s="15">
        <f>3.5*$AU$19</f>
        <v>6.0549999999999997</v>
      </c>
      <c r="AT19" t="s">
        <v>33</v>
      </c>
      <c r="AU19" s="15">
        <v>1.73</v>
      </c>
    </row>
    <row r="20" spans="12:47" x14ac:dyDescent="0.3">
      <c r="AQ20" s="15">
        <f>($AN$13-3.5*(11+6.2))/$AU$20</f>
        <v>58.705882352941188</v>
      </c>
      <c r="AS20" s="15">
        <f>3.5*$AU$20</f>
        <v>5.95</v>
      </c>
      <c r="AU20" s="15">
        <v>1.7</v>
      </c>
    </row>
    <row r="21" spans="12:47" x14ac:dyDescent="0.3">
      <c r="AQ21" s="15">
        <f>($AN$14-3.5*(11+6.2))/$AU$21</f>
        <v>60.484848484848492</v>
      </c>
      <c r="AS21" s="15">
        <f>3.5*$AU$21</f>
        <v>5.7749999999999995</v>
      </c>
      <c r="AU21" s="15">
        <v>1.65</v>
      </c>
    </row>
    <row r="22" spans="12:47" x14ac:dyDescent="0.3">
      <c r="AQ22" s="15">
        <f>($AN$15-3.5*(11+6.2))/$AU$22</f>
        <v>64.387096774193552</v>
      </c>
      <c r="AS22" s="15">
        <f>3.5*$AU$22</f>
        <v>5.4249999999999998</v>
      </c>
      <c r="AU22" s="15">
        <v>1.55</v>
      </c>
    </row>
    <row r="23" spans="12:47" x14ac:dyDescent="0.3">
      <c r="AQ23" s="15">
        <f>($AN$16-3.5*(11+6.2))/$AU$23</f>
        <v>68.827586206896555</v>
      </c>
      <c r="AS23" s="15">
        <f>3.5*$AU$23</f>
        <v>5.0750000000000002</v>
      </c>
      <c r="AU23" s="15">
        <v>1.45</v>
      </c>
    </row>
  </sheetData>
  <mergeCells count="5">
    <mergeCell ref="H1:I1"/>
    <mergeCell ref="R1:S1"/>
    <mergeCell ref="AB1:AC1"/>
    <mergeCell ref="AN3:AV3"/>
    <mergeCell ref="AN11:AV1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2018-04-16T17:52:28Z</dcterms:modified>
</cp:coreProperties>
</file>