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6- MD Halal Market\Accounting\Employees Paments Record\"/>
    </mc:Choice>
  </mc:AlternateContent>
  <xr:revisionPtr revIDLastSave="0" documentId="13_ncr:1_{71449876-F882-400D-9590-7992CCBB8890}" xr6:coauthVersionLast="47" xr6:coauthVersionMax="47" xr10:uidLastSave="{00000000-0000-0000-0000-000000000000}"/>
  <bookViews>
    <workbookView xWindow="-110" yWindow="-110" windowWidth="25820" windowHeight="15500" tabRatio="825" activeTab="1" xr2:uid="{00000000-000D-0000-FFFF-FFFF00000000}"/>
  </bookViews>
  <sheets>
    <sheet name="Monthly Summary" sheetId="13" r:id="rId1"/>
    <sheet name="Ajmal Afghan" sheetId="8" r:id="rId2"/>
    <sheet name="Al Marjan" sheetId="10" r:id="rId3"/>
    <sheet name="Leila Afghan" sheetId="9" r:id="rId4"/>
    <sheet name="Tofiq Sediqi" sheetId="11" r:id="rId5"/>
    <sheet name="Azmatullah" sheetId="14" r:id="rId6"/>
    <sheet name="Khalilullah" sheetId="15" r:id="rId7"/>
    <sheet name="Tala Moh" sheetId="12" r:id="rId8"/>
    <sheet name="M. Omar Safa" sheetId="3" r:id="rId9"/>
    <sheet name="Bashir A Sediqi" sheetId="4" r:id="rId10"/>
    <sheet name="Faridullah Mosa Khan" sheetId="7" r:id="rId11"/>
    <sheet name="Shafiullah" sheetId="6" r:id="rId12"/>
    <sheet name="Azim Salarzai" sheetId="2" r:id="rId13"/>
    <sheet name="Malim Mangal" sheetId="1" r:id="rId14"/>
    <sheet name="Marjan Nahid" sheetId="5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7" i="8" l="1"/>
  <c r="I106" i="8"/>
  <c r="G99" i="8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M12" i="11"/>
  <c r="M10" i="11"/>
  <c r="D82" i="10"/>
  <c r="U9" i="10"/>
  <c r="U7" i="10"/>
  <c r="T19" i="8"/>
  <c r="T21" i="8" s="1"/>
  <c r="S21" i="8"/>
  <c r="S22" i="8" s="1"/>
  <c r="F106" i="8" s="1"/>
  <c r="L12" i="11"/>
  <c r="L10" i="11"/>
  <c r="D80" i="10"/>
  <c r="T9" i="10"/>
  <c r="T7" i="10"/>
  <c r="R19" i="8"/>
  <c r="R21" i="8" s="1"/>
  <c r="Q21" i="8"/>
  <c r="Q22" i="8" s="1"/>
  <c r="F102" i="8" s="1"/>
  <c r="G41" i="12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40" i="12"/>
  <c r="P16" i="12"/>
  <c r="F66" i="12"/>
  <c r="F56" i="12"/>
  <c r="F55" i="12"/>
  <c r="P18" i="12"/>
  <c r="E53" i="12" s="1"/>
  <c r="D70" i="13"/>
  <c r="E70" i="13"/>
  <c r="C70" i="13"/>
  <c r="E66" i="13"/>
  <c r="D66" i="13"/>
  <c r="C66" i="13"/>
  <c r="E63" i="13"/>
  <c r="C63" i="13"/>
  <c r="G58" i="13"/>
  <c r="M53" i="13"/>
  <c r="L53" i="13"/>
  <c r="H53" i="13"/>
  <c r="G53" i="13"/>
  <c r="F53" i="13"/>
  <c r="E53" i="13"/>
  <c r="D53" i="13"/>
  <c r="C53" i="13"/>
  <c r="H56" i="13"/>
  <c r="H58" i="13" s="1"/>
  <c r="G56" i="13"/>
  <c r="F56" i="13"/>
  <c r="F58" i="13" s="1"/>
  <c r="E56" i="13"/>
  <c r="E58" i="13" s="1"/>
  <c r="P51" i="13"/>
  <c r="P53" i="13" s="1"/>
  <c r="O51" i="13"/>
  <c r="O53" i="13" s="1"/>
  <c r="N51" i="13"/>
  <c r="N53" i="13" s="1"/>
  <c r="K51" i="13"/>
  <c r="K53" i="13" s="1"/>
  <c r="J51" i="13"/>
  <c r="J53" i="13" s="1"/>
  <c r="I51" i="13"/>
  <c r="I53" i="13" s="1"/>
  <c r="N44" i="13"/>
  <c r="N45" i="13" s="1"/>
  <c r="E64" i="13" s="1"/>
  <c r="L44" i="13"/>
  <c r="L45" i="13" s="1"/>
  <c r="D64" i="13" s="1"/>
  <c r="O42" i="13"/>
  <c r="O44" i="13" s="1"/>
  <c r="M42" i="13"/>
  <c r="M44" i="13" s="1"/>
  <c r="K42" i="13"/>
  <c r="K44" i="13" s="1"/>
  <c r="J45" i="13" s="1"/>
  <c r="C64" i="13" s="1"/>
  <c r="J42" i="13"/>
  <c r="J44" i="13" s="1"/>
  <c r="I42" i="13"/>
  <c r="I44" i="13" s="1"/>
  <c r="H42" i="13"/>
  <c r="H44" i="13" s="1"/>
  <c r="H45" i="13" s="1"/>
  <c r="G42" i="13"/>
  <c r="G45" i="13" s="1"/>
  <c r="F42" i="13"/>
  <c r="F45" i="13" s="1"/>
  <c r="E42" i="13"/>
  <c r="E45" i="13" s="1"/>
  <c r="C45" i="13"/>
  <c r="D42" i="13"/>
  <c r="D45" i="13" s="1"/>
  <c r="C42" i="13"/>
  <c r="J33" i="13"/>
  <c r="J35" i="13" s="1"/>
  <c r="K10" i="11"/>
  <c r="K12" i="11" s="1"/>
  <c r="D35" i="13"/>
  <c r="I33" i="13"/>
  <c r="I35" i="13" s="1"/>
  <c r="D63" i="13" s="1"/>
  <c r="H33" i="13"/>
  <c r="H35" i="13" s="1"/>
  <c r="G33" i="13"/>
  <c r="G35" i="13" s="1"/>
  <c r="F33" i="13"/>
  <c r="F35" i="13" s="1"/>
  <c r="E33" i="13"/>
  <c r="E35" i="13" s="1"/>
  <c r="D33" i="13"/>
  <c r="L30" i="13"/>
  <c r="K30" i="13"/>
  <c r="J30" i="13"/>
  <c r="I30" i="13"/>
  <c r="H30" i="13"/>
  <c r="G30" i="13"/>
  <c r="F30" i="13"/>
  <c r="E30" i="13"/>
  <c r="D30" i="13"/>
  <c r="C30" i="13"/>
  <c r="Q28" i="13"/>
  <c r="Q30" i="13" s="1"/>
  <c r="P28" i="13"/>
  <c r="P30" i="13" s="1"/>
  <c r="O28" i="13"/>
  <c r="O30" i="13" s="1"/>
  <c r="N28" i="13"/>
  <c r="N30" i="13" s="1"/>
  <c r="M28" i="13"/>
  <c r="M30" i="13" s="1"/>
  <c r="D15" i="13"/>
  <c r="M21" i="13"/>
  <c r="K21" i="13"/>
  <c r="N19" i="13"/>
  <c r="N21" i="13" s="1"/>
  <c r="L19" i="13"/>
  <c r="L21" i="13" s="1"/>
  <c r="J19" i="13"/>
  <c r="J21" i="13" s="1"/>
  <c r="I19" i="13"/>
  <c r="I21" i="13" s="1"/>
  <c r="H19" i="13"/>
  <c r="H21" i="13" s="1"/>
  <c r="G19" i="13"/>
  <c r="G21" i="13" s="1"/>
  <c r="F19" i="13"/>
  <c r="F21" i="13" s="1"/>
  <c r="F22" i="13" s="1"/>
  <c r="E19" i="13"/>
  <c r="E21" i="13" s="1"/>
  <c r="E22" i="13" s="1"/>
  <c r="D19" i="13"/>
  <c r="D21" i="13" s="1"/>
  <c r="O15" i="13"/>
  <c r="L15" i="13"/>
  <c r="K15" i="13"/>
  <c r="D61" i="13" s="1"/>
  <c r="H15" i="13"/>
  <c r="G15" i="13"/>
  <c r="F15" i="13"/>
  <c r="C15" i="13"/>
  <c r="R13" i="13"/>
  <c r="R15" i="13" s="1"/>
  <c r="Q13" i="13"/>
  <c r="Q15" i="13" s="1"/>
  <c r="P13" i="13"/>
  <c r="P15" i="13" s="1"/>
  <c r="J13" i="13"/>
  <c r="H7" i="13"/>
  <c r="G7" i="13"/>
  <c r="F7" i="13"/>
  <c r="E7" i="13"/>
  <c r="D7" i="13"/>
  <c r="C7" i="13"/>
  <c r="R5" i="13"/>
  <c r="R7" i="13" s="1"/>
  <c r="E62" i="13" s="1"/>
  <c r="Q5" i="13"/>
  <c r="Q7" i="13" s="1"/>
  <c r="D62" i="13" s="1"/>
  <c r="P5" i="13"/>
  <c r="P7" i="13" s="1"/>
  <c r="C62" i="13" s="1"/>
  <c r="O5" i="13"/>
  <c r="O7" i="13" s="1"/>
  <c r="N5" i="13"/>
  <c r="N7" i="13" s="1"/>
  <c r="M5" i="13"/>
  <c r="M7" i="13" s="1"/>
  <c r="L5" i="13"/>
  <c r="L7" i="13" s="1"/>
  <c r="K5" i="13"/>
  <c r="K7" i="13" s="1"/>
  <c r="J5" i="13"/>
  <c r="J7" i="13" s="1"/>
  <c r="I5" i="13"/>
  <c r="I7" i="13" s="1"/>
  <c r="E12" i="11"/>
  <c r="F12" i="11"/>
  <c r="G12" i="11"/>
  <c r="H12" i="11"/>
  <c r="I12" i="11"/>
  <c r="E10" i="11"/>
  <c r="F10" i="11"/>
  <c r="G10" i="11"/>
  <c r="H10" i="11"/>
  <c r="I10" i="11"/>
  <c r="N18" i="12"/>
  <c r="O16" i="12"/>
  <c r="O18" i="12" s="1"/>
  <c r="M10" i="12"/>
  <c r="E76" i="10"/>
  <c r="E77" i="10"/>
  <c r="E78" i="10"/>
  <c r="E79" i="10" s="1"/>
  <c r="E80" i="10" s="1"/>
  <c r="E81" i="10" s="1"/>
  <c r="E82" i="10" s="1"/>
  <c r="E83" i="10" s="1"/>
  <c r="S7" i="10"/>
  <c r="S9" i="10" s="1"/>
  <c r="D78" i="10" s="1"/>
  <c r="O21" i="8"/>
  <c r="P19" i="8"/>
  <c r="P21" i="8" s="1"/>
  <c r="O14" i="8"/>
  <c r="J12" i="11"/>
  <c r="J10" i="11"/>
  <c r="N14" i="8"/>
  <c r="L18" i="12"/>
  <c r="M16" i="12"/>
  <c r="M18" i="12" s="1"/>
  <c r="L10" i="12"/>
  <c r="C12" i="12"/>
  <c r="B12" i="12" s="1"/>
  <c r="T5" i="9"/>
  <c r="T7" i="9" s="1"/>
  <c r="E66" i="9" s="1"/>
  <c r="F109" i="8" s="1"/>
  <c r="E112" i="8"/>
  <c r="R9" i="10"/>
  <c r="D75" i="10" s="1"/>
  <c r="R7" i="10"/>
  <c r="M21" i="8"/>
  <c r="M22" i="8" s="1"/>
  <c r="N19" i="8"/>
  <c r="N21" i="8" s="1"/>
  <c r="Q7" i="10"/>
  <c r="Q9" i="10" s="1"/>
  <c r="D71" i="10" s="1"/>
  <c r="P7" i="10"/>
  <c r="P9" i="10" s="1"/>
  <c r="D67" i="10" s="1"/>
  <c r="O7" i="10"/>
  <c r="O9" i="10" s="1"/>
  <c r="D63" i="10" s="1"/>
  <c r="S5" i="9"/>
  <c r="K16" i="12"/>
  <c r="E27" i="12"/>
  <c r="J16" i="12"/>
  <c r="J18" i="12" s="1"/>
  <c r="H16" i="12"/>
  <c r="H18" i="12" s="1"/>
  <c r="I16" i="12"/>
  <c r="I18" i="12" s="1"/>
  <c r="G16" i="12"/>
  <c r="G18" i="12" s="1"/>
  <c r="F16" i="12"/>
  <c r="F18" i="12" s="1"/>
  <c r="L19" i="8"/>
  <c r="L21" i="8" s="1"/>
  <c r="K19" i="8"/>
  <c r="K21" i="8" s="1"/>
  <c r="K22" i="8" s="1"/>
  <c r="I19" i="8"/>
  <c r="I21" i="8" s="1"/>
  <c r="J19" i="8"/>
  <c r="J21" i="8" s="1"/>
  <c r="H19" i="8"/>
  <c r="H21" i="8" s="1"/>
  <c r="F76" i="8" s="1"/>
  <c r="R5" i="11"/>
  <c r="R7" i="11" s="1"/>
  <c r="N7" i="10"/>
  <c r="N9" i="10" s="1"/>
  <c r="D57" i="10" s="1"/>
  <c r="R5" i="9"/>
  <c r="G19" i="8"/>
  <c r="G21" i="8" s="1"/>
  <c r="F71" i="8" s="1"/>
  <c r="I22" i="8" l="1"/>
  <c r="O22" i="8"/>
  <c r="H22" i="8"/>
  <c r="G22" i="8"/>
  <c r="E50" i="12"/>
  <c r="E47" i="12"/>
  <c r="G22" i="13"/>
  <c r="K22" i="13"/>
  <c r="I22" i="13"/>
  <c r="C61" i="13" s="1"/>
  <c r="D22" i="13"/>
  <c r="M22" i="13"/>
  <c r="E61" i="13" s="1"/>
  <c r="F97" i="8"/>
  <c r="F93" i="8"/>
  <c r="C12" i="11"/>
  <c r="D16" i="8"/>
  <c r="F83" i="8"/>
  <c r="F89" i="8"/>
  <c r="G27" i="12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E34" i="12"/>
  <c r="K18" i="12"/>
  <c r="E40" i="12" s="1"/>
  <c r="E16" i="12"/>
  <c r="E18" i="12" s="1"/>
  <c r="Q5" i="11"/>
  <c r="Q7" i="11" s="1"/>
  <c r="R7" i="9"/>
  <c r="E61" i="9" s="1"/>
  <c r="S7" i="9"/>
  <c r="E64" i="9" s="1"/>
  <c r="Q5" i="9"/>
  <c r="Q7" i="9" s="1"/>
  <c r="E56" i="9" s="1"/>
  <c r="M7" i="10"/>
  <c r="M9" i="10" s="1"/>
  <c r="D53" i="10" s="1"/>
  <c r="F19" i="8"/>
  <c r="F21" i="8" s="1"/>
  <c r="F48" i="9"/>
  <c r="R5" i="12"/>
  <c r="R7" i="12" s="1"/>
  <c r="P5" i="11"/>
  <c r="P7" i="11" s="1"/>
  <c r="P5" i="9"/>
  <c r="P7" i="9" s="1"/>
  <c r="E52" i="9" s="1"/>
  <c r="L7" i="10"/>
  <c r="L9" i="10" s="1"/>
  <c r="D48" i="10" s="1"/>
  <c r="U9" i="8"/>
  <c r="U11" i="8" s="1"/>
  <c r="F57" i="8" s="1"/>
  <c r="Q5" i="12"/>
  <c r="Q7" i="12" s="1"/>
  <c r="O5" i="11"/>
  <c r="O7" i="11" s="1"/>
  <c r="O5" i="9"/>
  <c r="O7" i="9" s="1"/>
  <c r="E49" i="9" s="1"/>
  <c r="T9" i="8"/>
  <c r="T11" i="8" s="1"/>
  <c r="F56" i="8" s="1"/>
  <c r="G56" i="8" s="1"/>
  <c r="K7" i="10"/>
  <c r="K9" i="10" s="1"/>
  <c r="C85" i="10"/>
  <c r="D69" i="9"/>
  <c r="C7" i="9"/>
  <c r="N5" i="11"/>
  <c r="N7" i="11" s="1"/>
  <c r="K7" i="11"/>
  <c r="J7" i="11"/>
  <c r="L7" i="11"/>
  <c r="M7" i="11"/>
  <c r="J7" i="10"/>
  <c r="J9" i="10" s="1"/>
  <c r="D34" i="10" s="1"/>
  <c r="F9" i="10"/>
  <c r="D21" i="10" s="1"/>
  <c r="G9" i="10"/>
  <c r="G191" i="10" s="1"/>
  <c r="H9" i="10"/>
  <c r="D27" i="10" s="1"/>
  <c r="I9" i="10"/>
  <c r="D30" i="10" s="1"/>
  <c r="N5" i="9"/>
  <c r="N7" i="9" s="1"/>
  <c r="E43" i="9" s="1"/>
  <c r="S9" i="8"/>
  <c r="S11" i="8" s="1"/>
  <c r="F53" i="8" s="1"/>
  <c r="L7" i="9"/>
  <c r="E35" i="9" s="1"/>
  <c r="M7" i="9"/>
  <c r="E40" i="9" s="1"/>
  <c r="P11" i="8"/>
  <c r="Q11" i="8"/>
  <c r="R11" i="8"/>
  <c r="F50" i="8" s="1"/>
  <c r="E78" i="12"/>
  <c r="E72" i="12"/>
  <c r="C7" i="12"/>
  <c r="M9" i="8"/>
  <c r="M11" i="8" s="1"/>
  <c r="I5" i="9"/>
  <c r="I7" i="9" s="1"/>
  <c r="O11" i="8"/>
  <c r="F45" i="8" s="1"/>
  <c r="J5" i="9"/>
  <c r="J7" i="9" s="1"/>
  <c r="E32" i="9" s="1"/>
  <c r="K5" i="9"/>
  <c r="K7" i="9" s="1"/>
  <c r="E33" i="9" s="1"/>
  <c r="E9" i="10"/>
  <c r="D18" i="10" s="1"/>
  <c r="N11" i="8"/>
  <c r="F44" i="8" s="1"/>
  <c r="D37" i="7"/>
  <c r="L11" i="8"/>
  <c r="K129" i="11"/>
  <c r="C29" i="11"/>
  <c r="I7" i="11"/>
  <c r="H7" i="11"/>
  <c r="G7" i="11"/>
  <c r="F7" i="11"/>
  <c r="E7" i="11"/>
  <c r="D7" i="11"/>
  <c r="D9" i="10"/>
  <c r="G11" i="8"/>
  <c r="H7" i="9"/>
  <c r="G7" i="9"/>
  <c r="E25" i="9" s="1"/>
  <c r="F7" i="9"/>
  <c r="E22" i="9" s="1"/>
  <c r="E7" i="9"/>
  <c r="E18" i="9" s="1"/>
  <c r="D7" i="9"/>
  <c r="E15" i="9" s="1"/>
  <c r="H11" i="8"/>
  <c r="F36" i="8" s="1"/>
  <c r="K11" i="8"/>
  <c r="F39" i="8" s="1"/>
  <c r="I11" i="8"/>
  <c r="F38" i="8" s="1"/>
  <c r="F11" i="8"/>
  <c r="E11" i="8"/>
  <c r="D24" i="6"/>
  <c r="B7" i="6"/>
  <c r="D25" i="6"/>
  <c r="D19" i="6"/>
  <c r="M9" i="6"/>
  <c r="L9" i="6"/>
  <c r="D7" i="6"/>
  <c r="D18" i="7"/>
  <c r="D16" i="7"/>
  <c r="D20" i="7" s="1"/>
  <c r="D21" i="8" l="1"/>
  <c r="F22" i="8"/>
  <c r="E67" i="12"/>
  <c r="C7" i="11"/>
  <c r="C31" i="11" s="1"/>
  <c r="G62" i="12"/>
  <c r="G63" i="12" s="1"/>
  <c r="G64" i="12" s="1"/>
  <c r="G65" i="12" s="1"/>
  <c r="F66" i="8"/>
  <c r="F112" i="8" s="1"/>
  <c r="E114" i="8" s="1"/>
  <c r="F31" i="8"/>
  <c r="G31" i="8" s="1"/>
  <c r="G32" i="8" s="1"/>
  <c r="G33" i="8" s="1"/>
  <c r="D11" i="8"/>
  <c r="D25" i="8" s="1"/>
  <c r="G57" i="8"/>
  <c r="G58" i="8" s="1"/>
  <c r="G59" i="8" s="1"/>
  <c r="G60" i="8" s="1"/>
  <c r="G61" i="8" s="1"/>
  <c r="G62" i="8" s="1"/>
  <c r="G63" i="8" s="1"/>
  <c r="G64" i="8" s="1"/>
  <c r="G65" i="8" s="1"/>
  <c r="F48" i="8"/>
  <c r="F49" i="9"/>
  <c r="F50" i="9" s="1"/>
  <c r="F51" i="9" s="1"/>
  <c r="F52" i="9" s="1"/>
  <c r="F53" i="9" s="1"/>
  <c r="F54" i="9" s="1"/>
  <c r="F55" i="9" s="1"/>
  <c r="E31" i="9"/>
  <c r="B7" i="9"/>
  <c r="D71" i="9" s="1"/>
  <c r="F34" i="8"/>
  <c r="F43" i="8"/>
  <c r="C9" i="10"/>
  <c r="C87" i="10" s="1"/>
  <c r="D24" i="10"/>
  <c r="D14" i="10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12" i="9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B7" i="12"/>
  <c r="D39" i="7"/>
  <c r="D41" i="7" s="1"/>
  <c r="N9" i="6"/>
  <c r="J7" i="6"/>
  <c r="D9" i="6"/>
  <c r="H9" i="6"/>
  <c r="G9" i="6"/>
  <c r="F9" i="6"/>
  <c r="E9" i="6"/>
  <c r="C40" i="2"/>
  <c r="C41" i="2" s="1"/>
  <c r="C35" i="2"/>
  <c r="G28" i="2"/>
  <c r="M9" i="2"/>
  <c r="L9" i="2"/>
  <c r="K9" i="2"/>
  <c r="J9" i="2"/>
  <c r="I9" i="2"/>
  <c r="G9" i="2"/>
  <c r="E9" i="2"/>
  <c r="D9" i="2"/>
  <c r="C9" i="2"/>
  <c r="H7" i="2"/>
  <c r="H9" i="2" s="1"/>
  <c r="F7" i="2"/>
  <c r="F9" i="2" s="1"/>
  <c r="B7" i="2"/>
  <c r="G66" i="8" l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F64" i="9"/>
  <c r="F65" i="9" s="1"/>
  <c r="F66" i="9" s="1"/>
  <c r="F67" i="9" s="1"/>
  <c r="F56" i="9"/>
  <c r="F57" i="9" s="1"/>
  <c r="F58" i="9" s="1"/>
  <c r="F59" i="9" s="1"/>
  <c r="F60" i="9" s="1"/>
  <c r="F61" i="9" s="1"/>
  <c r="F62" i="9" s="1"/>
  <c r="F63" i="9" s="1"/>
  <c r="G34" i="8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80" i="8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E39" i="10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B9" i="6"/>
  <c r="D26" i="6" s="1"/>
  <c r="B9" i="2"/>
  <c r="C42" i="2" s="1"/>
  <c r="C7" i="5"/>
  <c r="D7" i="5"/>
  <c r="G12" i="5"/>
  <c r="H12" i="5"/>
  <c r="T7" i="5"/>
  <c r="U7" i="5"/>
  <c r="S5" i="5"/>
  <c r="Q5" i="5"/>
  <c r="Q7" i="5" s="1"/>
  <c r="Q123" i="5" s="1"/>
  <c r="L5" i="5"/>
  <c r="L7" i="5" s="1"/>
  <c r="O7" i="5"/>
  <c r="P7" i="5"/>
  <c r="R7" i="5"/>
  <c r="S7" i="5"/>
  <c r="D13" i="5"/>
  <c r="N7" i="5"/>
  <c r="M7" i="5"/>
  <c r="K7" i="5"/>
  <c r="J7" i="5"/>
  <c r="I7" i="5"/>
  <c r="H7" i="5"/>
  <c r="G7" i="5"/>
  <c r="F7" i="5"/>
  <c r="E7" i="5"/>
  <c r="E41" i="4"/>
  <c r="C14" i="1"/>
  <c r="P124" i="1"/>
  <c r="D6" i="1"/>
  <c r="G97" i="8" l="1"/>
  <c r="G98" i="8" s="1"/>
  <c r="D5" i="5"/>
  <c r="D9" i="5"/>
  <c r="L24" i="1"/>
  <c r="I28" i="1"/>
  <c r="I27" i="1"/>
  <c r="L6" i="1"/>
  <c r="L8" i="1" s="1"/>
  <c r="M6" i="1"/>
  <c r="M8" i="1" s="1"/>
  <c r="K6" i="1"/>
  <c r="K8" i="1" s="1"/>
  <c r="I25" i="1" l="1"/>
  <c r="I26" i="1"/>
  <c r="I24" i="1"/>
  <c r="E6" i="1" l="1"/>
  <c r="E8" i="1" s="1"/>
  <c r="F6" i="1"/>
  <c r="F8" i="1" s="1"/>
  <c r="G6" i="1"/>
  <c r="G8" i="1" s="1"/>
  <c r="H6" i="1"/>
  <c r="H8" i="1" s="1"/>
  <c r="I6" i="1"/>
  <c r="I8" i="1" s="1"/>
  <c r="J6" i="1"/>
  <c r="J8" i="1" s="1"/>
  <c r="D8" i="1"/>
  <c r="C8" i="1" l="1"/>
  <c r="C10" i="1" s="1"/>
  <c r="B70" i="13" l="1"/>
</calcChain>
</file>

<file path=xl/sharedStrings.xml><?xml version="1.0" encoding="utf-8"?>
<sst xmlns="http://schemas.openxmlformats.org/spreadsheetml/2006/main" count="656" uniqueCount="297">
  <si>
    <t>Malim Mangal</t>
  </si>
  <si>
    <t>Nov</t>
  </si>
  <si>
    <t>Dec</t>
  </si>
  <si>
    <t>Jan</t>
  </si>
  <si>
    <t>Feb</t>
  </si>
  <si>
    <t>Mar</t>
  </si>
  <si>
    <t>April</t>
  </si>
  <si>
    <t>May</t>
  </si>
  <si>
    <t>June</t>
  </si>
  <si>
    <t>Number of Days</t>
  </si>
  <si>
    <t>Number of Hours</t>
  </si>
  <si>
    <t>Amount per hour</t>
  </si>
  <si>
    <t>Total Amount</t>
  </si>
  <si>
    <t>Total to date</t>
  </si>
  <si>
    <t>Payments Status:</t>
  </si>
  <si>
    <t>Date</t>
  </si>
  <si>
    <t>Description</t>
  </si>
  <si>
    <t>Amount</t>
  </si>
  <si>
    <t xml:space="preserve">Payment to Almar Khan in Khost for Malim </t>
  </si>
  <si>
    <t>Payment to Almar Khan in Khost for Malim/Mohammadullah</t>
  </si>
  <si>
    <t xml:space="preserve">Payment to Malim in Cash from Store Petty Cash </t>
  </si>
  <si>
    <t>Cash paid to Malim by B.Sediqi</t>
  </si>
  <si>
    <t>Total uptodate payments</t>
  </si>
  <si>
    <t>Check 9085 paystap</t>
  </si>
  <si>
    <t>Check 9084 paystap</t>
  </si>
  <si>
    <t>Check 9083 paystap</t>
  </si>
  <si>
    <t>Check 9082 paystap</t>
  </si>
  <si>
    <t>Cash received from Malim for Labors pay</t>
  </si>
  <si>
    <t>Due Balance</t>
  </si>
  <si>
    <t>July</t>
  </si>
  <si>
    <t>Aug</t>
  </si>
  <si>
    <t>Check 9131 paystap</t>
  </si>
  <si>
    <t>check 9030 paystap</t>
  </si>
  <si>
    <t>Cash paid to Malim by B.Sediqi when he bought car</t>
  </si>
  <si>
    <t xml:space="preserve">Payment Summary for Malim </t>
  </si>
  <si>
    <t>Bashir Sediqi</t>
  </si>
  <si>
    <t>Payment Summary for Marjan Nahid</t>
  </si>
  <si>
    <t>Payment to Marjan</t>
  </si>
  <si>
    <t>Date: 01/01/2023</t>
  </si>
  <si>
    <t>Employee Name:</t>
  </si>
  <si>
    <t>Azim Jan Salarzai</t>
  </si>
  <si>
    <t>Summary of Working Hours</t>
  </si>
  <si>
    <t>Apr</t>
  </si>
  <si>
    <t>MAY</t>
  </si>
  <si>
    <t>Jun</t>
  </si>
  <si>
    <t>Jul</t>
  </si>
  <si>
    <t>Sep</t>
  </si>
  <si>
    <t>Oct</t>
  </si>
  <si>
    <t>Summary of Payments to Azim</t>
  </si>
  <si>
    <t>Check Number</t>
  </si>
  <si>
    <t>Total</t>
  </si>
  <si>
    <t>2022-09-22</t>
  </si>
  <si>
    <t>Cash Payment</t>
  </si>
  <si>
    <t>2022-06-27</t>
  </si>
  <si>
    <t>2022-05-11</t>
  </si>
  <si>
    <t>Total Cash Payment</t>
  </si>
  <si>
    <t>Total Payment cash + check</t>
  </si>
  <si>
    <t xml:space="preserve">Due Balance </t>
  </si>
  <si>
    <t>March</t>
  </si>
  <si>
    <t>Cash received from Faridullah</t>
  </si>
  <si>
    <t xml:space="preserve">Payment by Faridullah Check </t>
  </si>
  <si>
    <t>check no 1232</t>
  </si>
  <si>
    <t>Check 9208 to Ajmal Afghan</t>
  </si>
  <si>
    <t>Check 9214 to Ajmal Afghan</t>
  </si>
  <si>
    <t>Check 9209 to Ajmal Afghan</t>
  </si>
  <si>
    <t>Check 9210 to Leila Afghan</t>
  </si>
  <si>
    <t>Check 9211 to Leila Afghan</t>
  </si>
  <si>
    <t>Check 9216 to Leila Afghan</t>
  </si>
  <si>
    <t>Check 9217 to Leila Afghan</t>
  </si>
  <si>
    <t>Cash to Leila Afghan on her Salary</t>
  </si>
  <si>
    <t>TOTAL AMOUNT PAID UP TO DATE</t>
  </si>
  <si>
    <t xml:space="preserve">DU BALANCE </t>
  </si>
  <si>
    <t>DUE BALANCE</t>
  </si>
  <si>
    <t>AJMAL AFGHAN</t>
  </si>
  <si>
    <t>LEILA AFGHAN</t>
  </si>
  <si>
    <t xml:space="preserve">Cash to Ajmal on his salary </t>
  </si>
  <si>
    <t>Check 9226 to Leila</t>
  </si>
  <si>
    <t>Check 9238 to Leila</t>
  </si>
  <si>
    <t>Check 9239 to Leila</t>
  </si>
  <si>
    <t>Check 9225 to Leila</t>
  </si>
  <si>
    <t>August</t>
  </si>
  <si>
    <t>September</t>
  </si>
  <si>
    <t xml:space="preserve">Cash paid to Ajmal Afghan </t>
  </si>
  <si>
    <t xml:space="preserve">Work and Payment Summary for Ajmal Afghan </t>
  </si>
  <si>
    <t>Due Bill from Store to be paid by Ajmal</t>
  </si>
  <si>
    <t>shaifullah took this check</t>
  </si>
  <si>
    <t>Payment to Ajmal Afghan on salary</t>
  </si>
  <si>
    <t>Payment</t>
  </si>
  <si>
    <t>Cash paid to Laila on salary</t>
  </si>
  <si>
    <t>Cash paid to Ajmal on salary</t>
  </si>
  <si>
    <t>01-15 Aug</t>
  </si>
  <si>
    <t>16-30 Aug</t>
  </si>
  <si>
    <t>Check 9318 dated 09/04/2023</t>
  </si>
  <si>
    <t>Check 9319 dated 09/18/2023</t>
  </si>
  <si>
    <t>Check 9320 dated 10/02/2023</t>
  </si>
  <si>
    <t>Cash to Ajmal for Laila salary</t>
  </si>
  <si>
    <t>Cash to Qader Hazarat on Laila salary</t>
  </si>
  <si>
    <t>Salary</t>
  </si>
  <si>
    <t>Balance</t>
  </si>
  <si>
    <t>January</t>
  </si>
  <si>
    <t xml:space="preserve">February </t>
  </si>
  <si>
    <t>October</t>
  </si>
  <si>
    <t>Check 9256</t>
  </si>
  <si>
    <t>Check 9257</t>
  </si>
  <si>
    <t>Check 9311</t>
  </si>
  <si>
    <t>Check 9312</t>
  </si>
  <si>
    <t>Check 9313</t>
  </si>
  <si>
    <t>Check 9334 dated 10/15/2023</t>
  </si>
  <si>
    <t>Check 9335 dated 10/30/2023</t>
  </si>
  <si>
    <t>DEC</t>
  </si>
  <si>
    <t>JAN</t>
  </si>
  <si>
    <t>FEB</t>
  </si>
  <si>
    <t>MAR</t>
  </si>
  <si>
    <t>APR</t>
  </si>
  <si>
    <t>JUNE</t>
  </si>
  <si>
    <t>JULY</t>
  </si>
  <si>
    <t>AUG</t>
  </si>
  <si>
    <t>SEP</t>
  </si>
  <si>
    <t>OCT</t>
  </si>
  <si>
    <t>Check 9268 to Almar Jan</t>
  </si>
  <si>
    <t>Check 9269 to Almar Jan</t>
  </si>
  <si>
    <t>Check 9270 to Almar Jan</t>
  </si>
  <si>
    <t>Check 9274 to Almar Jan</t>
  </si>
  <si>
    <t>Check 9275 to Almar Jan</t>
  </si>
  <si>
    <t>Check 9288 to Almar Jan</t>
  </si>
  <si>
    <t>Check 9289 to Almar Jan</t>
  </si>
  <si>
    <t>Check 9301 to Almar Jan</t>
  </si>
  <si>
    <t>Check 9302 to Almar Jan</t>
  </si>
  <si>
    <t>Check 9320 to Almar Jan</t>
  </si>
  <si>
    <t>Check 9321 to Almar Jan</t>
  </si>
  <si>
    <t>Check 9336 to Almar Jan deposited on 10/05/23</t>
  </si>
  <si>
    <t>Check 9337 to Almar Jan deposited on 10/17/23</t>
  </si>
  <si>
    <t>Check 9338 to Almar Jan deposited on 10/27/23</t>
  </si>
  <si>
    <t>Almar Jan salaries &amp; payments statement</t>
  </si>
  <si>
    <t xml:space="preserve">Check…..to Almar Jan </t>
  </si>
  <si>
    <t>April 2023 Salary</t>
  </si>
  <si>
    <t>May 2023 Salary</t>
  </si>
  <si>
    <t>June 2023 Salary</t>
  </si>
  <si>
    <t>July 2023 Salary</t>
  </si>
  <si>
    <t>August 2023 Salary</t>
  </si>
  <si>
    <t>Sep 2023 Salary</t>
  </si>
  <si>
    <t>Oct 2023 Salary</t>
  </si>
  <si>
    <t>Nov 2023 Salary</t>
  </si>
  <si>
    <t>Cash taken by Almar Jan on Salary</t>
  </si>
  <si>
    <t>Cash taken by B. Sediqi for Almar Jan on Salary</t>
  </si>
  <si>
    <t xml:space="preserve">Nov </t>
  </si>
  <si>
    <t>November Salary</t>
  </si>
  <si>
    <t>December Salary</t>
  </si>
  <si>
    <t>December 2023 Salary</t>
  </si>
  <si>
    <t xml:space="preserve">Check 9356 deposited on 28 Nov </t>
  </si>
  <si>
    <t>Check 9357 deposited on 28 Nov</t>
  </si>
  <si>
    <t>November</t>
  </si>
  <si>
    <t xml:space="preserve">November Salary </t>
  </si>
  <si>
    <t>December</t>
  </si>
  <si>
    <t>JANUARY SALARY</t>
  </si>
  <si>
    <t>January 2024 Salary</t>
  </si>
  <si>
    <t>Janaury 2024 Salary</t>
  </si>
  <si>
    <t>Check 9371 to Almar Jan - 12/11/2023</t>
  </si>
  <si>
    <t>Check 9372 to Almar Jan - 12/25/2023</t>
  </si>
  <si>
    <t>Check 9393 - 80 hours 01/08/2024</t>
  </si>
  <si>
    <t>Check 9394 - 80 hours 01/22/2024</t>
  </si>
  <si>
    <t>Check 9386 - 80 hours 12/25/2024</t>
  </si>
  <si>
    <t>Check 9386 - 80 hours 12/11/2024</t>
  </si>
  <si>
    <t>FEBRAURY SALARY</t>
  </si>
  <si>
    <t>Check 9404-80 hours 02/19/2024</t>
  </si>
  <si>
    <t>Check 9403 - 80 hours 02/05/2024</t>
  </si>
  <si>
    <t xml:space="preserve">Febraury </t>
  </si>
  <si>
    <t>Febraury 2024 Salary</t>
  </si>
  <si>
    <t>Check 9354 to Laila  11/13/2023</t>
  </si>
  <si>
    <t>Check 9355 to Laila 11/27/2203</t>
  </si>
  <si>
    <t>Check 9369 Laila 12/11/2023</t>
  </si>
  <si>
    <t>Check 9370 Laila 12/25/2023</t>
  </si>
  <si>
    <t>February 2024 Salary</t>
  </si>
  <si>
    <t>Cash given to Ajmal on Laila Salary out of $3000</t>
  </si>
  <si>
    <t>TOTAL SALARIES</t>
  </si>
  <si>
    <t>MARCH SALARY</t>
  </si>
  <si>
    <t>APRIL SALARY</t>
  </si>
  <si>
    <t>MAY SALARY</t>
  </si>
  <si>
    <t>April (cash)</t>
  </si>
  <si>
    <t>May (cash)</t>
  </si>
  <si>
    <t>April ( new rate)</t>
  </si>
  <si>
    <t>May (check)</t>
  </si>
  <si>
    <t>Check 9449 to Tela Moh</t>
  </si>
  <si>
    <t>Check 9380 to Tela Moh -12/25/23</t>
  </si>
  <si>
    <t>Check 9379 to Tela Moh 12/11/23</t>
  </si>
  <si>
    <t>Check 9427 to Tela Moh 03/04/24</t>
  </si>
  <si>
    <t>Check 9428 to Tela Moh 03/18/24</t>
  </si>
  <si>
    <t>April (Check)</t>
  </si>
  <si>
    <t xml:space="preserve">Payment </t>
  </si>
  <si>
    <t>Check 9450 to Tela Moh</t>
  </si>
  <si>
    <t>Cash to Tela Mohammad</t>
  </si>
  <si>
    <t>Check 9391 to Tela Moh 01/08/2024</t>
  </si>
  <si>
    <t>Check 9392 to Tela Moh 01/22/2024</t>
  </si>
  <si>
    <t>Check 9413 to Tela Moh 02/05/2024</t>
  </si>
  <si>
    <t>Check 9414 to Tela Moh 02/19/2024</t>
  </si>
  <si>
    <t>Check 9448 to Tela Moh 04/01/2024</t>
  </si>
  <si>
    <t>Check 9449 to Tela Moh 04/15/2024</t>
  </si>
  <si>
    <t>Check 9450 to Tela Moh 04/29/2024</t>
  </si>
  <si>
    <t>Check 9340 to Tela Moh 10/16/2023</t>
  </si>
  <si>
    <t>Check 9339 to Tela Moh 10/02/2023</t>
  </si>
  <si>
    <t>Check 9323 to Tela Moh 09/18/2023</t>
  </si>
  <si>
    <t>Check 9322 to Tela Moh 09/04/2023</t>
  </si>
  <si>
    <t>Check 9341 to Tela Moh 10/30/2023</t>
  </si>
  <si>
    <t>Check….......to Tela Moh 11/13/2023</t>
  </si>
  <si>
    <t>Check….......to Tela Moh 11/27/2023</t>
  </si>
  <si>
    <t xml:space="preserve">Paid by BOFA Check 1192 to Tela  </t>
  </si>
  <si>
    <t>Missing/Not Paid</t>
  </si>
  <si>
    <t>Due Balance for 11 Checks (13 Nov to 01 Apr)</t>
  </si>
  <si>
    <t>Unpaid check of 11/27/2023 to Tela Moh</t>
  </si>
  <si>
    <t>Check 9452 to Tela Moh 05/13/2024</t>
  </si>
  <si>
    <t>Check 9453 to Tela Moh 05/27/2024</t>
  </si>
  <si>
    <t>Check 9475 to Tela Moh 06/10/2024</t>
  </si>
  <si>
    <t xml:space="preserve">March 2024 Salary </t>
  </si>
  <si>
    <t>2024-04-03</t>
  </si>
  <si>
    <t>4- Cash Box
Vendor Name : Ajmal</t>
  </si>
  <si>
    <t>cash</t>
  </si>
  <si>
    <t xml:space="preserve">Cash to Ajmal </t>
  </si>
  <si>
    <t>2024-04-09</t>
  </si>
  <si>
    <t>2- TD Bank - USD
Vendor Name : Ajmal</t>
  </si>
  <si>
    <t>bank</t>
  </si>
  <si>
    <t xml:space="preserve">9417* Ajmal Afghan </t>
  </si>
  <si>
    <t>9418 Ajmal</t>
  </si>
  <si>
    <t>2024-05-06</t>
  </si>
  <si>
    <t xml:space="preserve">9434 Ajmal </t>
  </si>
  <si>
    <t xml:space="preserve">9433* Ajmal </t>
  </si>
  <si>
    <t>2024-05-17</t>
  </si>
  <si>
    <t xml:space="preserve">9435 Ajmal </t>
  </si>
  <si>
    <t xml:space="preserve"> </t>
  </si>
  <si>
    <t>Cash to Ajmal on salary</t>
  </si>
  <si>
    <t>Check 9433 to Ajmal 04/01/2024</t>
  </si>
  <si>
    <t>Check 9434 to Ajmal 04/15/2024</t>
  </si>
  <si>
    <t>Check 9435 to Ajmal 04/29/2024</t>
  </si>
  <si>
    <t>Check 9417 to Ajmal 03/04/2024</t>
  </si>
  <si>
    <t>Check 9418 to Ajmal 03/18/2024</t>
  </si>
  <si>
    <t xml:space="preserve">April </t>
  </si>
  <si>
    <t xml:space="preserve">March </t>
  </si>
  <si>
    <t>March 2024 Salary</t>
  </si>
  <si>
    <t>April 2024 Salary</t>
  </si>
  <si>
    <t xml:space="preserve">May </t>
  </si>
  <si>
    <t>May 2024 Salary</t>
  </si>
  <si>
    <t xml:space="preserve">Cash to Almar Jan on Salary </t>
  </si>
  <si>
    <t xml:space="preserve">June </t>
  </si>
  <si>
    <t>June 2024 Salary</t>
  </si>
  <si>
    <t>June (Check)</t>
  </si>
  <si>
    <t>June (cash)</t>
  </si>
  <si>
    <t>Check 9465 to Ajmal 06/10/2024</t>
  </si>
  <si>
    <t>Check 9466 to Ajmal 06/24/2024</t>
  </si>
  <si>
    <t>JUNE SALARY</t>
  </si>
  <si>
    <t>Check 9454 to Ajmal 05/13/2024</t>
  </si>
  <si>
    <t>Check 9455 to Ajmal 05/27/2024</t>
  </si>
  <si>
    <t>7 Days salary in June (77 hours)</t>
  </si>
  <si>
    <t>Cash returned by Ajmal from Laila salary</t>
  </si>
  <si>
    <t>JUNE SAALRY</t>
  </si>
  <si>
    <t>June Check</t>
  </si>
  <si>
    <t>June Cash</t>
  </si>
  <si>
    <t>JULY SALARY</t>
  </si>
  <si>
    <t>July check</t>
  </si>
  <si>
    <t>July Cash</t>
  </si>
  <si>
    <t>JULY SAALRY</t>
  </si>
  <si>
    <t>July 2204 Salary</t>
  </si>
  <si>
    <t>July cash</t>
  </si>
  <si>
    <t>TOFIQ SEDIQI</t>
  </si>
  <si>
    <t>ALMAR JAN</t>
  </si>
  <si>
    <t>Month</t>
  </si>
  <si>
    <t>Monthly Salary Amount</t>
  </si>
  <si>
    <t xml:space="preserve">Month </t>
  </si>
  <si>
    <t xml:space="preserve">TALA MOHAMMAD </t>
  </si>
  <si>
    <t>Ajmal</t>
  </si>
  <si>
    <t>Almar Jan</t>
  </si>
  <si>
    <t>Tofiq</t>
  </si>
  <si>
    <t>Tala Moh</t>
  </si>
  <si>
    <t>Bashir</t>
  </si>
  <si>
    <t>Omar</t>
  </si>
  <si>
    <t>Check 9489 to Tala Moh 07/08/2024</t>
  </si>
  <si>
    <t>Check 9490 to Tala Moh 07/22/2024</t>
  </si>
  <si>
    <t>Grocery Bills 140.93+16.53</t>
  </si>
  <si>
    <t>2x 6m Rugs+ 3 sets of mattress</t>
  </si>
  <si>
    <t>Check 9503 to Tela Moh 08/05/2024</t>
  </si>
  <si>
    <t>Check 9504 to Tela Moh 08/19/2024</t>
  </si>
  <si>
    <t>Tela Mohammad</t>
  </si>
  <si>
    <t>Aug salary (up to 20 Aug 2024)</t>
  </si>
  <si>
    <t>Check 9476 to Tela Moh 06/24/2024</t>
  </si>
  <si>
    <t>Aug Check</t>
  </si>
  <si>
    <t>Aug Cash</t>
  </si>
  <si>
    <t>Sep Cash</t>
  </si>
  <si>
    <t>Sep Check</t>
  </si>
  <si>
    <t xml:space="preserve">Aug Salary </t>
  </si>
  <si>
    <t xml:space="preserve">Aug </t>
  </si>
  <si>
    <t xml:space="preserve">August </t>
  </si>
  <si>
    <t>Aug 2024 Salary</t>
  </si>
  <si>
    <t>Sep 2024 Salary</t>
  </si>
  <si>
    <t xml:space="preserve">Sep </t>
  </si>
  <si>
    <t xml:space="preserve">Sep 2024 Salary </t>
  </si>
  <si>
    <t>Check ….. To Ajmal 07/10/2024</t>
  </si>
  <si>
    <t>Check ….. To Ajmal 07/24/2024</t>
  </si>
  <si>
    <t>Check….to Ajmal 08/08/2024</t>
  </si>
  <si>
    <t>Check…to Ajmal 08/24/2024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</si>
</sst>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horizontal="left" wrapText="1"/>
    </xf>
    <xf numFmtId="16" fontId="0" fillId="0" borderId="0" xfId="0" applyNumberFormat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  <xf numFmtId="44" fontId="0" fillId="0" borderId="0" xfId="1" applyFont="1"/>
    <xf numFmtId="16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Border="1"/>
    <xf numFmtId="44" fontId="0" fillId="0" borderId="1" xfId="1" applyFont="1" applyBorder="1" applyAlignment="1">
      <alignment horizontal="left"/>
    </xf>
    <xf numFmtId="44" fontId="0" fillId="0" borderId="1" xfId="1" applyFont="1" applyBorder="1"/>
    <xf numFmtId="44" fontId="0" fillId="0" borderId="0" xfId="1" applyFont="1" applyBorder="1" applyAlignment="1">
      <alignment horizontal="left"/>
    </xf>
    <xf numFmtId="44" fontId="0" fillId="0" borderId="0" xfId="1" applyFont="1" applyBorder="1"/>
    <xf numFmtId="44" fontId="1" fillId="0" borderId="0" xfId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64" fontId="0" fillId="0" borderId="1" xfId="0" applyNumberFormat="1" applyBorder="1" applyAlignment="1">
      <alignment horizontal="left"/>
    </xf>
    <xf numFmtId="44" fontId="0" fillId="0" borderId="1" xfId="0" applyNumberFormat="1" applyBorder="1"/>
    <xf numFmtId="164" fontId="5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left"/>
    </xf>
    <xf numFmtId="44" fontId="1" fillId="0" borderId="0" xfId="0" applyNumberFormat="1" applyFont="1"/>
    <xf numFmtId="14" fontId="0" fillId="0" borderId="1" xfId="0" applyNumberFormat="1" applyBorder="1" applyAlignment="1">
      <alignment horizontal="left"/>
    </xf>
    <xf numFmtId="44" fontId="1" fillId="0" borderId="1" xfId="1" applyFont="1" applyBorder="1"/>
    <xf numFmtId="14" fontId="0" fillId="0" borderId="0" xfId="0" applyNumberFormat="1" applyAlignment="1">
      <alignment horizontal="left"/>
    </xf>
    <xf numFmtId="44" fontId="0" fillId="2" borderId="1" xfId="1" applyFont="1" applyFill="1" applyBorder="1"/>
    <xf numFmtId="15" fontId="4" fillId="0" borderId="0" xfId="0" applyNumberFormat="1" applyFont="1"/>
    <xf numFmtId="0" fontId="4" fillId="0" borderId="0" xfId="0" applyFont="1"/>
    <xf numFmtId="14" fontId="0" fillId="0" borderId="0" xfId="0" applyNumberFormat="1"/>
    <xf numFmtId="0" fontId="0" fillId="3" borderId="0" xfId="0" applyFill="1"/>
    <xf numFmtId="0" fontId="1" fillId="4" borderId="0" xfId="0" applyFont="1" applyFill="1"/>
    <xf numFmtId="0" fontId="1" fillId="4" borderId="0" xfId="0" applyFont="1" applyFill="1" applyAlignment="1">
      <alignment horizontal="left"/>
    </xf>
    <xf numFmtId="15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44" fontId="0" fillId="2" borderId="0" xfId="1" applyFont="1" applyFill="1"/>
    <xf numFmtId="43" fontId="0" fillId="0" borderId="0" xfId="2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0" borderId="2" xfId="0" applyBorder="1"/>
    <xf numFmtId="0" fontId="0" fillId="7" borderId="0" xfId="0" applyFill="1"/>
    <xf numFmtId="15" fontId="4" fillId="0" borderId="1" xfId="0" applyNumberFormat="1" applyFont="1" applyBorder="1"/>
    <xf numFmtId="14" fontId="0" fillId="0" borderId="1" xfId="0" applyNumberFormat="1" applyBorder="1"/>
    <xf numFmtId="15" fontId="0" fillId="0" borderId="1" xfId="0" applyNumberFormat="1" applyBorder="1"/>
    <xf numFmtId="0" fontId="0" fillId="0" borderId="1" xfId="0" applyBorder="1" applyAlignment="1">
      <alignment horizontal="left" wrapText="1"/>
    </xf>
    <xf numFmtId="15" fontId="0" fillId="0" borderId="1" xfId="0" applyNumberFormat="1" applyBorder="1" applyAlignment="1">
      <alignment horizontal="left"/>
    </xf>
    <xf numFmtId="15" fontId="4" fillId="0" borderId="1" xfId="0" applyNumberFormat="1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43" fontId="0" fillId="0" borderId="1" xfId="2" applyFont="1" applyBorder="1"/>
    <xf numFmtId="0" fontId="6" fillId="0" borderId="1" xfId="0" applyFont="1" applyBorder="1"/>
    <xf numFmtId="17" fontId="1" fillId="0" borderId="1" xfId="0" applyNumberFormat="1" applyFont="1" applyBorder="1"/>
    <xf numFmtId="17" fontId="0" fillId="0" borderId="1" xfId="0" applyNumberFormat="1" applyBorder="1"/>
    <xf numFmtId="17" fontId="0" fillId="0" borderId="0" xfId="0" applyNumberFormat="1"/>
    <xf numFmtId="0" fontId="0" fillId="0" borderId="1" xfId="0" applyBorder="1" applyAlignment="1">
      <alignment horizontal="center" wrapText="1"/>
    </xf>
    <xf numFmtId="44" fontId="4" fillId="0" borderId="0" xfId="1" applyFont="1"/>
    <xf numFmtId="43" fontId="0" fillId="0" borderId="0" xfId="2" applyFont="1" applyBorder="1"/>
    <xf numFmtId="15" fontId="1" fillId="0" borderId="0" xfId="0" applyNumberFormat="1" applyFont="1"/>
    <xf numFmtId="0" fontId="1" fillId="0" borderId="0" xfId="0" applyFont="1" applyAlignment="1">
      <alignment horizontal="left" wrapText="1"/>
    </xf>
    <xf numFmtId="43" fontId="1" fillId="0" borderId="0" xfId="0" applyNumberFormat="1" applyFont="1"/>
    <xf numFmtId="44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0" applyNumberFormat="1"/>
    <xf numFmtId="1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15" fontId="1" fillId="0" borderId="1" xfId="0" applyNumberFormat="1" applyFont="1" applyBorder="1"/>
    <xf numFmtId="16" fontId="1" fillId="0" borderId="1" xfId="0" applyNumberFormat="1" applyFont="1" applyBorder="1"/>
    <xf numFmtId="15" fontId="1" fillId="0" borderId="1" xfId="0" applyNumberFormat="1" applyFont="1" applyBorder="1" applyAlignment="1">
      <alignment horizontal="left"/>
    </xf>
    <xf numFmtId="43" fontId="1" fillId="0" borderId="1" xfId="2" applyFont="1" applyBorder="1"/>
    <xf numFmtId="43" fontId="0" fillId="3" borderId="0" xfId="0" applyNumberFormat="1" applyFill="1"/>
    <xf numFmtId="43" fontId="0" fillId="0" borderId="0" xfId="2" applyFont="1" applyFill="1" applyBorder="1"/>
    <xf numFmtId="43" fontId="0" fillId="0" borderId="1" xfId="2" applyFont="1" applyFill="1" applyBorder="1"/>
    <xf numFmtId="17" fontId="0" fillId="0" borderId="1" xfId="2" applyNumberFormat="1" applyFont="1" applyFill="1" applyBorder="1"/>
    <xf numFmtId="43" fontId="0" fillId="5" borderId="1" xfId="2" applyFont="1" applyFill="1" applyBorder="1"/>
    <xf numFmtId="43" fontId="0" fillId="5" borderId="0" xfId="2" applyFont="1" applyFill="1"/>
    <xf numFmtId="43" fontId="0" fillId="7" borderId="0" xfId="2" applyFont="1" applyFill="1" applyBorder="1"/>
    <xf numFmtId="0" fontId="1" fillId="7" borderId="1" xfId="0" applyFont="1" applyFill="1" applyBorder="1"/>
    <xf numFmtId="43" fontId="0" fillId="7" borderId="1" xfId="2" applyFont="1" applyFill="1" applyBorder="1"/>
    <xf numFmtId="17" fontId="0" fillId="0" borderId="1" xfId="2" applyNumberFormat="1" applyFont="1" applyBorder="1"/>
    <xf numFmtId="43" fontId="1" fillId="7" borderId="1" xfId="2" applyFont="1" applyFill="1" applyBorder="1"/>
    <xf numFmtId="43" fontId="1" fillId="7" borderId="1" xfId="0" applyNumberFormat="1" applyFont="1" applyFill="1" applyBorder="1"/>
    <xf numFmtId="17" fontId="0" fillId="0" borderId="1" xfId="0" applyNumberFormat="1" applyBorder="1" applyAlignment="1">
      <alignment horizontal="right"/>
    </xf>
    <xf numFmtId="0" fontId="7" fillId="4" borderId="0" xfId="0" applyFont="1" applyFill="1"/>
    <xf numFmtId="0" fontId="7" fillId="8" borderId="0" xfId="0" applyFont="1" applyFill="1"/>
    <xf numFmtId="44" fontId="0" fillId="0" borderId="2" xfId="1" applyFont="1" applyFill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sedi\Downloads\Workers'%20Payment%20Records%20Azim%20HR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lim Mangal"/>
      <sheetName val="Azim Salarzai"/>
      <sheetName val="M. Omar Safa"/>
      <sheetName val="Bashir A Sediqi"/>
      <sheetName val="Marjan Nahid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E5EC-719E-41B8-9DE9-B684D7BE5D0E}">
  <dimension ref="A2:R70"/>
  <sheetViews>
    <sheetView topLeftCell="A42" workbookViewId="0">
      <selection activeCell="L64" sqref="L64"/>
    </sheetView>
  </sheetViews>
  <sheetFormatPr defaultRowHeight="14.5" x14ac:dyDescent="0.35"/>
  <cols>
    <col min="2" max="2" width="22.54296875" customWidth="1"/>
    <col min="3" max="3" width="11.453125" customWidth="1"/>
    <col min="4" max="18" width="10.54296875" customWidth="1"/>
  </cols>
  <sheetData>
    <row r="2" spans="2:18" x14ac:dyDescent="0.35">
      <c r="B2" s="94" t="s">
        <v>262</v>
      </c>
    </row>
    <row r="4" spans="2:18" x14ac:dyDescent="0.35">
      <c r="B4" s="1" t="s">
        <v>263</v>
      </c>
      <c r="C4" s="60">
        <v>45017</v>
      </c>
      <c r="D4" s="60">
        <v>45047</v>
      </c>
      <c r="E4" s="60">
        <v>45078</v>
      </c>
      <c r="F4" s="60">
        <v>45108</v>
      </c>
      <c r="G4" s="60">
        <v>45139</v>
      </c>
      <c r="H4" s="60">
        <v>45170</v>
      </c>
      <c r="I4" s="60">
        <v>45200</v>
      </c>
      <c r="J4" s="60">
        <v>45231</v>
      </c>
      <c r="K4" s="60">
        <v>45261</v>
      </c>
      <c r="L4" s="60">
        <v>45292</v>
      </c>
      <c r="M4" s="60">
        <v>45323</v>
      </c>
      <c r="N4" s="60">
        <v>45352</v>
      </c>
      <c r="O4" s="60">
        <v>45383</v>
      </c>
      <c r="P4" s="60">
        <v>45413</v>
      </c>
      <c r="Q4" s="60">
        <v>45444</v>
      </c>
      <c r="R4" s="60">
        <v>45474</v>
      </c>
    </row>
    <row r="5" spans="2:18" x14ac:dyDescent="0.35">
      <c r="B5" s="1" t="s">
        <v>10</v>
      </c>
      <c r="C5" s="1">
        <v>46.18</v>
      </c>
      <c r="D5" s="1">
        <v>296.66000000000003</v>
      </c>
      <c r="E5" s="13">
        <v>326.63</v>
      </c>
      <c r="F5" s="13">
        <v>258.68</v>
      </c>
      <c r="G5" s="1">
        <v>217.35</v>
      </c>
      <c r="H5" s="1">
        <v>188.86</v>
      </c>
      <c r="I5" s="1">
        <f>300-13</f>
        <v>287</v>
      </c>
      <c r="J5" s="1">
        <f>201.17-9.5</f>
        <v>191.67</v>
      </c>
      <c r="K5" s="1">
        <f>220.3-11</f>
        <v>209.3</v>
      </c>
      <c r="L5" s="1">
        <f>197.11-11.5</f>
        <v>185.61</v>
      </c>
      <c r="M5" s="1">
        <f>198.93-10</f>
        <v>188.93</v>
      </c>
      <c r="N5" s="1">
        <f>240.12-11.5</f>
        <v>228.62</v>
      </c>
      <c r="O5" s="1">
        <f>248-11.5</f>
        <v>236.5</v>
      </c>
      <c r="P5" s="1">
        <f>284-13</f>
        <v>271</v>
      </c>
      <c r="Q5" s="1">
        <f>268.78-21.5</f>
        <v>247.27999999999997</v>
      </c>
      <c r="R5" s="1">
        <f>286.77-13</f>
        <v>273.77</v>
      </c>
    </row>
    <row r="6" spans="2:18" x14ac:dyDescent="0.35">
      <c r="B6" s="1" t="s">
        <v>11</v>
      </c>
      <c r="C6" s="1">
        <v>15</v>
      </c>
      <c r="D6" s="1">
        <v>15</v>
      </c>
      <c r="E6" s="1">
        <v>15</v>
      </c>
      <c r="F6" s="1">
        <v>15</v>
      </c>
      <c r="G6" s="1">
        <v>15</v>
      </c>
      <c r="H6" s="1">
        <v>15</v>
      </c>
      <c r="I6" s="1">
        <v>15</v>
      </c>
      <c r="J6" s="1">
        <v>15</v>
      </c>
      <c r="K6" s="1">
        <v>15</v>
      </c>
      <c r="L6" s="1">
        <v>15</v>
      </c>
      <c r="M6" s="1">
        <v>15</v>
      </c>
      <c r="N6" s="1">
        <v>15</v>
      </c>
      <c r="O6" s="1">
        <v>15</v>
      </c>
      <c r="P6" s="1">
        <v>15</v>
      </c>
      <c r="Q6" s="1">
        <v>15</v>
      </c>
      <c r="R6" s="1">
        <v>15</v>
      </c>
    </row>
    <row r="7" spans="2:18" x14ac:dyDescent="0.35">
      <c r="B7" s="1" t="s">
        <v>12</v>
      </c>
      <c r="C7" s="43">
        <f t="shared" ref="C7" si="0">C5*C6</f>
        <v>692.7</v>
      </c>
      <c r="D7" s="43">
        <f>D5*D6</f>
        <v>4449.9000000000005</v>
      </c>
      <c r="E7" s="43">
        <f t="shared" ref="E7:L7" si="1">E5*E6</f>
        <v>4899.45</v>
      </c>
      <c r="F7" s="43">
        <f t="shared" si="1"/>
        <v>3880.2000000000003</v>
      </c>
      <c r="G7" s="43">
        <f t="shared" si="1"/>
        <v>3260.25</v>
      </c>
      <c r="H7" s="43">
        <f t="shared" si="1"/>
        <v>2832.9</v>
      </c>
      <c r="I7" s="43">
        <f t="shared" si="1"/>
        <v>4305</v>
      </c>
      <c r="J7" s="43">
        <f t="shared" si="1"/>
        <v>2875.0499999999997</v>
      </c>
      <c r="K7" s="43">
        <f t="shared" si="1"/>
        <v>3139.5</v>
      </c>
      <c r="L7" s="43">
        <f t="shared" si="1"/>
        <v>2784.15</v>
      </c>
      <c r="M7" s="43">
        <f t="shared" ref="M7:R7" si="2">M5*M6</f>
        <v>2833.9500000000003</v>
      </c>
      <c r="N7" s="43">
        <f t="shared" si="2"/>
        <v>3429.3</v>
      </c>
      <c r="O7" s="43">
        <f t="shared" si="2"/>
        <v>3547.5</v>
      </c>
      <c r="P7" s="43">
        <f t="shared" si="2"/>
        <v>4065</v>
      </c>
      <c r="Q7" s="43">
        <f t="shared" si="2"/>
        <v>3709.2</v>
      </c>
      <c r="R7" s="43">
        <f t="shared" si="2"/>
        <v>4106.5499999999993</v>
      </c>
    </row>
    <row r="10" spans="2:18" x14ac:dyDescent="0.35">
      <c r="B10" s="94" t="s">
        <v>73</v>
      </c>
    </row>
    <row r="12" spans="2:18" x14ac:dyDescent="0.35">
      <c r="B12" s="12" t="s">
        <v>265</v>
      </c>
      <c r="C12" s="60">
        <v>44896</v>
      </c>
      <c r="D12" s="60">
        <v>44927</v>
      </c>
      <c r="E12" s="60">
        <v>44927</v>
      </c>
      <c r="F12" s="60">
        <v>44958</v>
      </c>
      <c r="G12" s="60">
        <v>44986</v>
      </c>
      <c r="H12" s="60">
        <v>45017</v>
      </c>
      <c r="I12" s="60">
        <v>45047</v>
      </c>
      <c r="J12" s="60">
        <v>45047</v>
      </c>
      <c r="K12" s="60">
        <v>45078</v>
      </c>
      <c r="L12" s="60">
        <v>45108</v>
      </c>
      <c r="M12" s="1" t="s">
        <v>90</v>
      </c>
      <c r="N12" s="1" t="s">
        <v>91</v>
      </c>
      <c r="O12" s="60">
        <v>45170</v>
      </c>
      <c r="P12" s="60">
        <v>45200</v>
      </c>
      <c r="Q12" s="60">
        <v>45231</v>
      </c>
      <c r="R12" s="60">
        <v>45261</v>
      </c>
    </row>
    <row r="13" spans="2:18" x14ac:dyDescent="0.35">
      <c r="B13" s="12" t="s">
        <v>10</v>
      </c>
      <c r="C13" s="1">
        <v>115.45</v>
      </c>
      <c r="D13" s="82">
        <v>128.91</v>
      </c>
      <c r="E13" s="1">
        <v>34.119999999999997</v>
      </c>
      <c r="F13" s="1">
        <v>215.84</v>
      </c>
      <c r="G13" s="1">
        <v>249.81</v>
      </c>
      <c r="H13" s="1">
        <v>234.91</v>
      </c>
      <c r="I13" s="1">
        <v>165</v>
      </c>
      <c r="J13" s="1">
        <f>(207.25-I13)-9.5</f>
        <v>32.75</v>
      </c>
      <c r="K13" s="1">
        <v>245.58</v>
      </c>
      <c r="L13" s="1">
        <v>253.3</v>
      </c>
      <c r="M13" s="1">
        <v>99.02</v>
      </c>
      <c r="N13" s="1">
        <v>127.39</v>
      </c>
      <c r="O13" s="1">
        <v>218.54</v>
      </c>
      <c r="P13" s="1">
        <f>196.16-11</f>
        <v>185.16</v>
      </c>
      <c r="Q13" s="1">
        <f>151.87-9</f>
        <v>142.87</v>
      </c>
      <c r="R13" s="1">
        <f>196.96-10.5</f>
        <v>186.46</v>
      </c>
    </row>
    <row r="14" spans="2:18" x14ac:dyDescent="0.35">
      <c r="B14" s="12" t="s">
        <v>11</v>
      </c>
      <c r="C14" s="1">
        <v>15</v>
      </c>
      <c r="D14" s="82">
        <v>15</v>
      </c>
      <c r="E14" s="1">
        <v>10</v>
      </c>
      <c r="F14" s="1">
        <v>10</v>
      </c>
      <c r="G14" s="1">
        <v>10</v>
      </c>
      <c r="H14" s="1">
        <v>10</v>
      </c>
      <c r="I14" s="1">
        <v>10</v>
      </c>
      <c r="J14" s="1">
        <v>10</v>
      </c>
      <c r="K14" s="1">
        <v>10</v>
      </c>
      <c r="L14" s="1">
        <v>10</v>
      </c>
      <c r="M14" s="1">
        <v>10</v>
      </c>
      <c r="N14" s="1">
        <v>13</v>
      </c>
      <c r="O14" s="1">
        <v>13</v>
      </c>
      <c r="P14" s="1">
        <v>13</v>
      </c>
      <c r="Q14" s="1">
        <v>13</v>
      </c>
      <c r="R14" s="1">
        <v>13</v>
      </c>
    </row>
    <row r="15" spans="2:18" x14ac:dyDescent="0.35">
      <c r="B15" s="12" t="s">
        <v>264</v>
      </c>
      <c r="C15" s="43">
        <f t="shared" ref="C15:G15" si="3">C13*C14</f>
        <v>1731.75</v>
      </c>
      <c r="D15" s="86">
        <f>1933.65+341.2</f>
        <v>2274.85</v>
      </c>
      <c r="E15" s="43"/>
      <c r="F15" s="43">
        <f t="shared" si="3"/>
        <v>2158.4</v>
      </c>
      <c r="G15" s="43">
        <f t="shared" si="3"/>
        <v>2498.1</v>
      </c>
      <c r="H15" s="43">
        <f>H13*H14</f>
        <v>2349.1</v>
      </c>
      <c r="I15" s="43">
        <v>1977.5</v>
      </c>
      <c r="J15" s="43"/>
      <c r="K15" s="43">
        <f>K13*K14</f>
        <v>2455.8000000000002</v>
      </c>
      <c r="L15" s="43">
        <f>L13*L14</f>
        <v>2533</v>
      </c>
      <c r="M15" s="43">
        <v>2646.27</v>
      </c>
      <c r="N15" s="43"/>
      <c r="O15" s="43">
        <f>O13*O14</f>
        <v>2841.02</v>
      </c>
      <c r="P15" s="43">
        <f>P13*P14</f>
        <v>2407.08</v>
      </c>
      <c r="Q15" s="43">
        <f>Q13*Q14</f>
        <v>1857.31</v>
      </c>
      <c r="R15" s="43">
        <f>R13*R14</f>
        <v>2423.98</v>
      </c>
    </row>
    <row r="16" spans="2:18" x14ac:dyDescent="0.35">
      <c r="B16" s="11"/>
    </row>
    <row r="17" spans="2:17" x14ac:dyDescent="0.35">
      <c r="B17" s="11"/>
      <c r="D17" s="81"/>
    </row>
    <row r="18" spans="2:17" x14ac:dyDescent="0.35">
      <c r="B18" s="12" t="s">
        <v>263</v>
      </c>
      <c r="D18" s="83">
        <v>45292</v>
      </c>
      <c r="E18" s="60">
        <v>45323</v>
      </c>
      <c r="F18" s="60">
        <v>45352</v>
      </c>
      <c r="G18" s="60">
        <v>45383</v>
      </c>
      <c r="H18" s="60" t="s">
        <v>180</v>
      </c>
      <c r="I18" s="60" t="s">
        <v>181</v>
      </c>
      <c r="J18" s="60" t="s">
        <v>179</v>
      </c>
      <c r="K18" s="1" t="s">
        <v>243</v>
      </c>
      <c r="L18" s="1" t="s">
        <v>244</v>
      </c>
      <c r="M18" s="1" t="s">
        <v>256</v>
      </c>
      <c r="N18" s="1" t="s">
        <v>257</v>
      </c>
    </row>
    <row r="19" spans="2:17" x14ac:dyDescent="0.35">
      <c r="B19" s="12" t="s">
        <v>10</v>
      </c>
      <c r="D19" s="82">
        <f>186.28-9.5</f>
        <v>176.78</v>
      </c>
      <c r="E19" s="1">
        <f>158.19-7.5</f>
        <v>150.69</v>
      </c>
      <c r="F19" s="1">
        <f>198-9.5</f>
        <v>188.5</v>
      </c>
      <c r="G19" s="1">
        <f>92.45-4</f>
        <v>88.45</v>
      </c>
      <c r="H19" s="1">
        <f>77.43-3.5</f>
        <v>73.930000000000007</v>
      </c>
      <c r="I19" s="1">
        <f>168-8</f>
        <v>160</v>
      </c>
      <c r="J19" s="1">
        <f>29-2.5</f>
        <v>26.5</v>
      </c>
      <c r="K19" s="1">
        <v>160</v>
      </c>
      <c r="L19" s="1">
        <f>184.38-160</f>
        <v>24.379999999999995</v>
      </c>
      <c r="M19" s="1">
        <v>160</v>
      </c>
      <c r="N19" s="1">
        <f>215-160</f>
        <v>55</v>
      </c>
    </row>
    <row r="20" spans="2:17" x14ac:dyDescent="0.35">
      <c r="B20" s="12" t="s">
        <v>11</v>
      </c>
      <c r="D20" s="82">
        <v>15</v>
      </c>
      <c r="E20" s="1">
        <v>15</v>
      </c>
      <c r="F20" s="1">
        <v>15</v>
      </c>
      <c r="G20" s="1">
        <v>15</v>
      </c>
      <c r="H20" s="1">
        <v>16</v>
      </c>
      <c r="I20" s="1">
        <v>16</v>
      </c>
      <c r="J20" s="1">
        <v>14</v>
      </c>
      <c r="K20" s="1">
        <v>16</v>
      </c>
      <c r="L20" s="1">
        <v>14</v>
      </c>
      <c r="M20" s="1">
        <v>16</v>
      </c>
      <c r="N20" s="1">
        <v>14</v>
      </c>
    </row>
    <row r="21" spans="2:17" x14ac:dyDescent="0.35">
      <c r="B21" s="12"/>
      <c r="D21" s="82">
        <f t="shared" ref="D21:J21" si="4">D19*D20</f>
        <v>2651.7</v>
      </c>
      <c r="E21" s="1">
        <f t="shared" si="4"/>
        <v>2260.35</v>
      </c>
      <c r="F21" s="1">
        <f t="shared" si="4"/>
        <v>2827.5</v>
      </c>
      <c r="G21" s="1">
        <f t="shared" si="4"/>
        <v>1326.75</v>
      </c>
      <c r="H21" s="1">
        <f t="shared" si="4"/>
        <v>1182.8800000000001</v>
      </c>
      <c r="I21" s="1">
        <f t="shared" si="4"/>
        <v>2560</v>
      </c>
      <c r="J21" s="1">
        <f t="shared" si="4"/>
        <v>371</v>
      </c>
      <c r="K21" s="1">
        <f>K19*K20</f>
        <v>2560</v>
      </c>
      <c r="L21" s="1">
        <f>L19*L20</f>
        <v>341.31999999999994</v>
      </c>
      <c r="M21" s="1">
        <f t="shared" ref="M21:N21" si="5">M19*M20</f>
        <v>2560</v>
      </c>
      <c r="N21" s="1">
        <f t="shared" si="5"/>
        <v>770</v>
      </c>
    </row>
    <row r="22" spans="2:17" x14ac:dyDescent="0.35">
      <c r="B22" s="12" t="s">
        <v>12</v>
      </c>
      <c r="D22" s="88">
        <f>D21</f>
        <v>2651.7</v>
      </c>
      <c r="E22" s="88">
        <f t="shared" ref="E22:F22" si="6">E21</f>
        <v>2260.35</v>
      </c>
      <c r="F22" s="88">
        <f t="shared" si="6"/>
        <v>2827.5</v>
      </c>
      <c r="G22" s="88">
        <f>G21+H21</f>
        <v>2509.63</v>
      </c>
      <c r="H22" s="88"/>
      <c r="I22" s="88">
        <f>I21+J21</f>
        <v>2931</v>
      </c>
      <c r="J22" s="88"/>
      <c r="K22" s="88">
        <f>K21+L21</f>
        <v>2901.3199999999997</v>
      </c>
      <c r="L22" s="88"/>
      <c r="M22" s="88">
        <f>M21+N21</f>
        <v>3330</v>
      </c>
      <c r="N22" s="88"/>
    </row>
    <row r="25" spans="2:17" x14ac:dyDescent="0.35">
      <c r="B25" s="94" t="s">
        <v>261</v>
      </c>
    </row>
    <row r="27" spans="2:17" x14ac:dyDescent="0.35">
      <c r="B27" s="1"/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29</v>
      </c>
      <c r="K27" s="1" t="s">
        <v>80</v>
      </c>
      <c r="L27" s="1" t="s">
        <v>46</v>
      </c>
      <c r="M27" s="1" t="s">
        <v>47</v>
      </c>
      <c r="N27" s="1" t="s">
        <v>1</v>
      </c>
      <c r="O27" s="1" t="s">
        <v>2</v>
      </c>
      <c r="P27" s="60">
        <v>45292</v>
      </c>
      <c r="Q27" s="10">
        <v>45346</v>
      </c>
    </row>
    <row r="28" spans="2:17" x14ac:dyDescent="0.35">
      <c r="B28" s="1" t="s">
        <v>10</v>
      </c>
      <c r="C28" s="1"/>
      <c r="D28" s="1"/>
      <c r="E28" s="1"/>
      <c r="F28" s="1"/>
      <c r="G28" s="1"/>
      <c r="H28" s="1">
        <v>38.99</v>
      </c>
      <c r="I28" s="1">
        <v>100.18</v>
      </c>
      <c r="J28" s="1">
        <v>189.94</v>
      </c>
      <c r="K28" s="1">
        <v>138.12</v>
      </c>
      <c r="L28" s="1">
        <v>75</v>
      </c>
      <c r="M28" s="1">
        <f>135.9-6.5</f>
        <v>129.4</v>
      </c>
      <c r="N28" s="1">
        <f>102.4-6</f>
        <v>96.4</v>
      </c>
      <c r="O28" s="1">
        <f>94.53-5</f>
        <v>89.53</v>
      </c>
      <c r="P28" s="1">
        <f>130-8</f>
        <v>122</v>
      </c>
      <c r="Q28" s="1">
        <f>87.8-5</f>
        <v>82.8</v>
      </c>
    </row>
    <row r="29" spans="2:17" x14ac:dyDescent="0.35">
      <c r="B29" s="1" t="s">
        <v>11</v>
      </c>
      <c r="C29" s="1">
        <v>15</v>
      </c>
      <c r="D29" s="1">
        <v>15</v>
      </c>
      <c r="E29" s="1">
        <v>15</v>
      </c>
      <c r="F29" s="1">
        <v>15</v>
      </c>
      <c r="G29" s="1">
        <v>15</v>
      </c>
      <c r="H29" s="1">
        <v>15</v>
      </c>
      <c r="I29" s="1">
        <v>15</v>
      </c>
      <c r="J29" s="1">
        <v>15</v>
      </c>
      <c r="K29" s="1">
        <v>15</v>
      </c>
      <c r="L29" s="1">
        <v>15</v>
      </c>
      <c r="M29" s="1">
        <v>15</v>
      </c>
      <c r="N29" s="1">
        <v>15</v>
      </c>
      <c r="O29" s="1">
        <v>15</v>
      </c>
      <c r="P29" s="1">
        <v>15</v>
      </c>
      <c r="Q29" s="1">
        <v>15</v>
      </c>
    </row>
    <row r="30" spans="2:17" x14ac:dyDescent="0.35">
      <c r="B30" s="1" t="s">
        <v>12</v>
      </c>
      <c r="C30" s="87">
        <f t="shared" ref="C30:Q30" si="7">C28*C29</f>
        <v>0</v>
      </c>
      <c r="D30" s="87">
        <f t="shared" si="7"/>
        <v>0</v>
      </c>
      <c r="E30" s="87">
        <f t="shared" si="7"/>
        <v>0</v>
      </c>
      <c r="F30" s="87">
        <f t="shared" si="7"/>
        <v>0</v>
      </c>
      <c r="G30" s="87">
        <f t="shared" si="7"/>
        <v>0</v>
      </c>
      <c r="H30" s="87">
        <f t="shared" si="7"/>
        <v>584.85</v>
      </c>
      <c r="I30" s="87">
        <f t="shared" si="7"/>
        <v>1502.7</v>
      </c>
      <c r="J30" s="87">
        <f t="shared" si="7"/>
        <v>2849.1</v>
      </c>
      <c r="K30" s="87">
        <f t="shared" si="7"/>
        <v>2071.8000000000002</v>
      </c>
      <c r="L30" s="87">
        <f t="shared" si="7"/>
        <v>1125</v>
      </c>
      <c r="M30" s="87">
        <f t="shared" si="7"/>
        <v>1941</v>
      </c>
      <c r="N30" s="87">
        <f t="shared" si="7"/>
        <v>1446</v>
      </c>
      <c r="O30" s="87">
        <f t="shared" si="7"/>
        <v>1342.95</v>
      </c>
      <c r="P30" s="87">
        <f t="shared" si="7"/>
        <v>1830</v>
      </c>
      <c r="Q30" s="87">
        <f t="shared" si="7"/>
        <v>1242</v>
      </c>
    </row>
    <row r="32" spans="2:17" x14ac:dyDescent="0.35">
      <c r="B32" s="1"/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29</v>
      </c>
      <c r="K32" s="1" t="s">
        <v>80</v>
      </c>
      <c r="L32" s="1" t="s">
        <v>46</v>
      </c>
      <c r="M32" s="1" t="s">
        <v>47</v>
      </c>
      <c r="N32" s="1" t="s">
        <v>1</v>
      </c>
      <c r="O32" s="1" t="s">
        <v>2</v>
      </c>
      <c r="P32" s="60">
        <v>45292</v>
      </c>
      <c r="Q32" s="10">
        <v>45346</v>
      </c>
    </row>
    <row r="33" spans="2:17" x14ac:dyDescent="0.35">
      <c r="B33" s="1" t="s">
        <v>10</v>
      </c>
      <c r="C33" s="1"/>
      <c r="D33" s="1">
        <f>130.61-8</f>
        <v>122.61000000000001</v>
      </c>
      <c r="E33" s="1">
        <f>87.8-5</f>
        <v>82.8</v>
      </c>
      <c r="F33" s="1">
        <f>139.63-7.5</f>
        <v>132.13</v>
      </c>
      <c r="G33" s="1">
        <f>146.51-7.5</f>
        <v>139.01</v>
      </c>
      <c r="H33" s="1">
        <f>213.36-11</f>
        <v>202.36</v>
      </c>
      <c r="I33" s="1">
        <f>182.82-9</f>
        <v>173.82</v>
      </c>
      <c r="J33" s="1">
        <f>185.32-10</f>
        <v>175.32</v>
      </c>
      <c r="K33" s="1"/>
      <c r="L33" s="1"/>
      <c r="M33" s="1"/>
      <c r="N33" s="1"/>
      <c r="O33" s="1"/>
      <c r="P33" s="1"/>
      <c r="Q33" s="1"/>
    </row>
    <row r="34" spans="2:17" x14ac:dyDescent="0.35">
      <c r="B34" s="1" t="s">
        <v>11</v>
      </c>
      <c r="C34" s="1"/>
      <c r="D34" s="1">
        <v>15</v>
      </c>
      <c r="E34" s="1">
        <v>15</v>
      </c>
      <c r="F34" s="1">
        <v>15</v>
      </c>
      <c r="G34" s="1">
        <v>15</v>
      </c>
      <c r="H34" s="1">
        <v>15</v>
      </c>
      <c r="I34" s="1">
        <v>15</v>
      </c>
      <c r="J34" s="1">
        <v>15</v>
      </c>
      <c r="K34" s="1"/>
      <c r="L34" s="1"/>
      <c r="M34" s="1"/>
      <c r="N34" s="1"/>
      <c r="O34" s="1"/>
      <c r="P34" s="1"/>
      <c r="Q34" s="1"/>
    </row>
    <row r="35" spans="2:17" x14ac:dyDescent="0.35">
      <c r="B35" s="1" t="s">
        <v>12</v>
      </c>
      <c r="C35" s="87"/>
      <c r="D35" s="87">
        <f t="shared" ref="D35:H35" si="8">D33*D34</f>
        <v>1839.15</v>
      </c>
      <c r="E35" s="87">
        <f t="shared" si="8"/>
        <v>1242</v>
      </c>
      <c r="F35" s="87">
        <f t="shared" si="8"/>
        <v>1981.9499999999998</v>
      </c>
      <c r="G35" s="87">
        <f t="shared" si="8"/>
        <v>2085.1499999999996</v>
      </c>
      <c r="H35" s="87">
        <f t="shared" si="8"/>
        <v>3035.4</v>
      </c>
      <c r="I35" s="87">
        <f>I33*I34</f>
        <v>2607.2999999999997</v>
      </c>
      <c r="J35" s="87">
        <f>J33*J34</f>
        <v>2629.7999999999997</v>
      </c>
      <c r="K35" s="87"/>
      <c r="L35" s="87"/>
      <c r="M35" s="87"/>
      <c r="N35" s="87"/>
      <c r="O35" s="87"/>
      <c r="P35" s="87"/>
      <c r="Q35" s="87"/>
    </row>
    <row r="39" spans="2:17" x14ac:dyDescent="0.35">
      <c r="B39" s="94" t="s">
        <v>266</v>
      </c>
    </row>
    <row r="41" spans="2:17" x14ac:dyDescent="0.35">
      <c r="B41" s="12" t="s">
        <v>263</v>
      </c>
      <c r="C41" s="60">
        <v>45231</v>
      </c>
      <c r="D41" s="89">
        <v>45261</v>
      </c>
      <c r="E41" s="60">
        <v>45315</v>
      </c>
      <c r="F41" s="10">
        <v>45346</v>
      </c>
      <c r="G41" s="60">
        <v>45375</v>
      </c>
      <c r="H41" s="60" t="s">
        <v>187</v>
      </c>
      <c r="I41" s="10" t="s">
        <v>178</v>
      </c>
      <c r="J41" s="60" t="s">
        <v>181</v>
      </c>
      <c r="K41" s="60" t="s">
        <v>179</v>
      </c>
      <c r="L41" s="60" t="s">
        <v>253</v>
      </c>
      <c r="M41" s="60" t="s">
        <v>254</v>
      </c>
      <c r="N41" s="60" t="s">
        <v>256</v>
      </c>
      <c r="O41" s="60" t="s">
        <v>260</v>
      </c>
    </row>
    <row r="42" spans="2:17" x14ac:dyDescent="0.35">
      <c r="B42" s="12" t="s">
        <v>10</v>
      </c>
      <c r="C42" s="1">
        <f>243.27-10</f>
        <v>233.27</v>
      </c>
      <c r="D42" s="57">
        <f>261.81-10</f>
        <v>251.81</v>
      </c>
      <c r="E42" s="1">
        <f>213.92-11</f>
        <v>202.92</v>
      </c>
      <c r="F42" s="57">
        <f>180.15-8.5</f>
        <v>171.65</v>
      </c>
      <c r="G42" s="1">
        <f>193.93-10</f>
        <v>183.93</v>
      </c>
      <c r="H42" s="1">
        <f>168-11</f>
        <v>157</v>
      </c>
      <c r="I42" s="1">
        <f>222.03-168</f>
        <v>54.03</v>
      </c>
      <c r="J42" s="1">
        <f>168-9.9</f>
        <v>158.1</v>
      </c>
      <c r="K42" s="1">
        <f>56-9</f>
        <v>47</v>
      </c>
      <c r="L42" s="1">
        <v>160</v>
      </c>
      <c r="M42" s="1">
        <f>187-160</f>
        <v>27</v>
      </c>
      <c r="N42" s="1">
        <v>160</v>
      </c>
      <c r="O42" s="1">
        <f>222.65-160</f>
        <v>62.650000000000006</v>
      </c>
    </row>
    <row r="43" spans="2:17" x14ac:dyDescent="0.35">
      <c r="B43" s="12" t="s">
        <v>11</v>
      </c>
      <c r="C43" s="1">
        <v>13.5</v>
      </c>
      <c r="D43" s="57">
        <v>13.5</v>
      </c>
      <c r="E43" s="1">
        <v>13.5</v>
      </c>
      <c r="F43" s="1">
        <v>15</v>
      </c>
      <c r="G43" s="1">
        <v>15</v>
      </c>
      <c r="H43" s="1">
        <v>15</v>
      </c>
      <c r="I43" s="1">
        <v>12</v>
      </c>
      <c r="J43" s="1">
        <v>15</v>
      </c>
      <c r="K43" s="1">
        <v>12</v>
      </c>
      <c r="L43" s="1">
        <v>15</v>
      </c>
      <c r="M43" s="1">
        <v>12</v>
      </c>
      <c r="N43" s="1">
        <v>15</v>
      </c>
      <c r="O43" s="1">
        <v>12</v>
      </c>
    </row>
    <row r="44" spans="2:17" x14ac:dyDescent="0.35">
      <c r="B44" s="12"/>
      <c r="C44" s="1"/>
      <c r="D44" s="1"/>
      <c r="E44" s="1"/>
      <c r="F44" s="1"/>
      <c r="G44" s="1"/>
      <c r="H44" s="57">
        <f t="shared" ref="H44:O44" si="9">H43*H42</f>
        <v>2355</v>
      </c>
      <c r="I44" s="57">
        <f t="shared" si="9"/>
        <v>648.36</v>
      </c>
      <c r="J44" s="57">
        <f t="shared" si="9"/>
        <v>2371.5</v>
      </c>
      <c r="K44" s="57">
        <f t="shared" si="9"/>
        <v>564</v>
      </c>
      <c r="L44" s="57">
        <f>L43*L42</f>
        <v>2400</v>
      </c>
      <c r="M44" s="57">
        <f t="shared" si="9"/>
        <v>324</v>
      </c>
      <c r="N44" s="57">
        <f t="shared" si="9"/>
        <v>2400</v>
      </c>
      <c r="O44" s="57">
        <f t="shared" si="9"/>
        <v>751.80000000000007</v>
      </c>
    </row>
    <row r="45" spans="2:17" x14ac:dyDescent="0.35">
      <c r="B45" s="12" t="s">
        <v>12</v>
      </c>
      <c r="C45" s="87">
        <f>C42*C43</f>
        <v>3149.145</v>
      </c>
      <c r="D45" s="90">
        <f>D43*D42</f>
        <v>3399.4349999999999</v>
      </c>
      <c r="E45" s="90">
        <f>E43*E42</f>
        <v>2739.4199999999996</v>
      </c>
      <c r="F45" s="90">
        <f>F43*F42</f>
        <v>2574.75</v>
      </c>
      <c r="G45" s="90">
        <f>G43*G42</f>
        <v>2758.9500000000003</v>
      </c>
      <c r="H45" s="91">
        <f>H44+I44</f>
        <v>3003.36</v>
      </c>
      <c r="I45" s="87"/>
      <c r="J45" s="91">
        <f>J44+K44</f>
        <v>2935.5</v>
      </c>
      <c r="K45" s="87"/>
      <c r="L45" s="91">
        <f>L44+M44</f>
        <v>2724</v>
      </c>
      <c r="M45" s="87"/>
      <c r="N45" s="91">
        <f>N44+O44</f>
        <v>3151.8</v>
      </c>
      <c r="O45" s="87"/>
    </row>
    <row r="48" spans="2:17" x14ac:dyDescent="0.35">
      <c r="B48" s="93" t="s">
        <v>74</v>
      </c>
      <c r="Q48" s="40"/>
    </row>
    <row r="49" spans="1:17" x14ac:dyDescent="0.35">
      <c r="Q49" s="40"/>
    </row>
    <row r="50" spans="1:17" x14ac:dyDescent="0.35">
      <c r="B50" s="1"/>
      <c r="C50" s="92">
        <v>44896</v>
      </c>
      <c r="D50" s="92">
        <v>44927</v>
      </c>
      <c r="E50" s="92">
        <v>44958</v>
      </c>
      <c r="F50" s="92">
        <v>44986</v>
      </c>
      <c r="G50" s="92">
        <v>45017</v>
      </c>
      <c r="H50" s="92">
        <v>45047</v>
      </c>
      <c r="I50" s="60">
        <v>45047</v>
      </c>
      <c r="J50" s="60">
        <v>45078</v>
      </c>
      <c r="K50" s="60">
        <v>45108</v>
      </c>
      <c r="L50" s="60">
        <v>45139</v>
      </c>
      <c r="M50" s="60">
        <v>45170</v>
      </c>
      <c r="N50" s="60">
        <v>45200</v>
      </c>
      <c r="O50" s="60">
        <v>45231</v>
      </c>
      <c r="P50" s="60">
        <v>45261</v>
      </c>
    </row>
    <row r="51" spans="1:17" x14ac:dyDescent="0.35">
      <c r="B51" s="1" t="s">
        <v>10</v>
      </c>
      <c r="C51" s="1">
        <v>115.45</v>
      </c>
      <c r="D51" s="1">
        <v>150.71</v>
      </c>
      <c r="E51" s="1">
        <v>158.87</v>
      </c>
      <c r="F51" s="1">
        <v>238.12</v>
      </c>
      <c r="G51" s="1">
        <v>238.84</v>
      </c>
      <c r="H51" s="1">
        <v>118</v>
      </c>
      <c r="I51" s="1">
        <f>(161.58-H51)-7.5</f>
        <v>36.080000000000013</v>
      </c>
      <c r="J51" s="1">
        <f>199.13-11</f>
        <v>188.13</v>
      </c>
      <c r="K51" s="1">
        <f>225.77-11.5</f>
        <v>214.27</v>
      </c>
      <c r="L51" s="1">
        <v>122.91</v>
      </c>
      <c r="M51" s="1">
        <v>101</v>
      </c>
      <c r="N51" s="1">
        <f>87-4</f>
        <v>83</v>
      </c>
      <c r="O51" s="1">
        <f>75.6-4</f>
        <v>71.599999999999994</v>
      </c>
      <c r="P51" s="57">
        <f>99.3-5</f>
        <v>94.3</v>
      </c>
    </row>
    <row r="52" spans="1:17" x14ac:dyDescent="0.35">
      <c r="B52" s="1" t="s">
        <v>11</v>
      </c>
      <c r="C52" s="1">
        <v>15</v>
      </c>
      <c r="D52" s="1">
        <v>15</v>
      </c>
      <c r="E52" s="1">
        <v>15</v>
      </c>
      <c r="F52" s="1">
        <v>15</v>
      </c>
      <c r="G52" s="1">
        <v>15</v>
      </c>
      <c r="H52" s="1">
        <v>15</v>
      </c>
      <c r="I52" s="1">
        <v>15</v>
      </c>
      <c r="J52" s="1">
        <v>15</v>
      </c>
      <c r="K52" s="1">
        <v>15</v>
      </c>
      <c r="L52" s="1">
        <v>15</v>
      </c>
      <c r="M52" s="1">
        <v>15</v>
      </c>
      <c r="N52" s="1">
        <v>15</v>
      </c>
      <c r="O52" s="1">
        <v>15</v>
      </c>
      <c r="P52" s="57">
        <v>15</v>
      </c>
    </row>
    <row r="53" spans="1:17" x14ac:dyDescent="0.35">
      <c r="B53" s="1" t="s">
        <v>12</v>
      </c>
      <c r="C53" s="43">
        <f>C51*C52</f>
        <v>1731.75</v>
      </c>
      <c r="D53" s="43">
        <f t="shared" ref="D53:O53" si="10">D51*D52</f>
        <v>2260.65</v>
      </c>
      <c r="E53" s="43">
        <f t="shared" si="10"/>
        <v>2383.0500000000002</v>
      </c>
      <c r="F53" s="43">
        <f t="shared" si="10"/>
        <v>3571.8</v>
      </c>
      <c r="G53" s="43">
        <f t="shared" si="10"/>
        <v>3582.6</v>
      </c>
      <c r="H53" s="43">
        <f t="shared" si="10"/>
        <v>1770</v>
      </c>
      <c r="I53" s="43">
        <f t="shared" si="10"/>
        <v>541.20000000000016</v>
      </c>
      <c r="J53" s="43">
        <f t="shared" si="10"/>
        <v>2821.95</v>
      </c>
      <c r="K53" s="43">
        <f t="shared" si="10"/>
        <v>3214.05</v>
      </c>
      <c r="L53" s="43">
        <f t="shared" si="10"/>
        <v>1843.6499999999999</v>
      </c>
      <c r="M53" s="43">
        <f t="shared" si="10"/>
        <v>1515</v>
      </c>
      <c r="N53" s="43">
        <f t="shared" si="10"/>
        <v>1245</v>
      </c>
      <c r="O53" s="43">
        <f t="shared" si="10"/>
        <v>1074</v>
      </c>
      <c r="P53" s="43">
        <f>P51*P52</f>
        <v>1414.5</v>
      </c>
    </row>
    <row r="55" spans="1:17" x14ac:dyDescent="0.35">
      <c r="E55" s="60">
        <v>45292</v>
      </c>
      <c r="F55" s="10">
        <v>45346</v>
      </c>
      <c r="G55" s="10">
        <v>45375</v>
      </c>
      <c r="H55" s="60">
        <v>45444</v>
      </c>
    </row>
    <row r="56" spans="1:17" x14ac:dyDescent="0.35">
      <c r="E56" s="1">
        <f>81-4</f>
        <v>77</v>
      </c>
      <c r="F56" s="1">
        <f>79.35-4</f>
        <v>75.349999999999994</v>
      </c>
      <c r="G56" s="1">
        <f>67.02-3.5</f>
        <v>63.519999999999996</v>
      </c>
      <c r="H56" s="1">
        <f>11*7</f>
        <v>77</v>
      </c>
    </row>
    <row r="57" spans="1:17" x14ac:dyDescent="0.35">
      <c r="E57" s="1">
        <v>11</v>
      </c>
      <c r="F57" s="1">
        <v>11</v>
      </c>
      <c r="G57" s="1">
        <v>11</v>
      </c>
      <c r="H57" s="1">
        <v>11</v>
      </c>
    </row>
    <row r="58" spans="1:17" x14ac:dyDescent="0.35">
      <c r="E58" s="43">
        <f t="shared" ref="E58:G58" si="11">E56*E57</f>
        <v>847</v>
      </c>
      <c r="F58" s="43">
        <f t="shared" si="11"/>
        <v>828.84999999999991</v>
      </c>
      <c r="G58" s="43">
        <f t="shared" si="11"/>
        <v>698.71999999999991</v>
      </c>
      <c r="H58" s="43">
        <f>H56*H57</f>
        <v>847</v>
      </c>
    </row>
    <row r="60" spans="1:17" x14ac:dyDescent="0.35">
      <c r="C60" t="s">
        <v>7</v>
      </c>
      <c r="D60" t="s">
        <v>8</v>
      </c>
      <c r="E60" t="s">
        <v>29</v>
      </c>
    </row>
    <row r="61" spans="1:17" x14ac:dyDescent="0.35">
      <c r="A61" t="s">
        <v>267</v>
      </c>
      <c r="C61" s="72">
        <f>I22</f>
        <v>2931</v>
      </c>
      <c r="D61">
        <f>K15</f>
        <v>2455.8000000000002</v>
      </c>
      <c r="E61" s="72">
        <f>M22</f>
        <v>3330</v>
      </c>
    </row>
    <row r="62" spans="1:17" x14ac:dyDescent="0.35">
      <c r="A62" t="s">
        <v>268</v>
      </c>
      <c r="C62">
        <f>P7</f>
        <v>4065</v>
      </c>
      <c r="D62" s="72">
        <f>Q7</f>
        <v>3709.2</v>
      </c>
      <c r="E62">
        <f>R7</f>
        <v>4106.5499999999993</v>
      </c>
    </row>
    <row r="63" spans="1:17" x14ac:dyDescent="0.35">
      <c r="A63" t="s">
        <v>269</v>
      </c>
      <c r="C63">
        <f>H35</f>
        <v>3035.4</v>
      </c>
      <c r="D63">
        <f>I35</f>
        <v>2607.2999999999997</v>
      </c>
      <c r="E63">
        <f>J35</f>
        <v>2629.7999999999997</v>
      </c>
    </row>
    <row r="64" spans="1:17" x14ac:dyDescent="0.35">
      <c r="A64" t="s">
        <v>270</v>
      </c>
      <c r="C64">
        <f>J45</f>
        <v>2935.5</v>
      </c>
      <c r="D64" s="72">
        <f>L45</f>
        <v>2724</v>
      </c>
      <c r="E64" s="72">
        <f>N45</f>
        <v>3151.8</v>
      </c>
    </row>
    <row r="65" spans="1:7" x14ac:dyDescent="0.35">
      <c r="D65" s="72"/>
      <c r="E65" s="72"/>
    </row>
    <row r="66" spans="1:7" x14ac:dyDescent="0.35">
      <c r="A66" t="s">
        <v>271</v>
      </c>
      <c r="C66">
        <f>1711*2</f>
        <v>3422</v>
      </c>
      <c r="D66">
        <f>1711*2</f>
        <v>3422</v>
      </c>
      <c r="E66">
        <f>1711*2</f>
        <v>3422</v>
      </c>
    </row>
    <row r="67" spans="1:7" x14ac:dyDescent="0.35">
      <c r="A67" t="s">
        <v>272</v>
      </c>
      <c r="C67">
        <v>3422</v>
      </c>
      <c r="D67">
        <v>3422</v>
      </c>
      <c r="E67">
        <v>3422</v>
      </c>
    </row>
    <row r="68" spans="1:7" x14ac:dyDescent="0.35">
      <c r="D68" s="72"/>
      <c r="E68" s="72"/>
    </row>
    <row r="70" spans="1:7" x14ac:dyDescent="0.35">
      <c r="B70" s="72">
        <f>C70+D70+E70</f>
        <v>58213.349999999991</v>
      </c>
      <c r="C70" s="72">
        <f>SUM(C61:C69)</f>
        <v>19810.900000000001</v>
      </c>
      <c r="D70" s="72">
        <f t="shared" ref="D70:E70" si="12">SUM(D61:D69)</f>
        <v>18340.3</v>
      </c>
      <c r="E70" s="72">
        <f t="shared" si="12"/>
        <v>20062.149999999998</v>
      </c>
      <c r="G70" s="7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647D-9269-4651-BABC-BFF843572080}">
  <dimension ref="E3:E41"/>
  <sheetViews>
    <sheetView topLeftCell="A39" workbookViewId="0">
      <selection activeCell="Q51" sqref="Q51"/>
    </sheetView>
  </sheetViews>
  <sheetFormatPr defaultRowHeight="14.5" x14ac:dyDescent="0.35"/>
  <cols>
    <col min="5" max="5" width="13.26953125" customWidth="1"/>
  </cols>
  <sheetData>
    <row r="3" spans="5:5" x14ac:dyDescent="0.35">
      <c r="E3" t="s">
        <v>35</v>
      </c>
    </row>
    <row r="5" spans="5:5" x14ac:dyDescent="0.35">
      <c r="E5">
        <v>1281.3800000000001</v>
      </c>
    </row>
    <row r="6" spans="5:5" x14ac:dyDescent="0.35">
      <c r="E6">
        <v>1281.3800000000001</v>
      </c>
    </row>
    <row r="7" spans="5:5" x14ac:dyDescent="0.35">
      <c r="E7">
        <v>1281.3800000000001</v>
      </c>
    </row>
    <row r="8" spans="5:5" x14ac:dyDescent="0.35">
      <c r="E8">
        <v>1281.3800000000001</v>
      </c>
    </row>
    <row r="10" spans="5:5" x14ac:dyDescent="0.35">
      <c r="E10">
        <v>1281.3800000000001</v>
      </c>
    </row>
    <row r="12" spans="5:5" x14ac:dyDescent="0.35">
      <c r="E12">
        <v>1281.3800000000001</v>
      </c>
    </row>
    <row r="13" spans="5:5" x14ac:dyDescent="0.35">
      <c r="E13">
        <v>1281.3800000000001</v>
      </c>
    </row>
    <row r="14" spans="5:5" x14ac:dyDescent="0.35">
      <c r="E14">
        <v>1281.3800000000001</v>
      </c>
    </row>
    <row r="15" spans="5:5" x14ac:dyDescent="0.35">
      <c r="E15">
        <v>1281.3800000000001</v>
      </c>
    </row>
    <row r="17" spans="5:5" x14ac:dyDescent="0.35">
      <c r="E17">
        <v>1283.47</v>
      </c>
    </row>
    <row r="18" spans="5:5" x14ac:dyDescent="0.35">
      <c r="E18">
        <v>1283.47</v>
      </c>
    </row>
    <row r="20" spans="5:5" x14ac:dyDescent="0.35">
      <c r="E20">
        <v>1325.69</v>
      </c>
    </row>
    <row r="21" spans="5:5" x14ac:dyDescent="0.35">
      <c r="E21">
        <v>1325.69</v>
      </c>
    </row>
    <row r="23" spans="5:5" x14ac:dyDescent="0.35">
      <c r="E23">
        <v>1280.03</v>
      </c>
    </row>
    <row r="24" spans="5:5" x14ac:dyDescent="0.35">
      <c r="E24">
        <v>1280.03</v>
      </c>
    </row>
    <row r="25" spans="5:5" x14ac:dyDescent="0.35">
      <c r="E25">
        <v>1280.03</v>
      </c>
    </row>
    <row r="26" spans="5:5" x14ac:dyDescent="0.35">
      <c r="E26">
        <v>1280.03</v>
      </c>
    </row>
    <row r="28" spans="5:5" x14ac:dyDescent="0.35">
      <c r="E28">
        <v>2569.2600000000002</v>
      </c>
    </row>
    <row r="30" spans="5:5" x14ac:dyDescent="0.35">
      <c r="E30">
        <v>2569.2600000000002</v>
      </c>
    </row>
    <row r="31" spans="5:5" x14ac:dyDescent="0.35">
      <c r="E31">
        <v>2569.2600000000002</v>
      </c>
    </row>
    <row r="33" spans="5:5" x14ac:dyDescent="0.35">
      <c r="E33">
        <v>2573.16</v>
      </c>
    </row>
    <row r="35" spans="5:5" x14ac:dyDescent="0.35">
      <c r="E35">
        <v>2573.16</v>
      </c>
    </row>
    <row r="37" spans="5:5" x14ac:dyDescent="0.35">
      <c r="E37">
        <v>2573.16</v>
      </c>
    </row>
    <row r="38" spans="5:5" x14ac:dyDescent="0.35">
      <c r="E38">
        <v>2573.16</v>
      </c>
    </row>
    <row r="41" spans="5:5" x14ac:dyDescent="0.35">
      <c r="E41" s="9">
        <f>SUM(E5:E39)</f>
        <v>39871.279999999999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4E1C-22B5-4290-A59E-6665DD0DC996}">
  <dimension ref="B4:E41"/>
  <sheetViews>
    <sheetView topLeftCell="A10" workbookViewId="0">
      <selection activeCell="G42" sqref="G42"/>
    </sheetView>
  </sheetViews>
  <sheetFormatPr defaultRowHeight="14.5" x14ac:dyDescent="0.35"/>
  <cols>
    <col min="2" max="2" width="22.453125" style="11" customWidth="1"/>
    <col min="3" max="3" width="15.81640625" customWidth="1"/>
    <col min="4" max="4" width="15.81640625" style="9" customWidth="1"/>
  </cols>
  <sheetData>
    <row r="4" spans="2:4" x14ac:dyDescent="0.35">
      <c r="B4" s="19" t="s">
        <v>15</v>
      </c>
      <c r="C4" s="20" t="s">
        <v>49</v>
      </c>
      <c r="D4" s="28" t="s">
        <v>17</v>
      </c>
    </row>
    <row r="5" spans="2:4" x14ac:dyDescent="0.35">
      <c r="B5" s="21">
        <v>44827</v>
      </c>
      <c r="C5" s="1">
        <v>9151</v>
      </c>
      <c r="D5" s="15">
        <v>304</v>
      </c>
    </row>
    <row r="6" spans="2:4" x14ac:dyDescent="0.35">
      <c r="B6" s="21">
        <v>44834</v>
      </c>
      <c r="C6" s="1">
        <v>9152</v>
      </c>
      <c r="D6" s="15">
        <v>304</v>
      </c>
    </row>
    <row r="7" spans="2:4" x14ac:dyDescent="0.35">
      <c r="B7" s="21">
        <v>44818</v>
      </c>
      <c r="C7" s="1">
        <v>9159</v>
      </c>
      <c r="D7" s="15">
        <v>592</v>
      </c>
    </row>
    <row r="8" spans="2:4" x14ac:dyDescent="0.35">
      <c r="B8" s="21">
        <v>44862</v>
      </c>
      <c r="C8" s="1">
        <v>9160</v>
      </c>
      <c r="D8" s="15">
        <v>592</v>
      </c>
    </row>
    <row r="9" spans="2:4" x14ac:dyDescent="0.35">
      <c r="B9" s="27">
        <v>44876</v>
      </c>
      <c r="C9" s="1">
        <v>9164</v>
      </c>
      <c r="D9" s="15">
        <v>592</v>
      </c>
    </row>
    <row r="10" spans="2:4" x14ac:dyDescent="0.35">
      <c r="B10" s="27">
        <v>44890</v>
      </c>
      <c r="C10" s="1">
        <v>9165</v>
      </c>
      <c r="D10" s="15">
        <v>592</v>
      </c>
    </row>
    <row r="11" spans="2:4" x14ac:dyDescent="0.35">
      <c r="B11" s="27">
        <v>44904</v>
      </c>
      <c r="C11" s="1">
        <v>9175</v>
      </c>
      <c r="D11" s="15">
        <v>592</v>
      </c>
    </row>
    <row r="12" spans="2:4" x14ac:dyDescent="0.35">
      <c r="B12" s="27">
        <v>44918</v>
      </c>
      <c r="C12" s="1">
        <v>9176</v>
      </c>
      <c r="D12" s="15">
        <v>592</v>
      </c>
    </row>
    <row r="13" spans="2:4" x14ac:dyDescent="0.35">
      <c r="B13" s="12"/>
      <c r="C13" s="1"/>
      <c r="D13" s="15"/>
    </row>
    <row r="14" spans="2:4" x14ac:dyDescent="0.35">
      <c r="B14" s="12"/>
      <c r="C14" s="1"/>
      <c r="D14" s="15"/>
    </row>
    <row r="15" spans="2:4" x14ac:dyDescent="0.35">
      <c r="B15" s="12"/>
      <c r="C15" s="1"/>
      <c r="D15" s="15"/>
    </row>
    <row r="16" spans="2:4" x14ac:dyDescent="0.35">
      <c r="B16" s="12" t="s">
        <v>50</v>
      </c>
      <c r="C16" s="1"/>
      <c r="D16" s="15">
        <f>SUM(D5:D12)</f>
        <v>4160</v>
      </c>
    </row>
    <row r="18" spans="2:5" x14ac:dyDescent="0.35">
      <c r="B18" s="29">
        <v>44603</v>
      </c>
      <c r="C18" t="s">
        <v>59</v>
      </c>
      <c r="D18" s="9">
        <f>D16</f>
        <v>4160</v>
      </c>
    </row>
    <row r="20" spans="2:5" x14ac:dyDescent="0.35">
      <c r="B20" s="11" t="s">
        <v>28</v>
      </c>
      <c r="D20" s="9">
        <f>D16-D18</f>
        <v>0</v>
      </c>
    </row>
    <row r="23" spans="2:5" x14ac:dyDescent="0.35">
      <c r="B23" s="19" t="s">
        <v>15</v>
      </c>
      <c r="C23" s="20" t="s">
        <v>49</v>
      </c>
      <c r="D23" s="28" t="s">
        <v>17</v>
      </c>
    </row>
    <row r="24" spans="2:5" x14ac:dyDescent="0.35">
      <c r="B24" s="21">
        <v>44932</v>
      </c>
      <c r="C24" s="1">
        <v>9189</v>
      </c>
      <c r="D24" s="15">
        <v>92</v>
      </c>
      <c r="E24" t="s">
        <v>85</v>
      </c>
    </row>
    <row r="25" spans="2:5" x14ac:dyDescent="0.35">
      <c r="B25" s="21">
        <v>44946</v>
      </c>
      <c r="C25" s="1">
        <v>9190</v>
      </c>
      <c r="D25" s="15">
        <v>592</v>
      </c>
    </row>
    <row r="26" spans="2:5" x14ac:dyDescent="0.35">
      <c r="B26" s="21">
        <v>44963</v>
      </c>
      <c r="C26" s="1">
        <v>9202</v>
      </c>
      <c r="D26" s="15">
        <v>592</v>
      </c>
    </row>
    <row r="27" spans="2:5" x14ac:dyDescent="0.35">
      <c r="B27" s="21">
        <v>44977</v>
      </c>
      <c r="C27" s="1">
        <v>9203</v>
      </c>
      <c r="D27" s="15">
        <v>592</v>
      </c>
    </row>
    <row r="28" spans="2:5" x14ac:dyDescent="0.35">
      <c r="B28" s="27">
        <v>44991</v>
      </c>
      <c r="C28" s="1">
        <v>9227</v>
      </c>
      <c r="D28" s="15">
        <v>592</v>
      </c>
    </row>
    <row r="29" spans="2:5" x14ac:dyDescent="0.35">
      <c r="B29" s="27">
        <v>45005</v>
      </c>
      <c r="C29" s="1">
        <v>9228</v>
      </c>
      <c r="D29" s="15">
        <v>592</v>
      </c>
    </row>
    <row r="30" spans="2:5" x14ac:dyDescent="0.35">
      <c r="B30" s="27">
        <v>45019</v>
      </c>
      <c r="C30" s="1">
        <v>9240</v>
      </c>
      <c r="D30" s="15">
        <v>592</v>
      </c>
    </row>
    <row r="31" spans="2:5" x14ac:dyDescent="0.35">
      <c r="B31" s="27">
        <v>45033</v>
      </c>
      <c r="C31" s="1">
        <v>9241</v>
      </c>
      <c r="D31" s="15">
        <v>592</v>
      </c>
    </row>
    <row r="32" spans="2:5" x14ac:dyDescent="0.35">
      <c r="B32" s="27">
        <v>45047</v>
      </c>
      <c r="C32" s="1">
        <v>9253</v>
      </c>
      <c r="D32" s="15">
        <v>592</v>
      </c>
    </row>
    <row r="33" spans="2:4" x14ac:dyDescent="0.35">
      <c r="B33" s="27">
        <v>45061</v>
      </c>
      <c r="C33" s="1">
        <v>9254</v>
      </c>
      <c r="D33" s="15">
        <v>592</v>
      </c>
    </row>
    <row r="34" spans="2:4" x14ac:dyDescent="0.35">
      <c r="B34" s="27">
        <v>45075</v>
      </c>
      <c r="C34" s="1">
        <v>9255</v>
      </c>
      <c r="D34" s="15">
        <v>592</v>
      </c>
    </row>
    <row r="35" spans="2:4" x14ac:dyDescent="0.35">
      <c r="B35" s="27"/>
      <c r="C35" s="1"/>
      <c r="D35" s="15"/>
    </row>
    <row r="36" spans="2:4" x14ac:dyDescent="0.35">
      <c r="B36" s="12"/>
      <c r="C36" s="1"/>
      <c r="D36" s="15"/>
    </row>
    <row r="37" spans="2:4" x14ac:dyDescent="0.35">
      <c r="B37" s="12" t="s">
        <v>50</v>
      </c>
      <c r="C37" s="1"/>
      <c r="D37" s="15">
        <f>SUM(D24:D34)</f>
        <v>6012</v>
      </c>
    </row>
    <row r="39" spans="2:4" ht="29" x14ac:dyDescent="0.35">
      <c r="B39" s="29">
        <v>45088</v>
      </c>
      <c r="C39" s="4" t="s">
        <v>59</v>
      </c>
      <c r="D39" s="9">
        <f>D37</f>
        <v>6012</v>
      </c>
    </row>
    <row r="41" spans="2:4" x14ac:dyDescent="0.35">
      <c r="B41" s="11" t="s">
        <v>28</v>
      </c>
      <c r="D41" s="9">
        <f>D37-D39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6D4DD-9CF4-4AA9-80D0-76E11CF9A75F}">
  <dimension ref="A1:N26"/>
  <sheetViews>
    <sheetView zoomScale="88" workbookViewId="0">
      <selection activeCell="J34" sqref="J34"/>
    </sheetView>
  </sheetViews>
  <sheetFormatPr defaultRowHeight="14.5" x14ac:dyDescent="0.35"/>
  <cols>
    <col min="1" max="1" width="16.7265625" style="11" customWidth="1"/>
    <col min="2" max="2" width="25.453125" customWidth="1"/>
    <col min="4" max="4" width="12.26953125" customWidth="1"/>
    <col min="5" max="5" width="14.1796875" customWidth="1"/>
    <col min="6" max="6" width="8.81640625" bestFit="1" customWidth="1"/>
    <col min="7" max="8" width="10.1796875" bestFit="1" customWidth="1"/>
    <col min="12" max="12" width="19.7265625" customWidth="1"/>
    <col min="13" max="13" width="11.81640625" customWidth="1"/>
    <col min="14" max="14" width="11.54296875" customWidth="1"/>
  </cols>
  <sheetData>
    <row r="1" spans="1:14" x14ac:dyDescent="0.35">
      <c r="A1" s="11" t="s">
        <v>38</v>
      </c>
      <c r="E1" t="s">
        <v>39</v>
      </c>
      <c r="G1" s="3" t="s">
        <v>40</v>
      </c>
    </row>
    <row r="2" spans="1:14" ht="9.65" customHeight="1" x14ac:dyDescent="0.35"/>
    <row r="3" spans="1:14" x14ac:dyDescent="0.35">
      <c r="A3" s="3" t="s">
        <v>41</v>
      </c>
    </row>
    <row r="5" spans="1:14" x14ac:dyDescent="0.35">
      <c r="A5" s="12"/>
      <c r="B5" s="1" t="s">
        <v>13</v>
      </c>
      <c r="D5" s="1" t="s">
        <v>2</v>
      </c>
      <c r="E5" s="1" t="s">
        <v>3</v>
      </c>
      <c r="F5" s="1" t="s">
        <v>4</v>
      </c>
      <c r="G5" s="1" t="s">
        <v>58</v>
      </c>
      <c r="H5" s="1" t="s">
        <v>6</v>
      </c>
      <c r="L5" s="1" t="s">
        <v>1</v>
      </c>
      <c r="M5" s="1" t="s">
        <v>2</v>
      </c>
    </row>
    <row r="6" spans="1:14" ht="21" customHeight="1" x14ac:dyDescent="0.35">
      <c r="A6" s="12" t="s">
        <v>9</v>
      </c>
      <c r="D6" s="1"/>
      <c r="E6" s="1"/>
      <c r="F6" s="1"/>
      <c r="G6" s="1"/>
      <c r="H6" s="1"/>
      <c r="M6" s="1"/>
    </row>
    <row r="7" spans="1:14" ht="21" customHeight="1" x14ac:dyDescent="0.35">
      <c r="A7" s="12" t="s">
        <v>10</v>
      </c>
      <c r="B7" s="1">
        <f>SUM(D7:H7)</f>
        <v>307.63</v>
      </c>
      <c r="D7" s="1">
        <f>116.63+21</f>
        <v>137.63</v>
      </c>
      <c r="E7" s="1">
        <v>112</v>
      </c>
      <c r="F7" s="1">
        <v>58</v>
      </c>
      <c r="G7" s="1"/>
      <c r="H7" s="1"/>
      <c r="J7">
        <f>D7/40</f>
        <v>3.44075</v>
      </c>
      <c r="L7" s="1">
        <v>168</v>
      </c>
      <c r="M7" s="1">
        <v>168</v>
      </c>
    </row>
    <row r="8" spans="1:14" s="9" customFormat="1" ht="21" customHeight="1" x14ac:dyDescent="0.35">
      <c r="A8" s="14" t="s">
        <v>11</v>
      </c>
      <c r="B8" s="15"/>
      <c r="D8" s="15">
        <v>15</v>
      </c>
      <c r="E8" s="15">
        <v>15</v>
      </c>
      <c r="F8" s="15">
        <v>15</v>
      </c>
      <c r="G8" s="15">
        <v>15</v>
      </c>
      <c r="H8" s="15">
        <v>15</v>
      </c>
      <c r="L8" s="15">
        <v>15</v>
      </c>
      <c r="M8" s="15">
        <v>15</v>
      </c>
    </row>
    <row r="9" spans="1:14" s="9" customFormat="1" ht="21" customHeight="1" x14ac:dyDescent="0.35">
      <c r="A9" s="14" t="s">
        <v>12</v>
      </c>
      <c r="B9" s="15">
        <f>SUM(D9:H9)</f>
        <v>4614.45</v>
      </c>
      <c r="D9" s="15">
        <f>D7*D8</f>
        <v>2064.4499999999998</v>
      </c>
      <c r="E9" s="15">
        <f t="shared" ref="E9:H9" si="0">E7*E8</f>
        <v>1680</v>
      </c>
      <c r="F9" s="15">
        <f t="shared" si="0"/>
        <v>870</v>
      </c>
      <c r="G9" s="15">
        <f t="shared" si="0"/>
        <v>0</v>
      </c>
      <c r="H9" s="15">
        <f t="shared" si="0"/>
        <v>0</v>
      </c>
      <c r="L9" s="15">
        <f>L7*L8</f>
        <v>2520</v>
      </c>
      <c r="M9" s="15">
        <f>M7*M8</f>
        <v>2520</v>
      </c>
      <c r="N9" s="9">
        <f>L9+M9</f>
        <v>5040</v>
      </c>
    </row>
    <row r="10" spans="1:14" s="9" customFormat="1" ht="9.65" customHeight="1" x14ac:dyDescent="0.35">
      <c r="A10" s="16"/>
      <c r="B10" s="17"/>
      <c r="D10" s="17"/>
      <c r="E10" s="17"/>
      <c r="F10" s="17"/>
      <c r="G10" s="17"/>
      <c r="H10" s="17"/>
      <c r="L10" s="17"/>
    </row>
    <row r="11" spans="1:14" s="9" customFormat="1" ht="21" customHeight="1" x14ac:dyDescent="0.35">
      <c r="A11" s="18" t="s">
        <v>48</v>
      </c>
      <c r="B11" s="17"/>
      <c r="D11" s="17"/>
      <c r="E11" s="17"/>
      <c r="F11" s="17"/>
      <c r="G11" s="17"/>
      <c r="H11" s="17"/>
      <c r="L11" s="17"/>
    </row>
    <row r="13" spans="1:14" x14ac:dyDescent="0.35">
      <c r="A13" s="19" t="s">
        <v>15</v>
      </c>
      <c r="B13" s="20" t="s">
        <v>49</v>
      </c>
      <c r="D13" s="20" t="s">
        <v>17</v>
      </c>
      <c r="L13" s="20"/>
    </row>
    <row r="14" spans="1:14" x14ac:dyDescent="0.35">
      <c r="A14" s="21">
        <v>44951</v>
      </c>
      <c r="B14" s="1">
        <v>9201</v>
      </c>
      <c r="D14" s="15">
        <v>555</v>
      </c>
      <c r="L14" s="1"/>
    </row>
    <row r="15" spans="1:14" x14ac:dyDescent="0.35">
      <c r="A15" s="21">
        <v>44963</v>
      </c>
      <c r="B15" s="1">
        <v>9212</v>
      </c>
      <c r="D15" s="15">
        <v>750</v>
      </c>
      <c r="L15" s="1"/>
    </row>
    <row r="16" spans="1:14" x14ac:dyDescent="0.35">
      <c r="A16" s="21"/>
      <c r="B16" s="24" t="s">
        <v>60</v>
      </c>
      <c r="D16" s="24">
        <v>500</v>
      </c>
      <c r="L16" s="24"/>
    </row>
    <row r="17" spans="1:12" x14ac:dyDescent="0.35">
      <c r="A17" s="21">
        <v>44977</v>
      </c>
      <c r="B17" s="1">
        <v>9213</v>
      </c>
      <c r="D17" s="30">
        <v>750</v>
      </c>
      <c r="L17" s="1"/>
    </row>
    <row r="19" spans="1:12" x14ac:dyDescent="0.35">
      <c r="A19" s="12" t="s">
        <v>50</v>
      </c>
      <c r="B19" s="1"/>
      <c r="D19" s="22">
        <f>SUM(D14:D17)</f>
        <v>2555</v>
      </c>
      <c r="L19" s="1"/>
    </row>
    <row r="21" spans="1:12" x14ac:dyDescent="0.35">
      <c r="A21" s="23" t="s">
        <v>51</v>
      </c>
      <c r="B21" s="24" t="s">
        <v>52</v>
      </c>
      <c r="D21" s="24">
        <v>3000</v>
      </c>
      <c r="L21" s="24"/>
    </row>
    <row r="22" spans="1:12" x14ac:dyDescent="0.35">
      <c r="A22" s="23"/>
      <c r="B22" t="s">
        <v>61</v>
      </c>
      <c r="D22">
        <v>5040</v>
      </c>
    </row>
    <row r="23" spans="1:12" x14ac:dyDescent="0.35">
      <c r="A23" s="23"/>
      <c r="B23" s="24"/>
      <c r="D23" s="24"/>
      <c r="L23" s="24"/>
    </row>
    <row r="24" spans="1:12" x14ac:dyDescent="0.35">
      <c r="A24" s="25" t="s">
        <v>55</v>
      </c>
      <c r="B24" s="3"/>
      <c r="D24" s="3">
        <f>D21+D22</f>
        <v>8040</v>
      </c>
      <c r="L24" s="3"/>
    </row>
    <row r="25" spans="1:12" x14ac:dyDescent="0.35">
      <c r="A25" s="25" t="s">
        <v>56</v>
      </c>
      <c r="B25" s="3"/>
      <c r="D25" s="26">
        <f>D24+D19</f>
        <v>10595</v>
      </c>
      <c r="L25" s="3"/>
    </row>
    <row r="26" spans="1:12" x14ac:dyDescent="0.35">
      <c r="A26" s="25" t="s">
        <v>57</v>
      </c>
      <c r="B26" s="3"/>
      <c r="D26" s="26">
        <f>B9-D25</f>
        <v>-5980.55</v>
      </c>
      <c r="L26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27AA-E2BB-462D-A03B-83A39D9A6B6F}">
  <dimension ref="A1:M42"/>
  <sheetViews>
    <sheetView topLeftCell="A20" workbookViewId="0">
      <selection activeCell="G46" sqref="G46"/>
    </sheetView>
  </sheetViews>
  <sheetFormatPr defaultRowHeight="14.5" x14ac:dyDescent="0.35"/>
  <cols>
    <col min="1" max="1" width="16.7265625" style="11" customWidth="1"/>
    <col min="2" max="2" width="19.7265625" customWidth="1"/>
    <col min="3" max="3" width="12.26953125" customWidth="1"/>
    <col min="4" max="4" width="10.1796875" bestFit="1" customWidth="1"/>
    <col min="5" max="5" width="8.81640625" bestFit="1" customWidth="1"/>
    <col min="6" max="13" width="10.1796875" bestFit="1" customWidth="1"/>
  </cols>
  <sheetData>
    <row r="1" spans="1:13" x14ac:dyDescent="0.35">
      <c r="A1" s="11" t="s">
        <v>38</v>
      </c>
      <c r="D1" t="s">
        <v>39</v>
      </c>
      <c r="F1" s="3" t="s">
        <v>40</v>
      </c>
    </row>
    <row r="2" spans="1:13" ht="9.65" customHeight="1" x14ac:dyDescent="0.35"/>
    <row r="3" spans="1:13" x14ac:dyDescent="0.35">
      <c r="A3" s="3" t="s">
        <v>41</v>
      </c>
    </row>
    <row r="5" spans="1:13" x14ac:dyDescent="0.35">
      <c r="A5" s="12"/>
      <c r="B5" s="1" t="s">
        <v>13</v>
      </c>
      <c r="C5" s="10">
        <v>45007</v>
      </c>
      <c r="D5" s="1" t="s">
        <v>42</v>
      </c>
      <c r="E5" s="1" t="s">
        <v>43</v>
      </c>
      <c r="F5" s="1" t="s">
        <v>7</v>
      </c>
      <c r="G5" s="1" t="s">
        <v>44</v>
      </c>
      <c r="H5" s="1" t="s">
        <v>45</v>
      </c>
      <c r="I5" s="1" t="s">
        <v>30</v>
      </c>
      <c r="J5" s="1" t="s">
        <v>46</v>
      </c>
      <c r="K5" s="1" t="s">
        <v>47</v>
      </c>
      <c r="L5" s="1" t="s">
        <v>1</v>
      </c>
      <c r="M5" s="1" t="s">
        <v>2</v>
      </c>
    </row>
    <row r="6" spans="1:13" ht="21" customHeight="1" x14ac:dyDescent="0.35">
      <c r="A6" s="12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1" customHeight="1" x14ac:dyDescent="0.35">
      <c r="A7" s="12" t="s">
        <v>10</v>
      </c>
      <c r="B7" s="1">
        <f>SUM(C7:M7)</f>
        <v>2294.12</v>
      </c>
      <c r="C7" s="1">
        <v>47.28</v>
      </c>
      <c r="D7" s="1">
        <v>245.27</v>
      </c>
      <c r="E7" s="1">
        <v>85.65</v>
      </c>
      <c r="F7" s="1">
        <f>137.33</f>
        <v>137.33000000000001</v>
      </c>
      <c r="G7" s="1">
        <v>238.05</v>
      </c>
      <c r="H7" s="13">
        <f>225.01+24</f>
        <v>249.01</v>
      </c>
      <c r="I7" s="1">
        <v>278.23</v>
      </c>
      <c r="J7" s="1">
        <v>286.77999999999997</v>
      </c>
      <c r="K7" s="1">
        <v>269.42</v>
      </c>
      <c r="L7" s="1">
        <v>260.61</v>
      </c>
      <c r="M7" s="1">
        <v>196.49</v>
      </c>
    </row>
    <row r="8" spans="1:13" s="9" customFormat="1" ht="21" customHeight="1" x14ac:dyDescent="0.35">
      <c r="A8" s="14" t="s">
        <v>11</v>
      </c>
      <c r="B8" s="15"/>
      <c r="C8" s="15">
        <v>10</v>
      </c>
      <c r="D8" s="15">
        <v>10</v>
      </c>
      <c r="E8" s="15">
        <v>10</v>
      </c>
      <c r="F8" s="15">
        <v>12.5</v>
      </c>
      <c r="G8" s="15">
        <v>12.5</v>
      </c>
      <c r="H8" s="15">
        <v>12.5</v>
      </c>
      <c r="I8" s="15">
        <v>12.5</v>
      </c>
      <c r="J8" s="15">
        <v>12.5</v>
      </c>
      <c r="K8" s="15">
        <v>12.5</v>
      </c>
      <c r="L8" s="15">
        <v>15</v>
      </c>
      <c r="M8" s="15">
        <v>15</v>
      </c>
    </row>
    <row r="9" spans="1:13" s="9" customFormat="1" ht="21" customHeight="1" x14ac:dyDescent="0.35">
      <c r="A9" s="14" t="s">
        <v>12</v>
      </c>
      <c r="B9" s="15">
        <f>SUM(C9:M9)</f>
        <v>28873.75</v>
      </c>
      <c r="C9" s="15">
        <f>C7*C8</f>
        <v>472.8</v>
      </c>
      <c r="D9" s="15">
        <f t="shared" ref="D9:M9" si="0">D7*D8</f>
        <v>2452.7000000000003</v>
      </c>
      <c r="E9" s="15">
        <f t="shared" si="0"/>
        <v>856.5</v>
      </c>
      <c r="F9" s="15">
        <f t="shared" si="0"/>
        <v>1716.6250000000002</v>
      </c>
      <c r="G9" s="15">
        <f t="shared" si="0"/>
        <v>2975.625</v>
      </c>
      <c r="H9" s="15">
        <f t="shared" si="0"/>
        <v>3112.625</v>
      </c>
      <c r="I9" s="15">
        <f t="shared" si="0"/>
        <v>3477.875</v>
      </c>
      <c r="J9" s="15">
        <f t="shared" si="0"/>
        <v>3584.7499999999995</v>
      </c>
      <c r="K9" s="15">
        <f t="shared" si="0"/>
        <v>3367.75</v>
      </c>
      <c r="L9" s="15">
        <f t="shared" si="0"/>
        <v>3909.15</v>
      </c>
      <c r="M9" s="15">
        <f t="shared" si="0"/>
        <v>2947.3500000000004</v>
      </c>
    </row>
    <row r="10" spans="1:13" s="9" customFormat="1" ht="9.65" customHeight="1" x14ac:dyDescent="0.3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s="9" customFormat="1" ht="21" customHeight="1" x14ac:dyDescent="0.35">
      <c r="A11" s="18" t="s">
        <v>48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3" spans="1:13" x14ac:dyDescent="0.35">
      <c r="A13" s="19" t="s">
        <v>15</v>
      </c>
      <c r="B13" s="20" t="s">
        <v>49</v>
      </c>
      <c r="C13" s="20" t="s">
        <v>17</v>
      </c>
    </row>
    <row r="14" spans="1:13" x14ac:dyDescent="0.35">
      <c r="A14" s="21">
        <v>44687</v>
      </c>
      <c r="B14" s="1">
        <v>9094</v>
      </c>
      <c r="C14" s="15">
        <v>300</v>
      </c>
    </row>
    <row r="15" spans="1:13" x14ac:dyDescent="0.35">
      <c r="A15" s="21">
        <v>44694</v>
      </c>
      <c r="B15" s="1">
        <v>9095</v>
      </c>
      <c r="C15" s="15">
        <v>300</v>
      </c>
    </row>
    <row r="16" spans="1:13" x14ac:dyDescent="0.35">
      <c r="A16" s="21">
        <v>44701</v>
      </c>
      <c r="B16" s="1">
        <v>9096</v>
      </c>
      <c r="C16" s="15">
        <v>300</v>
      </c>
    </row>
    <row r="17" spans="1:7" x14ac:dyDescent="0.35">
      <c r="A17" s="21">
        <v>44708</v>
      </c>
      <c r="B17" s="1">
        <v>9097</v>
      </c>
      <c r="C17" s="15">
        <v>300</v>
      </c>
    </row>
    <row r="18" spans="1:7" x14ac:dyDescent="0.35">
      <c r="A18" s="21">
        <v>44715</v>
      </c>
      <c r="B18" s="6">
        <v>9106</v>
      </c>
      <c r="C18" s="15">
        <v>300</v>
      </c>
    </row>
    <row r="19" spans="1:7" x14ac:dyDescent="0.35">
      <c r="A19" s="21">
        <v>44722</v>
      </c>
      <c r="B19" s="1">
        <v>9107</v>
      </c>
      <c r="C19" s="15">
        <v>300</v>
      </c>
    </row>
    <row r="20" spans="1:7" x14ac:dyDescent="0.35">
      <c r="A20" s="21">
        <v>44729</v>
      </c>
      <c r="B20" s="1">
        <v>9108</v>
      </c>
      <c r="C20" s="15">
        <v>300</v>
      </c>
    </row>
    <row r="21" spans="1:7" x14ac:dyDescent="0.35">
      <c r="A21" s="21">
        <v>44736</v>
      </c>
      <c r="B21" s="1">
        <v>9109</v>
      </c>
      <c r="C21" s="15">
        <v>300</v>
      </c>
    </row>
    <row r="22" spans="1:7" x14ac:dyDescent="0.35">
      <c r="A22" s="21">
        <v>44750</v>
      </c>
      <c r="B22" s="1">
        <v>9121</v>
      </c>
      <c r="C22" s="15">
        <v>600</v>
      </c>
    </row>
    <row r="23" spans="1:7" x14ac:dyDescent="0.35">
      <c r="A23" s="21">
        <v>44764</v>
      </c>
      <c r="B23" s="1">
        <v>9122</v>
      </c>
      <c r="C23" s="15">
        <v>600</v>
      </c>
    </row>
    <row r="24" spans="1:7" x14ac:dyDescent="0.35">
      <c r="A24" s="21">
        <v>44778</v>
      </c>
      <c r="B24" s="1">
        <v>9132</v>
      </c>
      <c r="C24" s="15">
        <v>600</v>
      </c>
    </row>
    <row r="25" spans="1:7" x14ac:dyDescent="0.35">
      <c r="A25" s="21">
        <v>44792</v>
      </c>
      <c r="B25" s="1">
        <v>9133</v>
      </c>
      <c r="C25" s="15">
        <v>600</v>
      </c>
    </row>
    <row r="26" spans="1:7" x14ac:dyDescent="0.35">
      <c r="A26" s="21">
        <v>44806</v>
      </c>
      <c r="B26" s="1">
        <v>9141</v>
      </c>
      <c r="C26" s="15">
        <v>600</v>
      </c>
    </row>
    <row r="27" spans="1:7" x14ac:dyDescent="0.35">
      <c r="A27" s="21">
        <v>44820</v>
      </c>
      <c r="B27" s="1">
        <v>9142</v>
      </c>
      <c r="C27" s="15">
        <v>600</v>
      </c>
    </row>
    <row r="28" spans="1:7" x14ac:dyDescent="0.35">
      <c r="A28" s="21">
        <v>44834</v>
      </c>
      <c r="B28" s="1">
        <v>9143</v>
      </c>
      <c r="C28" s="15">
        <v>600</v>
      </c>
      <c r="G28">
        <f>'[1]Azim Salarzai'!$I$19</f>
        <v>0</v>
      </c>
    </row>
    <row r="29" spans="1:7" x14ac:dyDescent="0.35">
      <c r="A29" s="21">
        <v>44848</v>
      </c>
      <c r="B29" s="6">
        <v>9155</v>
      </c>
      <c r="C29" s="15">
        <v>600</v>
      </c>
    </row>
    <row r="30" spans="1:7" x14ac:dyDescent="0.35">
      <c r="A30" s="21">
        <v>44862</v>
      </c>
      <c r="B30" s="1">
        <v>9156</v>
      </c>
      <c r="C30" s="15">
        <v>600</v>
      </c>
    </row>
    <row r="31" spans="1:7" x14ac:dyDescent="0.35">
      <c r="A31" s="21">
        <v>44876</v>
      </c>
      <c r="B31" s="1">
        <v>9168</v>
      </c>
      <c r="C31" s="15">
        <v>960</v>
      </c>
    </row>
    <row r="32" spans="1:7" x14ac:dyDescent="0.35">
      <c r="A32" s="21">
        <v>44890</v>
      </c>
      <c r="B32" s="1">
        <v>9169</v>
      </c>
      <c r="C32" s="15">
        <v>960</v>
      </c>
    </row>
    <row r="33" spans="1:3" x14ac:dyDescent="0.35">
      <c r="A33" s="21">
        <v>44904</v>
      </c>
      <c r="B33" s="1">
        <v>9179</v>
      </c>
      <c r="C33" s="15">
        <v>960</v>
      </c>
    </row>
    <row r="34" spans="1:3" x14ac:dyDescent="0.35">
      <c r="A34" s="21">
        <v>44918</v>
      </c>
      <c r="B34" s="1">
        <v>9180</v>
      </c>
      <c r="C34" s="15">
        <v>960</v>
      </c>
    </row>
    <row r="35" spans="1:3" x14ac:dyDescent="0.35">
      <c r="A35" s="12" t="s">
        <v>50</v>
      </c>
      <c r="B35" s="1"/>
      <c r="C35" s="22">
        <f>SUM(C14:C34)</f>
        <v>11640</v>
      </c>
    </row>
    <row r="37" spans="1:3" x14ac:dyDescent="0.35">
      <c r="A37" s="23" t="s">
        <v>51</v>
      </c>
      <c r="B37" s="24" t="s">
        <v>52</v>
      </c>
      <c r="C37" s="24">
        <v>4000</v>
      </c>
    </row>
    <row r="38" spans="1:3" x14ac:dyDescent="0.35">
      <c r="A38" s="23" t="s">
        <v>53</v>
      </c>
      <c r="B38" s="24" t="s">
        <v>52</v>
      </c>
      <c r="C38" s="24">
        <v>735</v>
      </c>
    </row>
    <row r="39" spans="1:3" x14ac:dyDescent="0.35">
      <c r="A39" s="23" t="s">
        <v>54</v>
      </c>
      <c r="B39" s="24" t="s">
        <v>52</v>
      </c>
      <c r="C39" s="24">
        <v>3000</v>
      </c>
    </row>
    <row r="40" spans="1:3" x14ac:dyDescent="0.35">
      <c r="A40" s="25" t="s">
        <v>55</v>
      </c>
      <c r="B40" s="3"/>
      <c r="C40" s="3">
        <f>C37+C38+C39</f>
        <v>7735</v>
      </c>
    </row>
    <row r="41" spans="1:3" x14ac:dyDescent="0.35">
      <c r="A41" s="25" t="s">
        <v>56</v>
      </c>
      <c r="B41" s="3"/>
      <c r="C41" s="26">
        <f>C40+C35</f>
        <v>19375</v>
      </c>
    </row>
    <row r="42" spans="1:3" x14ac:dyDescent="0.35">
      <c r="A42" s="25" t="s">
        <v>57</v>
      </c>
      <c r="B42" s="3"/>
      <c r="C42" s="26">
        <f>B9-C41</f>
        <v>9498.75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24"/>
  <sheetViews>
    <sheetView workbookViewId="0">
      <selection activeCell="J30" sqref="J30"/>
    </sheetView>
  </sheetViews>
  <sheetFormatPr defaultRowHeight="14.5" x14ac:dyDescent="0.35"/>
  <cols>
    <col min="1" max="1" width="9.7265625" bestFit="1" customWidth="1"/>
    <col min="2" max="2" width="49.81640625" customWidth="1"/>
    <col min="3" max="3" width="17.1796875" customWidth="1"/>
  </cols>
  <sheetData>
    <row r="2" spans="1:16" x14ac:dyDescent="0.35">
      <c r="D2" t="s">
        <v>34</v>
      </c>
    </row>
    <row r="3" spans="1:16" x14ac:dyDescent="0.35">
      <c r="B3" t="s">
        <v>0</v>
      </c>
    </row>
    <row r="4" spans="1:16" x14ac:dyDescent="0.35">
      <c r="B4" s="1"/>
      <c r="C4" s="1" t="s">
        <v>13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29</v>
      </c>
      <c r="M4" s="1" t="s">
        <v>30</v>
      </c>
      <c r="P4" t="s">
        <v>0</v>
      </c>
    </row>
    <row r="5" spans="1:16" x14ac:dyDescent="0.35">
      <c r="B5" s="1" t="s">
        <v>9</v>
      </c>
      <c r="C5" s="1"/>
      <c r="D5" s="1">
        <v>20</v>
      </c>
      <c r="E5" s="1">
        <v>31</v>
      </c>
      <c r="F5" s="1">
        <v>31</v>
      </c>
      <c r="G5" s="1">
        <v>28</v>
      </c>
      <c r="H5" s="1">
        <v>31</v>
      </c>
      <c r="I5" s="1">
        <v>25</v>
      </c>
      <c r="J5" s="1">
        <v>26</v>
      </c>
      <c r="K5" s="1">
        <v>22</v>
      </c>
      <c r="L5" s="1">
        <v>19</v>
      </c>
      <c r="M5" s="1">
        <v>10</v>
      </c>
    </row>
    <row r="6" spans="1:16" x14ac:dyDescent="0.35">
      <c r="B6" s="1" t="s">
        <v>10</v>
      </c>
      <c r="C6" s="1"/>
      <c r="D6" s="1">
        <f>D5*9</f>
        <v>180</v>
      </c>
      <c r="E6" s="1">
        <f t="shared" ref="E6:K6" si="0">E5*9</f>
        <v>279</v>
      </c>
      <c r="F6" s="1">
        <f t="shared" si="0"/>
        <v>279</v>
      </c>
      <c r="G6" s="1">
        <f t="shared" si="0"/>
        <v>252</v>
      </c>
      <c r="H6" s="1">
        <f t="shared" si="0"/>
        <v>279</v>
      </c>
      <c r="I6" s="1">
        <f t="shared" si="0"/>
        <v>225</v>
      </c>
      <c r="J6" s="1">
        <f t="shared" si="0"/>
        <v>234</v>
      </c>
      <c r="K6" s="1">
        <f t="shared" si="0"/>
        <v>198</v>
      </c>
      <c r="L6" s="1">
        <f>L5*9</f>
        <v>171</v>
      </c>
      <c r="M6" s="1">
        <f t="shared" ref="M6" si="1">M5*9</f>
        <v>90</v>
      </c>
    </row>
    <row r="7" spans="1:16" x14ac:dyDescent="0.35">
      <c r="B7" s="1" t="s">
        <v>11</v>
      </c>
      <c r="C7" s="1"/>
      <c r="D7" s="1">
        <v>10</v>
      </c>
      <c r="E7" s="1">
        <v>10</v>
      </c>
      <c r="F7" s="1">
        <v>10</v>
      </c>
      <c r="G7" s="1">
        <v>10</v>
      </c>
      <c r="H7" s="1">
        <v>10</v>
      </c>
      <c r="I7" s="1">
        <v>12.5</v>
      </c>
      <c r="J7" s="1">
        <v>12.5</v>
      </c>
      <c r="K7" s="1">
        <v>12.5</v>
      </c>
      <c r="L7" s="1">
        <v>12.5</v>
      </c>
      <c r="M7" s="1">
        <v>12.5</v>
      </c>
    </row>
    <row r="8" spans="1:16" x14ac:dyDescent="0.35">
      <c r="B8" s="1" t="s">
        <v>12</v>
      </c>
      <c r="C8" s="6">
        <f>SUM(D8:M8)</f>
        <v>24165</v>
      </c>
      <c r="D8" s="1">
        <f t="shared" ref="D8:K8" si="2">D6*D7</f>
        <v>1800</v>
      </c>
      <c r="E8" s="1">
        <f t="shared" si="2"/>
        <v>2790</v>
      </c>
      <c r="F8" s="1">
        <f t="shared" si="2"/>
        <v>2790</v>
      </c>
      <c r="G8" s="1">
        <f t="shared" si="2"/>
        <v>2520</v>
      </c>
      <c r="H8" s="1">
        <f t="shared" si="2"/>
        <v>2790</v>
      </c>
      <c r="I8" s="1">
        <f t="shared" si="2"/>
        <v>2812.5</v>
      </c>
      <c r="J8" s="1">
        <f t="shared" si="2"/>
        <v>2925</v>
      </c>
      <c r="K8" s="1">
        <f t="shared" si="2"/>
        <v>2475</v>
      </c>
      <c r="L8" s="1">
        <f t="shared" ref="L8" si="3">L6*L7</f>
        <v>2137.5</v>
      </c>
      <c r="M8" s="1">
        <f t="shared" ref="M8" si="4">M6*M7</f>
        <v>1125</v>
      </c>
    </row>
    <row r="10" spans="1:16" x14ac:dyDescent="0.35">
      <c r="B10" t="s">
        <v>28</v>
      </c>
      <c r="C10" s="8">
        <f>C8-C14</f>
        <v>195</v>
      </c>
    </row>
    <row r="12" spans="1:16" ht="16" customHeight="1" x14ac:dyDescent="0.35">
      <c r="B12" t="s">
        <v>14</v>
      </c>
      <c r="P12">
        <v>500</v>
      </c>
    </row>
    <row r="13" spans="1:16" ht="16" customHeight="1" x14ac:dyDescent="0.35">
      <c r="A13" s="3" t="s">
        <v>15</v>
      </c>
      <c r="B13" s="3" t="s">
        <v>16</v>
      </c>
      <c r="C13" s="3" t="s">
        <v>17</v>
      </c>
      <c r="P13">
        <v>700</v>
      </c>
    </row>
    <row r="14" spans="1:16" ht="16" customHeight="1" x14ac:dyDescent="0.35">
      <c r="B14" s="3" t="s">
        <v>22</v>
      </c>
      <c r="C14" s="7">
        <f>SUM(C15:C37)</f>
        <v>23970</v>
      </c>
      <c r="P14">
        <v>2000</v>
      </c>
    </row>
    <row r="15" spans="1:16" ht="16" customHeight="1" x14ac:dyDescent="0.35">
      <c r="A15" s="2">
        <v>44553</v>
      </c>
      <c r="B15" t="s">
        <v>18</v>
      </c>
      <c r="C15">
        <v>500</v>
      </c>
      <c r="P15">
        <v>2000</v>
      </c>
    </row>
    <row r="16" spans="1:16" ht="16" customHeight="1" x14ac:dyDescent="0.35">
      <c r="A16" s="2"/>
      <c r="B16" t="s">
        <v>27</v>
      </c>
      <c r="C16">
        <v>-450</v>
      </c>
      <c r="P16">
        <v>5220</v>
      </c>
    </row>
    <row r="17" spans="1:16" ht="16" customHeight="1" x14ac:dyDescent="0.35">
      <c r="A17" s="2">
        <v>44637</v>
      </c>
      <c r="B17" t="s">
        <v>18</v>
      </c>
      <c r="C17">
        <v>2000</v>
      </c>
      <c r="P17">
        <v>200</v>
      </c>
    </row>
    <row r="18" spans="1:16" ht="16" customHeight="1" x14ac:dyDescent="0.35">
      <c r="A18" s="2">
        <v>44598</v>
      </c>
      <c r="B18" s="4" t="s">
        <v>19</v>
      </c>
      <c r="C18">
        <v>700</v>
      </c>
      <c r="P18">
        <v>900</v>
      </c>
    </row>
    <row r="19" spans="1:16" ht="16" customHeight="1" x14ac:dyDescent="0.35">
      <c r="P19">
        <v>2000</v>
      </c>
    </row>
    <row r="20" spans="1:16" ht="16" customHeight="1" x14ac:dyDescent="0.35">
      <c r="A20" s="2">
        <v>44651</v>
      </c>
      <c r="B20" s="4" t="s">
        <v>20</v>
      </c>
      <c r="C20">
        <v>2000</v>
      </c>
      <c r="P20">
        <v>395.84</v>
      </c>
    </row>
    <row r="21" spans="1:16" ht="16" customHeight="1" x14ac:dyDescent="0.35">
      <c r="A21" s="5">
        <v>44668</v>
      </c>
      <c r="B21" t="s">
        <v>20</v>
      </c>
      <c r="C21">
        <v>5220</v>
      </c>
      <c r="P21">
        <v>395.84</v>
      </c>
    </row>
    <row r="22" spans="1:16" ht="16" customHeight="1" x14ac:dyDescent="0.35">
      <c r="A22" s="2">
        <v>44689</v>
      </c>
      <c r="B22" s="4" t="s">
        <v>21</v>
      </c>
      <c r="C22">
        <v>2000</v>
      </c>
      <c r="P22">
        <v>395.84</v>
      </c>
    </row>
    <row r="23" spans="1:16" ht="16" customHeight="1" x14ac:dyDescent="0.35">
      <c r="A23" s="2">
        <v>44701</v>
      </c>
      <c r="B23" s="4" t="s">
        <v>20</v>
      </c>
      <c r="C23">
        <v>1000</v>
      </c>
      <c r="P23">
        <v>395.84</v>
      </c>
    </row>
    <row r="24" spans="1:16" ht="16" customHeight="1" x14ac:dyDescent="0.35">
      <c r="A24" s="2">
        <v>44692</v>
      </c>
      <c r="B24" s="4" t="s">
        <v>23</v>
      </c>
      <c r="C24">
        <v>500</v>
      </c>
      <c r="F24">
        <v>395.84</v>
      </c>
      <c r="G24">
        <v>62.5</v>
      </c>
      <c r="I24">
        <f>SUM(F24:H24)</f>
        <v>458.34</v>
      </c>
      <c r="L24">
        <f>40*12.5</f>
        <v>500</v>
      </c>
      <c r="P24">
        <v>1000</v>
      </c>
    </row>
    <row r="25" spans="1:16" ht="16" customHeight="1" x14ac:dyDescent="0.35">
      <c r="A25" s="2">
        <v>44692</v>
      </c>
      <c r="B25" s="4" t="s">
        <v>24</v>
      </c>
      <c r="C25">
        <v>500</v>
      </c>
      <c r="F25">
        <v>395.84</v>
      </c>
      <c r="G25">
        <v>62.5</v>
      </c>
      <c r="I25">
        <f>SUM(F25:H25)</f>
        <v>458.34</v>
      </c>
      <c r="P25">
        <v>300</v>
      </c>
    </row>
    <row r="26" spans="1:16" ht="16" customHeight="1" x14ac:dyDescent="0.35">
      <c r="A26" s="2">
        <v>44692</v>
      </c>
      <c r="B26" s="4" t="s">
        <v>25</v>
      </c>
      <c r="C26">
        <v>500</v>
      </c>
      <c r="F26">
        <v>395.84</v>
      </c>
      <c r="G26">
        <v>62.5</v>
      </c>
      <c r="I26">
        <f>SUM(F26:H26)</f>
        <v>458.34</v>
      </c>
      <c r="P26">
        <v>395.84</v>
      </c>
    </row>
    <row r="27" spans="1:16" ht="16" customHeight="1" x14ac:dyDescent="0.35">
      <c r="A27" s="2">
        <v>44692</v>
      </c>
      <c r="B27" s="4" t="s">
        <v>26</v>
      </c>
      <c r="C27">
        <v>500</v>
      </c>
      <c r="F27">
        <v>395.84</v>
      </c>
      <c r="G27">
        <v>62.5</v>
      </c>
      <c r="I27">
        <f>SUM(F27:H27)</f>
        <v>458.34</v>
      </c>
      <c r="P27">
        <v>395.84</v>
      </c>
    </row>
    <row r="28" spans="1:16" x14ac:dyDescent="0.35">
      <c r="A28" s="2">
        <v>44741</v>
      </c>
      <c r="C28">
        <v>500</v>
      </c>
      <c r="F28">
        <v>395.84</v>
      </c>
      <c r="G28">
        <v>108</v>
      </c>
      <c r="I28">
        <f>SUM(F28:H28)</f>
        <v>503.84</v>
      </c>
      <c r="P28">
        <v>100</v>
      </c>
    </row>
    <row r="29" spans="1:16" x14ac:dyDescent="0.35">
      <c r="A29" s="2">
        <v>44741</v>
      </c>
      <c r="C29">
        <v>500</v>
      </c>
      <c r="F29">
        <v>395.84</v>
      </c>
      <c r="P29">
        <v>496.21</v>
      </c>
    </row>
    <row r="30" spans="1:16" ht="18" customHeight="1" x14ac:dyDescent="0.35">
      <c r="A30" s="2">
        <v>44755</v>
      </c>
      <c r="B30" s="4" t="s">
        <v>33</v>
      </c>
      <c r="C30">
        <v>5000</v>
      </c>
      <c r="P30">
        <v>5000</v>
      </c>
    </row>
    <row r="31" spans="1:16" x14ac:dyDescent="0.35">
      <c r="A31" s="2">
        <v>44756</v>
      </c>
      <c r="C31">
        <v>500</v>
      </c>
      <c r="F31">
        <v>395.48</v>
      </c>
      <c r="P31">
        <v>791.67</v>
      </c>
    </row>
    <row r="32" spans="1:16" x14ac:dyDescent="0.35">
      <c r="A32" s="2">
        <v>44756</v>
      </c>
      <c r="C32">
        <v>500</v>
      </c>
      <c r="F32">
        <v>395.48</v>
      </c>
      <c r="P32">
        <v>791.67</v>
      </c>
    </row>
    <row r="33" spans="1:16" x14ac:dyDescent="0.35">
      <c r="A33" s="2">
        <v>44783</v>
      </c>
      <c r="B33" t="s">
        <v>31</v>
      </c>
      <c r="C33">
        <v>1000</v>
      </c>
      <c r="F33">
        <v>799.01</v>
      </c>
      <c r="P33">
        <v>496.21</v>
      </c>
    </row>
    <row r="34" spans="1:16" x14ac:dyDescent="0.35">
      <c r="A34" s="2">
        <v>44783</v>
      </c>
      <c r="B34" t="s">
        <v>32</v>
      </c>
      <c r="C34">
        <v>1000</v>
      </c>
      <c r="F34">
        <v>799.01</v>
      </c>
      <c r="P34">
        <v>799.01</v>
      </c>
    </row>
    <row r="35" spans="1:16" x14ac:dyDescent="0.35">
      <c r="P35">
        <v>799.01</v>
      </c>
    </row>
    <row r="124" spans="16:16" x14ac:dyDescent="0.35">
      <c r="P124" s="9">
        <f>SUM(P6:P123)</f>
        <v>26468.819999999992</v>
      </c>
    </row>
  </sheetData>
  <pageMargins left="0.25" right="0.25" top="0.75" bottom="0.75" header="0.3" footer="0.3"/>
  <pageSetup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A70C-3431-4C0B-85E6-92EBD1C0AE9B}">
  <dimension ref="A2:U123"/>
  <sheetViews>
    <sheetView workbookViewId="0">
      <selection activeCell="E27" sqref="E27"/>
    </sheetView>
  </sheetViews>
  <sheetFormatPr defaultRowHeight="14.5" x14ac:dyDescent="0.35"/>
  <cols>
    <col min="1" max="1" width="9.7265625" bestFit="1" customWidth="1"/>
    <col min="2" max="2" width="49.81640625" customWidth="1"/>
    <col min="3" max="3" width="14.1796875" customWidth="1"/>
    <col min="4" max="4" width="17.1796875" customWidth="1"/>
  </cols>
  <sheetData>
    <row r="2" spans="1:21" x14ac:dyDescent="0.35">
      <c r="E2" t="s">
        <v>36</v>
      </c>
    </row>
    <row r="3" spans="1:21" x14ac:dyDescent="0.35">
      <c r="B3" t="s">
        <v>0</v>
      </c>
    </row>
    <row r="4" spans="1:21" x14ac:dyDescent="0.35">
      <c r="B4" s="1"/>
      <c r="C4" s="1"/>
      <c r="D4" s="1" t="s">
        <v>13</v>
      </c>
      <c r="E4" s="10">
        <v>44890</v>
      </c>
      <c r="F4" s="10">
        <v>44891</v>
      </c>
      <c r="G4" s="10">
        <v>44892</v>
      </c>
      <c r="H4" s="10">
        <v>44893</v>
      </c>
      <c r="I4" s="10">
        <v>44894</v>
      </c>
      <c r="J4" s="10">
        <v>44895</v>
      </c>
      <c r="K4" s="10">
        <v>44896</v>
      </c>
      <c r="L4" s="10">
        <v>44897</v>
      </c>
      <c r="M4" s="10">
        <v>44898</v>
      </c>
      <c r="N4" s="10">
        <v>44899</v>
      </c>
      <c r="O4" s="10">
        <v>44900</v>
      </c>
      <c r="P4" s="10">
        <v>44901</v>
      </c>
      <c r="Q4" s="10">
        <v>44902</v>
      </c>
      <c r="R4" s="10">
        <v>44903</v>
      </c>
      <c r="S4" s="10">
        <v>44904</v>
      </c>
      <c r="T4" s="10">
        <v>44905</v>
      </c>
      <c r="U4" s="10">
        <v>44906</v>
      </c>
    </row>
    <row r="5" spans="1:21" x14ac:dyDescent="0.35">
      <c r="B5" s="1" t="s">
        <v>10</v>
      </c>
      <c r="C5" s="1">
        <v>145.91</v>
      </c>
      <c r="D5" s="1">
        <f>SUM(E5:U5)</f>
        <v>137.32000000000002</v>
      </c>
      <c r="E5" s="1">
        <v>10</v>
      </c>
      <c r="F5" s="1">
        <v>10</v>
      </c>
      <c r="G5" s="1">
        <v>9.57</v>
      </c>
      <c r="H5" s="1">
        <v>10.39</v>
      </c>
      <c r="I5" s="1">
        <v>11.07</v>
      </c>
      <c r="J5" s="1">
        <v>10.39</v>
      </c>
      <c r="K5" s="1"/>
      <c r="L5" s="1">
        <f>4.32+5.3</f>
        <v>9.620000000000001</v>
      </c>
      <c r="M5" s="1">
        <v>10.039999999999999</v>
      </c>
      <c r="N5" s="1">
        <v>10.38</v>
      </c>
      <c r="O5" s="1"/>
      <c r="P5" s="1"/>
      <c r="Q5" s="1">
        <f>5.08+4.23</f>
        <v>9.31</v>
      </c>
      <c r="R5" s="1">
        <v>10.16</v>
      </c>
      <c r="S5" s="1">
        <f>5.16+4.55</f>
        <v>9.7100000000000009</v>
      </c>
      <c r="T5">
        <v>7.09</v>
      </c>
      <c r="U5">
        <v>9.59</v>
      </c>
    </row>
    <row r="6" spans="1:21" x14ac:dyDescent="0.35">
      <c r="B6" s="1" t="s">
        <v>11</v>
      </c>
      <c r="C6" s="1">
        <v>14</v>
      </c>
      <c r="D6" s="1"/>
      <c r="E6" s="1">
        <v>14</v>
      </c>
      <c r="F6" s="1">
        <v>14</v>
      </c>
      <c r="G6" s="1">
        <v>14</v>
      </c>
      <c r="H6" s="1">
        <v>14</v>
      </c>
      <c r="I6" s="1">
        <v>14</v>
      </c>
      <c r="J6" s="1">
        <v>14</v>
      </c>
      <c r="K6" s="1">
        <v>14</v>
      </c>
      <c r="L6" s="1">
        <v>14</v>
      </c>
      <c r="M6" s="1">
        <v>14</v>
      </c>
      <c r="N6" s="1">
        <v>14</v>
      </c>
      <c r="O6" s="1">
        <v>14</v>
      </c>
      <c r="P6" s="1">
        <v>14</v>
      </c>
      <c r="Q6" s="1">
        <v>14</v>
      </c>
      <c r="R6" s="1">
        <v>14</v>
      </c>
      <c r="S6" s="1">
        <v>14</v>
      </c>
      <c r="T6" s="1">
        <v>14</v>
      </c>
      <c r="U6" s="1">
        <v>14</v>
      </c>
    </row>
    <row r="7" spans="1:21" x14ac:dyDescent="0.35">
      <c r="B7" s="1" t="s">
        <v>12</v>
      </c>
      <c r="C7" s="1">
        <f>C5*C6</f>
        <v>2042.74</v>
      </c>
      <c r="D7" s="1">
        <f>SUM(E7:U7)</f>
        <v>1922.48</v>
      </c>
      <c r="E7" s="1">
        <f t="shared" ref="E7:N7" si="0">E5*E6</f>
        <v>140</v>
      </c>
      <c r="F7" s="1">
        <f t="shared" si="0"/>
        <v>140</v>
      </c>
      <c r="G7" s="1">
        <f t="shared" si="0"/>
        <v>133.98000000000002</v>
      </c>
      <c r="H7" s="1">
        <f t="shared" si="0"/>
        <v>145.46</v>
      </c>
      <c r="I7" s="1">
        <f t="shared" si="0"/>
        <v>154.98000000000002</v>
      </c>
      <c r="J7" s="1">
        <f t="shared" si="0"/>
        <v>145.46</v>
      </c>
      <c r="K7" s="1">
        <f t="shared" si="0"/>
        <v>0</v>
      </c>
      <c r="L7" s="1">
        <f t="shared" si="0"/>
        <v>134.68</v>
      </c>
      <c r="M7" s="1">
        <f t="shared" si="0"/>
        <v>140.56</v>
      </c>
      <c r="N7" s="1">
        <f t="shared" si="0"/>
        <v>145.32000000000002</v>
      </c>
      <c r="O7" s="1">
        <f t="shared" ref="O7:U7" si="1">O5*O6</f>
        <v>0</v>
      </c>
      <c r="P7" s="1">
        <f t="shared" si="1"/>
        <v>0</v>
      </c>
      <c r="Q7" s="1">
        <f t="shared" si="1"/>
        <v>130.34</v>
      </c>
      <c r="R7" s="1">
        <f t="shared" si="1"/>
        <v>142.24</v>
      </c>
      <c r="S7" s="1">
        <f t="shared" si="1"/>
        <v>135.94</v>
      </c>
      <c r="T7" s="1">
        <f t="shared" si="1"/>
        <v>99.259999999999991</v>
      </c>
      <c r="U7" s="1">
        <f t="shared" si="1"/>
        <v>134.26</v>
      </c>
    </row>
    <row r="9" spans="1:21" x14ac:dyDescent="0.35">
      <c r="B9" t="s">
        <v>28</v>
      </c>
      <c r="D9" s="8">
        <f>D7-D13</f>
        <v>1922.48</v>
      </c>
      <c r="G9">
        <v>125.91</v>
      </c>
    </row>
    <row r="10" spans="1:21" x14ac:dyDescent="0.35">
      <c r="G10">
        <v>20</v>
      </c>
      <c r="H10">
        <v>20</v>
      </c>
    </row>
    <row r="11" spans="1:21" ht="16" customHeight="1" x14ac:dyDescent="0.35">
      <c r="B11" t="s">
        <v>14</v>
      </c>
    </row>
    <row r="12" spans="1:21" ht="16" customHeight="1" x14ac:dyDescent="0.35">
      <c r="A12" s="3" t="s">
        <v>15</v>
      </c>
      <c r="B12" s="3" t="s">
        <v>16</v>
      </c>
      <c r="C12" s="3"/>
      <c r="D12" s="3" t="s">
        <v>17</v>
      </c>
      <c r="G12">
        <f>SUM(G9:G11)</f>
        <v>145.91</v>
      </c>
      <c r="H12">
        <f>SUM(H9:H11)</f>
        <v>20</v>
      </c>
    </row>
    <row r="13" spans="1:21" ht="16" customHeight="1" x14ac:dyDescent="0.35">
      <c r="B13" s="3" t="s">
        <v>22</v>
      </c>
      <c r="C13" s="3"/>
      <c r="D13" s="7">
        <f>SUM(D14:D36)</f>
        <v>0</v>
      </c>
    </row>
    <row r="14" spans="1:21" ht="16" customHeight="1" x14ac:dyDescent="0.35">
      <c r="A14" s="2">
        <v>44553</v>
      </c>
      <c r="B14" t="s">
        <v>37</v>
      </c>
      <c r="D14">
        <v>0</v>
      </c>
    </row>
    <row r="15" spans="1:21" ht="16" customHeight="1" x14ac:dyDescent="0.35">
      <c r="A15" s="2"/>
    </row>
    <row r="16" spans="1:21" ht="16" customHeight="1" x14ac:dyDescent="0.35">
      <c r="A16" s="2"/>
    </row>
    <row r="17" spans="1:3" ht="16" customHeight="1" x14ac:dyDescent="0.35">
      <c r="A17" s="2"/>
      <c r="B17" s="4"/>
      <c r="C17" s="4"/>
    </row>
    <row r="18" spans="1:3" ht="16" customHeight="1" x14ac:dyDescent="0.35"/>
    <row r="19" spans="1:3" ht="16" customHeight="1" x14ac:dyDescent="0.35">
      <c r="A19" s="2"/>
      <c r="B19" s="4"/>
      <c r="C19" s="4"/>
    </row>
    <row r="20" spans="1:3" ht="16" customHeight="1" x14ac:dyDescent="0.35">
      <c r="A20" s="5"/>
    </row>
    <row r="21" spans="1:3" ht="16" customHeight="1" x14ac:dyDescent="0.35">
      <c r="A21" s="2"/>
      <c r="B21" s="4"/>
      <c r="C21" s="4"/>
    </row>
    <row r="22" spans="1:3" ht="16" customHeight="1" x14ac:dyDescent="0.35">
      <c r="A22" s="2"/>
      <c r="B22" s="4"/>
      <c r="C22" s="4"/>
    </row>
    <row r="23" spans="1:3" ht="16" customHeight="1" x14ac:dyDescent="0.35">
      <c r="A23" s="2"/>
      <c r="B23" s="4"/>
      <c r="C23" s="4"/>
    </row>
    <row r="24" spans="1:3" ht="16" customHeight="1" x14ac:dyDescent="0.35">
      <c r="A24" s="2"/>
      <c r="B24" s="4"/>
      <c r="C24" s="4"/>
    </row>
    <row r="25" spans="1:3" ht="16" customHeight="1" x14ac:dyDescent="0.35">
      <c r="A25" s="2"/>
      <c r="B25" s="4"/>
      <c r="C25" s="4"/>
    </row>
    <row r="26" spans="1:3" ht="16" customHeight="1" x14ac:dyDescent="0.35">
      <c r="A26" s="2"/>
      <c r="B26" s="4"/>
      <c r="C26" s="4"/>
    </row>
    <row r="27" spans="1:3" x14ac:dyDescent="0.35">
      <c r="A27" s="2"/>
    </row>
    <row r="28" spans="1:3" x14ac:dyDescent="0.35">
      <c r="A28" s="2"/>
    </row>
    <row r="29" spans="1:3" ht="18" customHeight="1" x14ac:dyDescent="0.35">
      <c r="A29" s="2"/>
      <c r="B29" s="4"/>
      <c r="C29" s="4"/>
    </row>
    <row r="30" spans="1:3" x14ac:dyDescent="0.35">
      <c r="A30" s="2"/>
    </row>
    <row r="31" spans="1:3" x14ac:dyDescent="0.35">
      <c r="A31" s="2"/>
    </row>
    <row r="32" spans="1:3" x14ac:dyDescent="0.35">
      <c r="A32" s="2"/>
    </row>
    <row r="33" spans="1:1" x14ac:dyDescent="0.35">
      <c r="A33" s="2"/>
    </row>
    <row r="123" spans="17:17" x14ac:dyDescent="0.35">
      <c r="Q123" s="9">
        <f>SUM(Q5:Q122)</f>
        <v>153.65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CF3C-6261-4DE9-981C-55179DCA2528}">
  <dimension ref="B3:U218"/>
  <sheetViews>
    <sheetView tabSelected="1" topLeftCell="A81" workbookViewId="0">
      <selection activeCell="J96" sqref="J96"/>
    </sheetView>
  </sheetViews>
  <sheetFormatPr defaultRowHeight="14.5" x14ac:dyDescent="0.35"/>
  <cols>
    <col min="1" max="1" width="2.54296875" customWidth="1"/>
    <col min="2" max="2" width="8.54296875" customWidth="1"/>
    <col min="3" max="3" width="22.81640625" style="11" customWidth="1"/>
    <col min="4" max="4" width="31.54296875" customWidth="1"/>
    <col min="5" max="5" width="14.1796875" customWidth="1"/>
    <col min="6" max="6" width="11.36328125" style="40" customWidth="1"/>
    <col min="7" max="16" width="11.36328125" customWidth="1"/>
    <col min="17" max="17" width="10.1796875" customWidth="1"/>
  </cols>
  <sheetData>
    <row r="3" spans="3:21" x14ac:dyDescent="0.35">
      <c r="D3" s="3" t="s">
        <v>83</v>
      </c>
    </row>
    <row r="6" spans="3:21" x14ac:dyDescent="0.35">
      <c r="C6" s="36" t="s">
        <v>73</v>
      </c>
    </row>
    <row r="8" spans="3:21" x14ac:dyDescent="0.35">
      <c r="C8" s="12" t="s">
        <v>265</v>
      </c>
      <c r="D8" s="1" t="s">
        <v>13</v>
      </c>
      <c r="E8" s="1" t="s">
        <v>2</v>
      </c>
      <c r="F8" s="57" t="s">
        <v>3</v>
      </c>
      <c r="G8" s="1" t="s">
        <v>3</v>
      </c>
      <c r="H8" s="1" t="s">
        <v>4</v>
      </c>
      <c r="I8" s="1" t="s">
        <v>5</v>
      </c>
      <c r="J8" s="1"/>
      <c r="K8" s="1" t="s">
        <v>6</v>
      </c>
      <c r="L8" s="1" t="s">
        <v>7</v>
      </c>
      <c r="M8" s="1" t="s">
        <v>7</v>
      </c>
      <c r="N8" s="1" t="s">
        <v>8</v>
      </c>
      <c r="O8" s="1" t="s">
        <v>29</v>
      </c>
      <c r="P8" s="1" t="s">
        <v>90</v>
      </c>
      <c r="Q8" s="1" t="s">
        <v>91</v>
      </c>
      <c r="R8" s="1" t="s">
        <v>46</v>
      </c>
      <c r="S8" s="45" t="s">
        <v>47</v>
      </c>
      <c r="T8" s="45" t="s">
        <v>145</v>
      </c>
      <c r="U8" s="45" t="s">
        <v>2</v>
      </c>
    </row>
    <row r="9" spans="3:21" x14ac:dyDescent="0.35">
      <c r="C9" s="12" t="s">
        <v>10</v>
      </c>
      <c r="D9" s="1"/>
      <c r="E9" s="1">
        <v>115.45</v>
      </c>
      <c r="F9" s="57">
        <v>128.91</v>
      </c>
      <c r="G9" s="1">
        <v>34.119999999999997</v>
      </c>
      <c r="H9" s="1">
        <v>215.84</v>
      </c>
      <c r="I9" s="1">
        <v>249.81</v>
      </c>
      <c r="J9" s="1"/>
      <c r="K9" s="1">
        <v>234.91</v>
      </c>
      <c r="L9" s="1">
        <v>165</v>
      </c>
      <c r="M9" s="1">
        <f>(207.25-L9)-9.5</f>
        <v>32.75</v>
      </c>
      <c r="N9" s="1">
        <v>245.58</v>
      </c>
      <c r="O9" s="43">
        <v>253.3</v>
      </c>
      <c r="P9" s="43">
        <v>99.02</v>
      </c>
      <c r="Q9" s="43">
        <v>127.39</v>
      </c>
      <c r="R9" s="43">
        <v>218.54</v>
      </c>
      <c r="S9" s="46">
        <f>196.16-11</f>
        <v>185.16</v>
      </c>
      <c r="T9">
        <f>151.87-9</f>
        <v>142.87</v>
      </c>
      <c r="U9">
        <f>196.96-10.5</f>
        <v>186.46</v>
      </c>
    </row>
    <row r="10" spans="3:21" x14ac:dyDescent="0.35">
      <c r="C10" s="12" t="s">
        <v>11</v>
      </c>
      <c r="D10" s="1"/>
      <c r="E10" s="1">
        <v>15</v>
      </c>
      <c r="F10" s="57">
        <v>15</v>
      </c>
      <c r="G10" s="1">
        <v>10</v>
      </c>
      <c r="H10" s="1">
        <v>10</v>
      </c>
      <c r="I10" s="1">
        <v>10</v>
      </c>
      <c r="J10" s="1"/>
      <c r="K10" s="1">
        <v>10</v>
      </c>
      <c r="L10" s="1">
        <v>10</v>
      </c>
      <c r="M10" s="1">
        <v>10</v>
      </c>
      <c r="N10" s="1">
        <v>10</v>
      </c>
      <c r="O10" s="1">
        <v>10</v>
      </c>
      <c r="P10" s="1">
        <v>10</v>
      </c>
      <c r="Q10" s="1">
        <v>13</v>
      </c>
      <c r="R10" s="1">
        <v>13</v>
      </c>
      <c r="S10" s="45">
        <v>13</v>
      </c>
      <c r="T10" s="45">
        <v>13</v>
      </c>
      <c r="U10" s="45">
        <v>13</v>
      </c>
    </row>
    <row r="11" spans="3:21" x14ac:dyDescent="0.35">
      <c r="C11" s="12" t="s">
        <v>264</v>
      </c>
      <c r="D11" s="6">
        <f>SUM(E11:U11)</f>
        <v>30154.160000000003</v>
      </c>
      <c r="E11" s="1">
        <f t="shared" ref="E11:S11" si="0">E9*E10</f>
        <v>1731.75</v>
      </c>
      <c r="F11" s="57">
        <f t="shared" si="0"/>
        <v>1933.6499999999999</v>
      </c>
      <c r="G11" s="1">
        <f t="shared" si="0"/>
        <v>341.2</v>
      </c>
      <c r="H11" s="1">
        <f t="shared" si="0"/>
        <v>2158.4</v>
      </c>
      <c r="I11" s="1">
        <f t="shared" si="0"/>
        <v>2498.1</v>
      </c>
      <c r="J11" s="1"/>
      <c r="K11" s="1">
        <f t="shared" si="0"/>
        <v>2349.1</v>
      </c>
      <c r="L11" s="1">
        <f t="shared" si="0"/>
        <v>1650</v>
      </c>
      <c r="M11" s="42">
        <f t="shared" si="0"/>
        <v>327.5</v>
      </c>
      <c r="N11" s="42">
        <f t="shared" si="0"/>
        <v>2455.8000000000002</v>
      </c>
      <c r="O11" s="42">
        <f t="shared" si="0"/>
        <v>2533</v>
      </c>
      <c r="P11" s="42">
        <f t="shared" si="0"/>
        <v>990.19999999999993</v>
      </c>
      <c r="Q11" s="42">
        <f t="shared" si="0"/>
        <v>1656.07</v>
      </c>
      <c r="R11" s="42">
        <f t="shared" si="0"/>
        <v>2841.02</v>
      </c>
      <c r="S11" s="42">
        <f t="shared" si="0"/>
        <v>2407.08</v>
      </c>
      <c r="T11" s="54">
        <f>T9*T10</f>
        <v>1857.31</v>
      </c>
      <c r="U11" s="54">
        <f>U9*U10</f>
        <v>2423.98</v>
      </c>
    </row>
    <row r="12" spans="3:21" x14ac:dyDescent="0.35">
      <c r="F12" s="81"/>
    </row>
    <row r="13" spans="3:21" x14ac:dyDescent="0.35">
      <c r="C13" s="12"/>
      <c r="D13" s="1" t="s">
        <v>13</v>
      </c>
      <c r="E13" s="1" t="s">
        <v>2</v>
      </c>
      <c r="F13" s="57" t="s">
        <v>3</v>
      </c>
      <c r="G13" s="1" t="s">
        <v>3</v>
      </c>
      <c r="H13" s="1" t="s">
        <v>4</v>
      </c>
      <c r="I13" s="1" t="s">
        <v>5</v>
      </c>
      <c r="J13" s="1"/>
      <c r="K13" s="1" t="s">
        <v>6</v>
      </c>
      <c r="L13" s="1" t="s">
        <v>7</v>
      </c>
      <c r="M13" s="1" t="s">
        <v>7</v>
      </c>
      <c r="N13" s="1" t="s">
        <v>8</v>
      </c>
      <c r="O13" s="1" t="s">
        <v>29</v>
      </c>
      <c r="P13" s="1" t="s">
        <v>90</v>
      </c>
      <c r="Q13" s="1" t="s">
        <v>91</v>
      </c>
      <c r="R13" s="1" t="s">
        <v>46</v>
      </c>
      <c r="S13" s="45" t="s">
        <v>47</v>
      </c>
      <c r="T13" s="45" t="s">
        <v>145</v>
      </c>
      <c r="U13" s="45" t="s">
        <v>2</v>
      </c>
    </row>
    <row r="14" spans="3:21" x14ac:dyDescent="0.35">
      <c r="C14" s="12" t="s">
        <v>10</v>
      </c>
      <c r="D14" s="1"/>
      <c r="E14" s="1"/>
      <c r="F14" s="82"/>
      <c r="G14" s="1"/>
      <c r="H14" s="1"/>
      <c r="I14" s="1"/>
      <c r="J14" s="1"/>
      <c r="K14" s="1"/>
      <c r="L14" s="1"/>
      <c r="M14" s="1"/>
      <c r="N14" s="1">
        <f>195.38-10.5</f>
        <v>184.88</v>
      </c>
      <c r="O14" s="1">
        <f>225.46-10</f>
        <v>215.46</v>
      </c>
      <c r="P14" s="1"/>
      <c r="Q14" s="1"/>
      <c r="R14" s="1"/>
    </row>
    <row r="15" spans="3:21" x14ac:dyDescent="0.35">
      <c r="C15" s="12" t="s">
        <v>11</v>
      </c>
      <c r="D15" s="1"/>
      <c r="E15" s="1"/>
      <c r="F15" s="8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45"/>
      <c r="T15" s="45"/>
      <c r="U15" s="45"/>
    </row>
    <row r="16" spans="3:21" x14ac:dyDescent="0.35">
      <c r="C16" s="12" t="s">
        <v>12</v>
      </c>
      <c r="D16" s="6">
        <f>SUM(E16:U16)</f>
        <v>0</v>
      </c>
      <c r="E16" s="1"/>
      <c r="F16" s="8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45"/>
      <c r="U16" s="45"/>
    </row>
    <row r="17" spans="2:20" x14ac:dyDescent="0.35">
      <c r="F17" s="81"/>
    </row>
    <row r="18" spans="2:20" x14ac:dyDescent="0.35">
      <c r="C18" s="12" t="s">
        <v>263</v>
      </c>
      <c r="F18" s="83">
        <v>45292</v>
      </c>
      <c r="G18" s="61">
        <v>45323</v>
      </c>
      <c r="H18" s="60">
        <v>45352</v>
      </c>
      <c r="I18" s="60">
        <v>45383</v>
      </c>
      <c r="J18" s="60" t="s">
        <v>180</v>
      </c>
      <c r="K18" s="60" t="s">
        <v>181</v>
      </c>
      <c r="L18" s="60" t="s">
        <v>179</v>
      </c>
      <c r="M18" s="1" t="s">
        <v>243</v>
      </c>
      <c r="N18" s="1" t="s">
        <v>244</v>
      </c>
      <c r="O18" s="1" t="s">
        <v>256</v>
      </c>
      <c r="P18" s="1" t="s">
        <v>257</v>
      </c>
      <c r="Q18" s="45" t="s">
        <v>282</v>
      </c>
      <c r="R18" s="45" t="s">
        <v>283</v>
      </c>
      <c r="S18" s="45" t="s">
        <v>285</v>
      </c>
      <c r="T18" s="45" t="s">
        <v>284</v>
      </c>
    </row>
    <row r="19" spans="2:20" x14ac:dyDescent="0.35">
      <c r="C19" s="12" t="s">
        <v>10</v>
      </c>
      <c r="F19" s="82">
        <f>186.28-9.5</f>
        <v>176.78</v>
      </c>
      <c r="G19">
        <f>158.19-7.5</f>
        <v>150.69</v>
      </c>
      <c r="H19" s="1">
        <f>198-9.5</f>
        <v>188.5</v>
      </c>
      <c r="I19" s="1">
        <f>92.45-4</f>
        <v>88.45</v>
      </c>
      <c r="J19" s="1">
        <f>77.43-3.5</f>
        <v>73.930000000000007</v>
      </c>
      <c r="K19" s="1">
        <f>168-8</f>
        <v>160</v>
      </c>
      <c r="L19" s="1">
        <f>29-2.5</f>
        <v>26.5</v>
      </c>
      <c r="M19" s="1">
        <v>160</v>
      </c>
      <c r="N19" s="1">
        <f>184.38-160</f>
        <v>24.379999999999995</v>
      </c>
      <c r="O19" s="1">
        <v>160</v>
      </c>
      <c r="P19" s="1">
        <f>215-160</f>
        <v>55</v>
      </c>
      <c r="Q19">
        <v>160</v>
      </c>
      <c r="R19">
        <f>227.2-160</f>
        <v>67.199999999999989</v>
      </c>
      <c r="S19">
        <v>160</v>
      </c>
      <c r="T19">
        <f>238.91-160</f>
        <v>78.91</v>
      </c>
    </row>
    <row r="20" spans="2:20" x14ac:dyDescent="0.35">
      <c r="C20" s="12" t="s">
        <v>11</v>
      </c>
      <c r="F20" s="82">
        <v>15</v>
      </c>
      <c r="G20">
        <v>15</v>
      </c>
      <c r="H20" s="1">
        <v>15</v>
      </c>
      <c r="I20" s="1">
        <v>15</v>
      </c>
      <c r="J20" s="1">
        <v>16</v>
      </c>
      <c r="K20" s="1">
        <v>16</v>
      </c>
      <c r="L20" s="1">
        <v>14</v>
      </c>
      <c r="M20" s="1">
        <v>16</v>
      </c>
      <c r="N20" s="1">
        <v>14</v>
      </c>
      <c r="O20" s="1">
        <v>16</v>
      </c>
      <c r="P20" s="1">
        <v>14</v>
      </c>
      <c r="Q20" s="45">
        <v>16</v>
      </c>
      <c r="R20" s="45">
        <v>14</v>
      </c>
      <c r="S20" s="45">
        <v>16</v>
      </c>
      <c r="T20" s="45">
        <v>14</v>
      </c>
    </row>
    <row r="21" spans="2:20" x14ac:dyDescent="0.35">
      <c r="C21" s="12"/>
      <c r="D21">
        <f>SUM(F21:U21)</f>
        <v>26577.040000000001</v>
      </c>
      <c r="F21" s="82">
        <f t="shared" ref="F21:L21" si="1">F19*F20</f>
        <v>2651.7</v>
      </c>
      <c r="G21">
        <f t="shared" si="1"/>
        <v>2260.35</v>
      </c>
      <c r="H21" s="1">
        <f t="shared" si="1"/>
        <v>2827.5</v>
      </c>
      <c r="I21" s="1">
        <f t="shared" si="1"/>
        <v>1326.75</v>
      </c>
      <c r="J21" s="1">
        <f t="shared" si="1"/>
        <v>1182.8800000000001</v>
      </c>
      <c r="K21" s="1">
        <f t="shared" si="1"/>
        <v>2560</v>
      </c>
      <c r="L21" s="1">
        <f t="shared" si="1"/>
        <v>371</v>
      </c>
      <c r="M21" s="1">
        <f>M19*M20</f>
        <v>2560</v>
      </c>
      <c r="N21" s="1">
        <f>N19*N20</f>
        <v>341.31999999999994</v>
      </c>
      <c r="O21" s="1">
        <f t="shared" ref="O21:P21" si="2">O19*O20</f>
        <v>2560</v>
      </c>
      <c r="P21" s="1">
        <f t="shared" si="2"/>
        <v>770</v>
      </c>
      <c r="Q21" s="45">
        <f>Q20*Q19</f>
        <v>2560</v>
      </c>
      <c r="R21" s="45">
        <f>R20*R19</f>
        <v>940.79999999999984</v>
      </c>
      <c r="S21" s="45">
        <f t="shared" ref="S21:T21" si="3">S20*S19</f>
        <v>2560</v>
      </c>
      <c r="T21" s="45">
        <f t="shared" si="3"/>
        <v>1104.74</v>
      </c>
    </row>
    <row r="22" spans="2:20" x14ac:dyDescent="0.35">
      <c r="C22" s="12" t="s">
        <v>12</v>
      </c>
      <c r="F22" s="84">
        <f>F21</f>
        <v>2651.7</v>
      </c>
      <c r="G22" s="85">
        <f t="shared" ref="G22:H22" si="4">G21</f>
        <v>2260.35</v>
      </c>
      <c r="H22" s="84">
        <f t="shared" si="4"/>
        <v>2827.5</v>
      </c>
      <c r="I22" s="84">
        <f>I21+J21</f>
        <v>2509.63</v>
      </c>
      <c r="J22" s="84"/>
      <c r="K22" s="84">
        <f>K21+L21</f>
        <v>2931</v>
      </c>
      <c r="L22" s="84"/>
      <c r="M22" s="84">
        <f>M21+N21</f>
        <v>2901.3199999999997</v>
      </c>
      <c r="N22" s="84"/>
      <c r="O22" s="84">
        <f>O21+P21</f>
        <v>3330</v>
      </c>
      <c r="P22" s="84"/>
      <c r="Q22" s="46">
        <f>Q21+R21</f>
        <v>3500.7999999999997</v>
      </c>
      <c r="R22" s="46"/>
      <c r="S22" s="46">
        <f>S21+T21</f>
        <v>3664.74</v>
      </c>
      <c r="T22" s="46"/>
    </row>
    <row r="25" spans="2:20" x14ac:dyDescent="0.35">
      <c r="C25" s="11" t="s">
        <v>174</v>
      </c>
      <c r="D25" s="63">
        <f>D11+D21</f>
        <v>56731.200000000004</v>
      </c>
      <c r="S25">
        <v>250.91</v>
      </c>
    </row>
    <row r="27" spans="2:20" x14ac:dyDescent="0.35">
      <c r="S27">
        <f>S25-12</f>
        <v>238.91</v>
      </c>
    </row>
    <row r="28" spans="2:20" x14ac:dyDescent="0.35">
      <c r="C28"/>
      <c r="D28" t="s">
        <v>14</v>
      </c>
    </row>
    <row r="29" spans="2:20" ht="16" customHeight="1" x14ac:dyDescent="0.35">
      <c r="B29" s="1"/>
      <c r="C29" s="1" t="s">
        <v>15</v>
      </c>
      <c r="D29" s="1" t="s">
        <v>16</v>
      </c>
      <c r="E29" s="1" t="s">
        <v>17</v>
      </c>
      <c r="F29" s="57" t="s">
        <v>97</v>
      </c>
      <c r="G29" s="1" t="s">
        <v>98</v>
      </c>
    </row>
    <row r="30" spans="2:20" ht="16" customHeight="1" x14ac:dyDescent="0.35">
      <c r="B30" s="1"/>
      <c r="C30" s="19" t="s">
        <v>15</v>
      </c>
      <c r="D30" s="20" t="s">
        <v>16</v>
      </c>
      <c r="E30" s="20" t="s">
        <v>87</v>
      </c>
      <c r="F30" s="57"/>
      <c r="G30" s="1">
        <v>0</v>
      </c>
    </row>
    <row r="31" spans="2:20" ht="16" customHeight="1" x14ac:dyDescent="0.35">
      <c r="B31" s="1" t="s">
        <v>109</v>
      </c>
      <c r="C31" s="19"/>
      <c r="D31" s="20"/>
      <c r="E31" s="20"/>
      <c r="F31" s="57">
        <f>E11</f>
        <v>1731.75</v>
      </c>
      <c r="G31" s="1">
        <f>G30-E31+F31</f>
        <v>1731.75</v>
      </c>
    </row>
    <row r="32" spans="2:20" ht="16" customHeight="1" x14ac:dyDescent="0.35">
      <c r="B32" s="1"/>
      <c r="C32" s="51">
        <v>44932</v>
      </c>
      <c r="D32" s="1" t="s">
        <v>62</v>
      </c>
      <c r="E32" s="1">
        <v>1170</v>
      </c>
      <c r="F32" s="57"/>
      <c r="G32" s="1">
        <f t="shared" ref="G32:G53" si="5">G31-E32+F32</f>
        <v>561.75</v>
      </c>
    </row>
    <row r="33" spans="2:7" ht="16" customHeight="1" x14ac:dyDescent="0.35">
      <c r="B33" s="1"/>
      <c r="C33" s="51">
        <v>44946</v>
      </c>
      <c r="D33" s="1" t="s">
        <v>64</v>
      </c>
      <c r="E33" s="1">
        <v>1170</v>
      </c>
      <c r="F33" s="57"/>
      <c r="G33" s="1">
        <f t="shared" si="5"/>
        <v>-608.25</v>
      </c>
    </row>
    <row r="34" spans="2:7" ht="16" customHeight="1" x14ac:dyDescent="0.35">
      <c r="B34" s="1" t="s">
        <v>110</v>
      </c>
      <c r="C34" s="51"/>
      <c r="D34" s="1"/>
      <c r="E34" s="1"/>
      <c r="F34" s="57">
        <f>F11+G11</f>
        <v>2274.85</v>
      </c>
      <c r="G34" s="1">
        <f t="shared" si="5"/>
        <v>1666.6</v>
      </c>
    </row>
    <row r="35" spans="2:7" ht="16" customHeight="1" x14ac:dyDescent="0.35">
      <c r="B35" s="1"/>
      <c r="C35" s="52">
        <v>44963</v>
      </c>
      <c r="D35" s="13" t="s">
        <v>63</v>
      </c>
      <c r="E35" s="13">
        <v>1170</v>
      </c>
      <c r="F35" s="57"/>
      <c r="G35" s="1">
        <f t="shared" si="5"/>
        <v>496.59999999999991</v>
      </c>
    </row>
    <row r="36" spans="2:7" ht="16" customHeight="1" x14ac:dyDescent="0.35">
      <c r="B36" s="1" t="s">
        <v>111</v>
      </c>
      <c r="C36" s="52"/>
      <c r="D36" s="13"/>
      <c r="E36" s="13"/>
      <c r="F36" s="57">
        <f>H11</f>
        <v>2158.4</v>
      </c>
      <c r="G36" s="1">
        <f t="shared" si="5"/>
        <v>2655</v>
      </c>
    </row>
    <row r="37" spans="2:7" ht="16" customHeight="1" x14ac:dyDescent="0.35">
      <c r="B37" s="1"/>
      <c r="C37" s="51">
        <v>45005</v>
      </c>
      <c r="D37" s="1" t="s">
        <v>75</v>
      </c>
      <c r="E37" s="1">
        <v>1000</v>
      </c>
      <c r="F37" s="57"/>
      <c r="G37" s="1">
        <f t="shared" si="5"/>
        <v>1655</v>
      </c>
    </row>
    <row r="38" spans="2:7" ht="16" customHeight="1" x14ac:dyDescent="0.35">
      <c r="B38" s="1" t="s">
        <v>112</v>
      </c>
      <c r="C38" s="51"/>
      <c r="D38" s="1"/>
      <c r="E38" s="1"/>
      <c r="F38" s="57">
        <f>I11</f>
        <v>2498.1</v>
      </c>
      <c r="G38" s="1">
        <f t="shared" si="5"/>
        <v>4153.1000000000004</v>
      </c>
    </row>
    <row r="39" spans="2:7" ht="16" customHeight="1" x14ac:dyDescent="0.35">
      <c r="B39" s="1" t="s">
        <v>113</v>
      </c>
      <c r="C39" s="51"/>
      <c r="D39" s="1"/>
      <c r="E39" s="1"/>
      <c r="F39" s="57">
        <f>K11</f>
        <v>2349.1</v>
      </c>
      <c r="G39" s="1">
        <f t="shared" si="5"/>
        <v>6502.2000000000007</v>
      </c>
    </row>
    <row r="40" spans="2:7" ht="16" customHeight="1" x14ac:dyDescent="0.35">
      <c r="B40" s="1"/>
      <c r="C40" s="51">
        <v>45052</v>
      </c>
      <c r="D40" s="1" t="s">
        <v>82</v>
      </c>
      <c r="E40" s="1">
        <v>6502.2</v>
      </c>
      <c r="F40" s="57"/>
      <c r="G40" s="1">
        <f t="shared" si="5"/>
        <v>9.0949470177292824E-13</v>
      </c>
    </row>
    <row r="41" spans="2:7" ht="29.15" customHeight="1" x14ac:dyDescent="0.35">
      <c r="B41" s="1"/>
      <c r="C41" s="51">
        <v>45072</v>
      </c>
      <c r="D41" s="53" t="s">
        <v>84</v>
      </c>
      <c r="E41" s="1">
        <v>973</v>
      </c>
      <c r="F41" s="57"/>
      <c r="G41" s="1">
        <f t="shared" si="5"/>
        <v>-972.99999999999909</v>
      </c>
    </row>
    <row r="42" spans="2:7" ht="28.5" customHeight="1" x14ac:dyDescent="0.35">
      <c r="B42" s="1"/>
      <c r="C42" s="51">
        <v>45072</v>
      </c>
      <c r="D42" s="53" t="s">
        <v>86</v>
      </c>
      <c r="E42" s="1">
        <v>677</v>
      </c>
      <c r="F42" s="57"/>
      <c r="G42" s="1">
        <f t="shared" si="5"/>
        <v>-1649.9999999999991</v>
      </c>
    </row>
    <row r="43" spans="2:7" ht="28.5" customHeight="1" x14ac:dyDescent="0.35">
      <c r="B43" s="1" t="s">
        <v>43</v>
      </c>
      <c r="C43" s="51"/>
      <c r="D43" s="53"/>
      <c r="E43" s="1"/>
      <c r="F43" s="57">
        <f>L11+M11</f>
        <v>1977.5</v>
      </c>
      <c r="G43" s="1">
        <f t="shared" si="5"/>
        <v>327.50000000000091</v>
      </c>
    </row>
    <row r="44" spans="2:7" ht="28.5" customHeight="1" x14ac:dyDescent="0.35">
      <c r="B44" s="1" t="s">
        <v>114</v>
      </c>
      <c r="C44" s="51"/>
      <c r="D44" s="53"/>
      <c r="E44" s="1"/>
      <c r="F44" s="57">
        <f>N11</f>
        <v>2455.8000000000002</v>
      </c>
      <c r="G44" s="1">
        <f t="shared" si="5"/>
        <v>2783.3000000000011</v>
      </c>
    </row>
    <row r="45" spans="2:7" ht="28.5" customHeight="1" x14ac:dyDescent="0.35">
      <c r="B45" s="1" t="s">
        <v>115</v>
      </c>
      <c r="C45" s="51"/>
      <c r="D45" s="53"/>
      <c r="E45" s="1"/>
      <c r="F45" s="57">
        <f>O11</f>
        <v>2533</v>
      </c>
      <c r="G45" s="1">
        <f t="shared" si="5"/>
        <v>5316.3000000000011</v>
      </c>
    </row>
    <row r="46" spans="2:7" ht="16" customHeight="1" x14ac:dyDescent="0.35">
      <c r="B46" s="1"/>
      <c r="C46" s="51">
        <v>45142</v>
      </c>
      <c r="D46" s="1" t="s">
        <v>89</v>
      </c>
      <c r="E46" s="1">
        <v>4000</v>
      </c>
      <c r="F46" s="57"/>
      <c r="G46" s="1">
        <f t="shared" si="5"/>
        <v>1316.3000000000011</v>
      </c>
    </row>
    <row r="47" spans="2:7" x14ac:dyDescent="0.35">
      <c r="B47" s="1"/>
      <c r="C47" s="51">
        <v>45166</v>
      </c>
      <c r="D47" s="1" t="s">
        <v>89</v>
      </c>
      <c r="E47" s="1">
        <v>1500</v>
      </c>
      <c r="F47" s="57"/>
      <c r="G47" s="1">
        <f t="shared" si="5"/>
        <v>-183.69999999999891</v>
      </c>
    </row>
    <row r="48" spans="2:7" x14ac:dyDescent="0.35">
      <c r="B48" s="1" t="s">
        <v>116</v>
      </c>
      <c r="C48" s="51"/>
      <c r="D48" s="1"/>
      <c r="E48" s="1"/>
      <c r="F48" s="57">
        <f>P11+Q11</f>
        <v>2646.27</v>
      </c>
      <c r="G48" s="1">
        <f t="shared" si="5"/>
        <v>2462.5700000000011</v>
      </c>
    </row>
    <row r="49" spans="2:7" ht="16" customHeight="1" x14ac:dyDescent="0.35">
      <c r="B49" s="1"/>
      <c r="C49" s="51">
        <v>45170</v>
      </c>
      <c r="D49" s="1" t="s">
        <v>89</v>
      </c>
      <c r="E49" s="1">
        <v>1500</v>
      </c>
      <c r="F49" s="57"/>
      <c r="G49" s="1">
        <f t="shared" si="5"/>
        <v>962.57000000000107</v>
      </c>
    </row>
    <row r="50" spans="2:7" ht="16" customHeight="1" x14ac:dyDescent="0.35">
      <c r="B50" s="1" t="s">
        <v>117</v>
      </c>
      <c r="C50" s="51"/>
      <c r="D50" s="1"/>
      <c r="E50" s="1"/>
      <c r="F50" s="57">
        <f>R11</f>
        <v>2841.02</v>
      </c>
      <c r="G50" s="1">
        <f t="shared" si="5"/>
        <v>3803.5900000000011</v>
      </c>
    </row>
    <row r="51" spans="2:7" ht="16" customHeight="1" x14ac:dyDescent="0.35">
      <c r="B51" s="1"/>
      <c r="C51" s="51">
        <v>45207</v>
      </c>
      <c r="D51" s="1" t="s">
        <v>89</v>
      </c>
      <c r="E51" s="1">
        <v>4000</v>
      </c>
      <c r="F51" s="57"/>
      <c r="G51" s="1">
        <f t="shared" si="5"/>
        <v>-196.40999999999894</v>
      </c>
    </row>
    <row r="52" spans="2:7" ht="16" customHeight="1" x14ac:dyDescent="0.35">
      <c r="B52" s="1"/>
      <c r="C52" s="51">
        <v>45221</v>
      </c>
      <c r="D52" s="1" t="s">
        <v>89</v>
      </c>
      <c r="E52" s="1">
        <v>2000</v>
      </c>
      <c r="F52" s="57"/>
      <c r="G52" s="1">
        <f t="shared" si="5"/>
        <v>-2196.4099999999989</v>
      </c>
    </row>
    <row r="53" spans="2:7" ht="16" customHeight="1" x14ac:dyDescent="0.35">
      <c r="B53" s="1" t="s">
        <v>118</v>
      </c>
      <c r="C53" s="51"/>
      <c r="D53" s="1"/>
      <c r="E53" s="1"/>
      <c r="F53" s="57">
        <f>S11</f>
        <v>2407.08</v>
      </c>
      <c r="G53" s="1">
        <f t="shared" si="5"/>
        <v>210.67000000000098</v>
      </c>
    </row>
    <row r="54" spans="2:7" ht="16" customHeight="1" x14ac:dyDescent="0.35">
      <c r="B54" s="1"/>
      <c r="C54" s="51">
        <v>45246</v>
      </c>
      <c r="D54" s="1" t="s">
        <v>89</v>
      </c>
      <c r="E54" s="1">
        <v>210.67</v>
      </c>
      <c r="F54" s="57">
        <v>0</v>
      </c>
      <c r="G54" s="20">
        <v>0</v>
      </c>
    </row>
    <row r="55" spans="2:7" ht="16" customHeight="1" x14ac:dyDescent="0.35">
      <c r="B55" s="1"/>
      <c r="C55" s="51"/>
      <c r="D55" s="1"/>
      <c r="E55" s="1"/>
      <c r="F55" s="57"/>
      <c r="G55" s="20"/>
    </row>
    <row r="56" spans="2:7" ht="16" customHeight="1" x14ac:dyDescent="0.35">
      <c r="B56" s="77">
        <v>45626</v>
      </c>
      <c r="C56" s="78"/>
      <c r="D56" s="20" t="s">
        <v>146</v>
      </c>
      <c r="E56" s="20"/>
      <c r="F56" s="79">
        <f>T11</f>
        <v>1857.31</v>
      </c>
      <c r="G56" s="20">
        <f>G54-E56+F56</f>
        <v>1857.31</v>
      </c>
    </row>
    <row r="57" spans="2:7" ht="16" customHeight="1" x14ac:dyDescent="0.35">
      <c r="B57" s="77">
        <v>45657</v>
      </c>
      <c r="C57" s="78"/>
      <c r="D57" s="20" t="s">
        <v>147</v>
      </c>
      <c r="E57" s="20"/>
      <c r="F57" s="79">
        <f>U11</f>
        <v>2423.98</v>
      </c>
      <c r="G57" s="1">
        <f>G56-E57+F57</f>
        <v>4281.29</v>
      </c>
    </row>
    <row r="58" spans="2:7" ht="16" customHeight="1" x14ac:dyDescent="0.35">
      <c r="B58" s="1"/>
      <c r="C58" s="51">
        <v>45263</v>
      </c>
      <c r="D58" s="1" t="s">
        <v>89</v>
      </c>
      <c r="E58" s="1">
        <v>1200</v>
      </c>
      <c r="F58" s="57"/>
      <c r="G58" s="1">
        <f t="shared" ref="G58:G110" si="6">G57-E58+F58</f>
        <v>3081.29</v>
      </c>
    </row>
    <row r="59" spans="2:7" ht="16" customHeight="1" x14ac:dyDescent="0.35">
      <c r="B59" s="1"/>
      <c r="C59" s="51">
        <v>45264</v>
      </c>
      <c r="D59" s="1" t="s">
        <v>89</v>
      </c>
      <c r="E59" s="1">
        <v>400</v>
      </c>
      <c r="F59" s="57"/>
      <c r="G59" s="1">
        <f t="shared" si="6"/>
        <v>2681.29</v>
      </c>
    </row>
    <row r="60" spans="2:7" ht="16" customHeight="1" x14ac:dyDescent="0.35">
      <c r="B60" s="1"/>
      <c r="C60" s="51">
        <v>45279</v>
      </c>
      <c r="D60" s="1" t="s">
        <v>89</v>
      </c>
      <c r="E60" s="1">
        <v>1000</v>
      </c>
      <c r="F60" s="57"/>
      <c r="G60" s="1">
        <f t="shared" si="6"/>
        <v>1681.29</v>
      </c>
    </row>
    <row r="61" spans="2:7" ht="16" customHeight="1" x14ac:dyDescent="0.35">
      <c r="B61" s="1"/>
      <c r="C61" s="51">
        <v>45284</v>
      </c>
      <c r="D61" s="1" t="s">
        <v>89</v>
      </c>
      <c r="E61" s="1">
        <v>200</v>
      </c>
      <c r="F61" s="57"/>
      <c r="G61" s="1">
        <f t="shared" si="6"/>
        <v>1481.29</v>
      </c>
    </row>
    <row r="62" spans="2:7" ht="16" customHeight="1" x14ac:dyDescent="0.35">
      <c r="B62" s="1"/>
      <c r="C62" s="51">
        <v>45284</v>
      </c>
      <c r="D62" s="1" t="s">
        <v>89</v>
      </c>
      <c r="E62" s="1">
        <v>200</v>
      </c>
      <c r="F62" s="57"/>
      <c r="G62" s="1">
        <f t="shared" si="6"/>
        <v>1281.29</v>
      </c>
    </row>
    <row r="63" spans="2:7" ht="16" customHeight="1" x14ac:dyDescent="0.35">
      <c r="B63" s="1"/>
      <c r="C63" s="51">
        <v>45307</v>
      </c>
      <c r="D63" s="1" t="s">
        <v>162</v>
      </c>
      <c r="E63" s="1">
        <v>1200</v>
      </c>
      <c r="F63" s="57"/>
      <c r="G63" s="1">
        <f t="shared" si="6"/>
        <v>81.289999999999964</v>
      </c>
    </row>
    <row r="64" spans="2:7" ht="16" customHeight="1" x14ac:dyDescent="0.35">
      <c r="B64" s="1"/>
      <c r="C64" s="51">
        <v>45307</v>
      </c>
      <c r="D64" s="1" t="s">
        <v>161</v>
      </c>
      <c r="E64" s="1">
        <v>1200</v>
      </c>
      <c r="F64" s="57"/>
      <c r="G64" s="1">
        <f t="shared" si="6"/>
        <v>-1118.71</v>
      </c>
    </row>
    <row r="65" spans="2:14" ht="16" customHeight="1" x14ac:dyDescent="0.35">
      <c r="B65" s="1"/>
      <c r="C65" s="51"/>
      <c r="D65" s="1"/>
      <c r="E65" s="1"/>
      <c r="F65" s="57"/>
      <c r="G65" s="1">
        <f t="shared" si="6"/>
        <v>-1118.71</v>
      </c>
    </row>
    <row r="66" spans="2:14" ht="16" customHeight="1" x14ac:dyDescent="0.35">
      <c r="B66" s="77">
        <v>45322</v>
      </c>
      <c r="C66" s="78"/>
      <c r="D66" s="20" t="s">
        <v>154</v>
      </c>
      <c r="E66" s="20"/>
      <c r="F66" s="79">
        <f>F21</f>
        <v>2651.7</v>
      </c>
      <c r="G66" s="1">
        <f t="shared" si="6"/>
        <v>1532.9899999999998</v>
      </c>
    </row>
    <row r="67" spans="2:14" ht="27" customHeight="1" x14ac:dyDescent="0.35">
      <c r="B67" s="1"/>
      <c r="C67" s="51">
        <v>45334</v>
      </c>
      <c r="D67" s="50" t="s">
        <v>159</v>
      </c>
      <c r="E67" s="1">
        <v>1200</v>
      </c>
      <c r="F67" s="57"/>
      <c r="G67" s="1">
        <f t="shared" si="6"/>
        <v>332.98999999999978</v>
      </c>
    </row>
    <row r="68" spans="2:14" ht="33.65" customHeight="1" x14ac:dyDescent="0.35">
      <c r="B68" s="1"/>
      <c r="C68" s="51">
        <v>45334</v>
      </c>
      <c r="D68" s="50" t="s">
        <v>160</v>
      </c>
      <c r="E68" s="1">
        <v>1200</v>
      </c>
      <c r="F68" s="57"/>
      <c r="G68" s="1">
        <f t="shared" si="6"/>
        <v>-867.01000000000022</v>
      </c>
    </row>
    <row r="69" spans="2:14" ht="16" customHeight="1" x14ac:dyDescent="0.35">
      <c r="B69" s="1"/>
      <c r="C69" s="51">
        <v>45324</v>
      </c>
      <c r="D69" s="1" t="s">
        <v>89</v>
      </c>
      <c r="E69" s="1">
        <v>750</v>
      </c>
      <c r="F69" s="57"/>
      <c r="G69" s="1">
        <f t="shared" si="6"/>
        <v>-1617.0100000000002</v>
      </c>
    </row>
    <row r="70" spans="2:14" ht="16" customHeight="1" x14ac:dyDescent="0.35">
      <c r="B70" s="1"/>
      <c r="C70" s="51"/>
      <c r="D70" s="1"/>
      <c r="E70" s="1"/>
      <c r="F70" s="57"/>
      <c r="G70" s="1">
        <f t="shared" si="6"/>
        <v>-1617.0100000000002</v>
      </c>
    </row>
    <row r="71" spans="2:14" ht="16" customHeight="1" x14ac:dyDescent="0.35">
      <c r="B71" s="77">
        <v>45351</v>
      </c>
      <c r="C71" s="78"/>
      <c r="D71" s="20" t="s">
        <v>163</v>
      </c>
      <c r="E71" s="20"/>
      <c r="F71" s="79">
        <f>G21</f>
        <v>2260.35</v>
      </c>
      <c r="G71" s="1">
        <f t="shared" si="6"/>
        <v>643.33999999999969</v>
      </c>
      <c r="J71" t="s">
        <v>213</v>
      </c>
      <c r="K71" t="s">
        <v>214</v>
      </c>
      <c r="L71" t="s">
        <v>215</v>
      </c>
      <c r="M71" t="s">
        <v>216</v>
      </c>
      <c r="N71">
        <v>500</v>
      </c>
    </row>
    <row r="72" spans="2:14" ht="16" customHeight="1" x14ac:dyDescent="0.35">
      <c r="B72" s="1"/>
      <c r="C72" s="51">
        <v>45362</v>
      </c>
      <c r="D72" s="1" t="s">
        <v>164</v>
      </c>
      <c r="E72" s="1">
        <v>1200</v>
      </c>
      <c r="F72" s="57"/>
      <c r="G72" s="1">
        <f t="shared" si="6"/>
        <v>-556.66000000000031</v>
      </c>
      <c r="J72" t="s">
        <v>217</v>
      </c>
      <c r="K72" t="s">
        <v>218</v>
      </c>
      <c r="L72" t="s">
        <v>219</v>
      </c>
      <c r="M72" t="s">
        <v>220</v>
      </c>
      <c r="N72">
        <v>952.45</v>
      </c>
    </row>
    <row r="73" spans="2:14" ht="16" customHeight="1" x14ac:dyDescent="0.35">
      <c r="B73" s="1"/>
      <c r="C73" s="51">
        <v>45348</v>
      </c>
      <c r="D73" s="1" t="s">
        <v>165</v>
      </c>
      <c r="E73" s="1">
        <v>1200</v>
      </c>
      <c r="F73" s="57"/>
      <c r="G73" s="1">
        <f t="shared" si="6"/>
        <v>-1756.6600000000003</v>
      </c>
      <c r="J73" t="s">
        <v>217</v>
      </c>
      <c r="K73" t="s">
        <v>218</v>
      </c>
      <c r="L73" t="s">
        <v>219</v>
      </c>
      <c r="M73" t="s">
        <v>221</v>
      </c>
      <c r="N73">
        <v>952.45</v>
      </c>
    </row>
    <row r="74" spans="2:14" ht="16" customHeight="1" x14ac:dyDescent="0.35">
      <c r="B74" s="1"/>
      <c r="C74" s="51"/>
      <c r="D74" s="1"/>
      <c r="E74" s="1"/>
      <c r="F74" s="57"/>
      <c r="G74" s="1">
        <f t="shared" si="6"/>
        <v>-1756.6600000000003</v>
      </c>
      <c r="J74" t="s">
        <v>222</v>
      </c>
      <c r="K74" t="s">
        <v>218</v>
      </c>
      <c r="L74" t="s">
        <v>219</v>
      </c>
      <c r="M74" t="s">
        <v>223</v>
      </c>
      <c r="N74">
        <v>952.45</v>
      </c>
    </row>
    <row r="75" spans="2:14" ht="16" customHeight="1" x14ac:dyDescent="0.35">
      <c r="B75" s="1"/>
      <c r="C75" s="51"/>
      <c r="D75" s="1"/>
      <c r="E75" s="1"/>
      <c r="F75" s="57"/>
      <c r="G75" s="1">
        <f t="shared" si="6"/>
        <v>-1756.6600000000003</v>
      </c>
      <c r="J75" t="s">
        <v>222</v>
      </c>
      <c r="K75" t="s">
        <v>218</v>
      </c>
      <c r="L75" t="s">
        <v>219</v>
      </c>
      <c r="M75" t="s">
        <v>224</v>
      </c>
      <c r="N75">
        <v>952.45</v>
      </c>
    </row>
    <row r="76" spans="2:14" ht="16" customHeight="1" x14ac:dyDescent="0.35">
      <c r="B76" s="77">
        <v>45382</v>
      </c>
      <c r="C76" s="78"/>
      <c r="D76" s="20" t="s">
        <v>175</v>
      </c>
      <c r="E76" s="3"/>
      <c r="F76" s="79">
        <f>H21</f>
        <v>2827.5</v>
      </c>
      <c r="G76" s="1">
        <f t="shared" si="6"/>
        <v>1070.8399999999997</v>
      </c>
      <c r="J76" t="s">
        <v>225</v>
      </c>
      <c r="K76" t="s">
        <v>218</v>
      </c>
      <c r="L76" t="s">
        <v>219</v>
      </c>
      <c r="M76" t="s">
        <v>226</v>
      </c>
      <c r="N76">
        <v>952.45</v>
      </c>
    </row>
    <row r="77" spans="2:14" ht="16" customHeight="1" x14ac:dyDescent="0.35">
      <c r="B77" s="1"/>
      <c r="C77" s="51"/>
      <c r="D77" s="1"/>
      <c r="E77" s="1"/>
      <c r="F77" s="57"/>
      <c r="G77" s="1">
        <f t="shared" si="6"/>
        <v>1070.8399999999997</v>
      </c>
    </row>
    <row r="78" spans="2:14" ht="16" customHeight="1" x14ac:dyDescent="0.35">
      <c r="B78" s="10"/>
      <c r="C78" s="51">
        <v>45385</v>
      </c>
      <c r="D78" s="1" t="s">
        <v>228</v>
      </c>
      <c r="E78" s="1">
        <v>500</v>
      </c>
      <c r="F78" s="57"/>
      <c r="G78" s="1">
        <f t="shared" si="6"/>
        <v>570.83999999999969</v>
      </c>
    </row>
    <row r="79" spans="2:14" ht="16" customHeight="1" x14ac:dyDescent="0.35">
      <c r="B79" s="1"/>
      <c r="C79" s="51">
        <v>45391</v>
      </c>
      <c r="D79" s="1" t="s">
        <v>232</v>
      </c>
      <c r="E79" s="1">
        <v>1200</v>
      </c>
      <c r="F79" s="57"/>
      <c r="G79" s="1">
        <f t="shared" si="6"/>
        <v>-629.16000000000031</v>
      </c>
    </row>
    <row r="80" spans="2:14" ht="16" customHeight="1" x14ac:dyDescent="0.35">
      <c r="B80" s="1"/>
      <c r="C80" s="51">
        <v>45391</v>
      </c>
      <c r="D80" s="1" t="s">
        <v>233</v>
      </c>
      <c r="E80" s="1">
        <v>1200</v>
      </c>
      <c r="F80" s="57"/>
      <c r="G80" s="1">
        <f t="shared" si="6"/>
        <v>-1829.1600000000003</v>
      </c>
    </row>
    <row r="81" spans="2:7" ht="16" customHeight="1" x14ac:dyDescent="0.35">
      <c r="B81" s="1"/>
      <c r="C81" s="51"/>
      <c r="D81" s="1"/>
      <c r="E81" s="1"/>
      <c r="F81" s="57"/>
      <c r="G81" s="1">
        <f t="shared" si="6"/>
        <v>-1829.1600000000003</v>
      </c>
    </row>
    <row r="82" spans="2:7" ht="16" customHeight="1" x14ac:dyDescent="0.35">
      <c r="B82" s="1"/>
      <c r="C82" s="51"/>
      <c r="D82" s="1"/>
      <c r="E82" s="1"/>
      <c r="F82" s="57"/>
      <c r="G82" s="1">
        <f t="shared" si="6"/>
        <v>-1829.1600000000003</v>
      </c>
    </row>
    <row r="83" spans="2:7" ht="16" customHeight="1" x14ac:dyDescent="0.35">
      <c r="B83" s="77">
        <v>45412</v>
      </c>
      <c r="C83" s="78"/>
      <c r="D83" s="20" t="s">
        <v>176</v>
      </c>
      <c r="E83" s="20"/>
      <c r="F83" s="79">
        <f>J21+I21</f>
        <v>2509.63</v>
      </c>
      <c r="G83" s="1">
        <f t="shared" si="6"/>
        <v>680.4699999999998</v>
      </c>
    </row>
    <row r="84" spans="2:7" ht="16" customHeight="1" x14ac:dyDescent="0.35">
      <c r="B84" s="10"/>
      <c r="C84" s="51"/>
      <c r="D84" s="1"/>
      <c r="E84" s="1"/>
      <c r="F84" s="57"/>
      <c r="G84" s="1">
        <f t="shared" si="6"/>
        <v>680.4699999999998</v>
      </c>
    </row>
    <row r="85" spans="2:7" ht="16" customHeight="1" x14ac:dyDescent="0.35">
      <c r="B85" s="10"/>
      <c r="C85" s="51">
        <v>45418</v>
      </c>
      <c r="D85" s="1" t="s">
        <v>230</v>
      </c>
      <c r="E85" s="1">
        <v>1200</v>
      </c>
      <c r="F85" s="57"/>
      <c r="G85" s="1">
        <f t="shared" si="6"/>
        <v>-519.5300000000002</v>
      </c>
    </row>
    <row r="86" spans="2:7" ht="16" customHeight="1" x14ac:dyDescent="0.35">
      <c r="B86" s="10"/>
      <c r="C86" s="51">
        <v>45418</v>
      </c>
      <c r="D86" s="1" t="s">
        <v>229</v>
      </c>
      <c r="E86" s="1">
        <v>1200</v>
      </c>
      <c r="F86" s="57"/>
      <c r="G86" s="1">
        <f t="shared" si="6"/>
        <v>-1719.5300000000002</v>
      </c>
    </row>
    <row r="87" spans="2:7" ht="16" customHeight="1" x14ac:dyDescent="0.35">
      <c r="B87" s="1"/>
      <c r="C87" s="51">
        <v>45429</v>
      </c>
      <c r="D87" s="1" t="s">
        <v>231</v>
      </c>
      <c r="E87" s="1">
        <v>1200</v>
      </c>
      <c r="F87" s="57"/>
      <c r="G87" s="1">
        <f t="shared" si="6"/>
        <v>-2919.53</v>
      </c>
    </row>
    <row r="88" spans="2:7" ht="16" customHeight="1" x14ac:dyDescent="0.35">
      <c r="B88" s="1"/>
      <c r="C88" s="51"/>
      <c r="D88" s="1"/>
      <c r="E88" s="1"/>
      <c r="F88" s="57"/>
      <c r="G88" s="1">
        <f t="shared" si="6"/>
        <v>-2919.53</v>
      </c>
    </row>
    <row r="89" spans="2:7" ht="16" customHeight="1" x14ac:dyDescent="0.35">
      <c r="B89" s="77">
        <v>45442</v>
      </c>
      <c r="C89" s="78"/>
      <c r="D89" s="20" t="s">
        <v>177</v>
      </c>
      <c r="E89" s="20"/>
      <c r="F89" s="79">
        <f>K21+L21</f>
        <v>2931</v>
      </c>
      <c r="G89" s="1">
        <f t="shared" si="6"/>
        <v>11.4699999999998</v>
      </c>
    </row>
    <row r="90" spans="2:7" ht="16" customHeight="1" x14ac:dyDescent="0.35">
      <c r="B90" s="1"/>
      <c r="C90" s="51">
        <v>45457</v>
      </c>
      <c r="D90" s="1" t="s">
        <v>248</v>
      </c>
      <c r="E90" s="1">
        <v>1200</v>
      </c>
      <c r="F90" s="57"/>
      <c r="G90" s="1">
        <f t="shared" si="6"/>
        <v>-1188.5300000000002</v>
      </c>
    </row>
    <row r="91" spans="2:7" ht="16" customHeight="1" x14ac:dyDescent="0.35">
      <c r="B91" s="1"/>
      <c r="C91" s="51">
        <v>45457</v>
      </c>
      <c r="D91" s="1" t="s">
        <v>249</v>
      </c>
      <c r="E91" s="1">
        <v>1200</v>
      </c>
      <c r="F91" s="57"/>
      <c r="G91" s="1">
        <f t="shared" si="6"/>
        <v>-2388.5300000000002</v>
      </c>
    </row>
    <row r="92" spans="2:7" ht="16" customHeight="1" x14ac:dyDescent="0.35">
      <c r="B92" s="1"/>
      <c r="C92" s="51"/>
      <c r="D92" s="1"/>
      <c r="E92" s="1"/>
      <c r="F92" s="57"/>
      <c r="G92" s="1">
        <f t="shared" si="6"/>
        <v>-2388.5300000000002</v>
      </c>
    </row>
    <row r="93" spans="2:7" ht="16" customHeight="1" x14ac:dyDescent="0.35">
      <c r="B93" s="77">
        <v>45473</v>
      </c>
      <c r="C93" s="78"/>
      <c r="D93" s="20" t="s">
        <v>247</v>
      </c>
      <c r="E93" s="20"/>
      <c r="F93" s="79">
        <f>M21+N21</f>
        <v>2901.3199999999997</v>
      </c>
      <c r="G93" s="1">
        <f t="shared" si="6"/>
        <v>512.78999999999951</v>
      </c>
    </row>
    <row r="94" spans="2:7" ht="16" customHeight="1" x14ac:dyDescent="0.35">
      <c r="B94" s="1"/>
      <c r="C94" s="51">
        <v>45491</v>
      </c>
      <c r="D94" s="1" t="s">
        <v>245</v>
      </c>
      <c r="E94" s="1">
        <v>1200</v>
      </c>
      <c r="F94" s="57"/>
      <c r="G94" s="1">
        <f t="shared" si="6"/>
        <v>-687.21000000000049</v>
      </c>
    </row>
    <row r="95" spans="2:7" ht="16" customHeight="1" x14ac:dyDescent="0.35">
      <c r="B95" s="1"/>
      <c r="C95" s="51">
        <v>45491</v>
      </c>
      <c r="D95" s="1" t="s">
        <v>246</v>
      </c>
      <c r="E95" s="1">
        <v>1200</v>
      </c>
      <c r="F95" s="57"/>
      <c r="G95" s="1">
        <f t="shared" si="6"/>
        <v>-1887.2100000000005</v>
      </c>
    </row>
    <row r="96" spans="2:7" ht="16" customHeight="1" x14ac:dyDescent="0.35">
      <c r="B96" s="1"/>
      <c r="C96" s="51"/>
      <c r="D96" s="1"/>
      <c r="E96" s="1"/>
      <c r="F96" s="57"/>
      <c r="G96" s="1">
        <f t="shared" si="6"/>
        <v>-1887.2100000000005</v>
      </c>
    </row>
    <row r="97" spans="2:9" ht="16" customHeight="1" x14ac:dyDescent="0.35">
      <c r="B97" s="77">
        <v>45503</v>
      </c>
      <c r="C97" s="78"/>
      <c r="D97" s="20" t="s">
        <v>258</v>
      </c>
      <c r="E97" s="20"/>
      <c r="F97" s="79">
        <f>O21+P21</f>
        <v>3330</v>
      </c>
      <c r="G97" s="1">
        <f t="shared" si="6"/>
        <v>1442.7899999999995</v>
      </c>
    </row>
    <row r="98" spans="2:9" ht="16" customHeight="1" x14ac:dyDescent="0.35">
      <c r="B98" s="77"/>
      <c r="C98" s="78"/>
      <c r="D98" s="20"/>
      <c r="E98" s="20"/>
      <c r="F98" s="79"/>
      <c r="G98" s="1">
        <f t="shared" si="6"/>
        <v>1442.7899999999995</v>
      </c>
    </row>
    <row r="99" spans="2:9" ht="16" customHeight="1" x14ac:dyDescent="0.35">
      <c r="B99" s="77"/>
      <c r="C99" s="51">
        <v>45534</v>
      </c>
      <c r="D99" s="1" t="s">
        <v>293</v>
      </c>
      <c r="E99" s="1">
        <v>1200</v>
      </c>
      <c r="F99" s="79"/>
      <c r="G99" s="1">
        <f t="shared" si="6"/>
        <v>242.78999999999951</v>
      </c>
    </row>
    <row r="100" spans="2:9" ht="16" customHeight="1" x14ac:dyDescent="0.35">
      <c r="B100" s="77"/>
      <c r="C100" s="51">
        <v>111277</v>
      </c>
      <c r="D100" s="1" t="s">
        <v>294</v>
      </c>
      <c r="E100" s="1">
        <v>1200</v>
      </c>
      <c r="F100" s="79"/>
      <c r="G100" s="1">
        <f t="shared" si="6"/>
        <v>-957.21000000000049</v>
      </c>
    </row>
    <row r="101" spans="2:9" ht="16" customHeight="1" x14ac:dyDescent="0.35">
      <c r="B101" s="77"/>
      <c r="C101" s="78"/>
      <c r="D101" s="20"/>
      <c r="E101" s="20"/>
      <c r="F101" s="79"/>
      <c r="G101" s="1">
        <f t="shared" si="6"/>
        <v>-957.21000000000049</v>
      </c>
    </row>
    <row r="102" spans="2:9" ht="16" customHeight="1" x14ac:dyDescent="0.35">
      <c r="B102" s="77">
        <v>45535</v>
      </c>
      <c r="C102" s="78"/>
      <c r="D102" s="20" t="s">
        <v>286</v>
      </c>
      <c r="E102" s="20"/>
      <c r="F102" s="79">
        <f>Q22</f>
        <v>3500.7999999999997</v>
      </c>
      <c r="G102" s="1">
        <f t="shared" si="6"/>
        <v>2543.5899999999992</v>
      </c>
    </row>
    <row r="103" spans="2:9" ht="16" customHeight="1" x14ac:dyDescent="0.35">
      <c r="B103" s="77"/>
      <c r="C103" s="78"/>
      <c r="D103" s="20"/>
      <c r="E103" s="20"/>
      <c r="F103" s="79"/>
      <c r="G103" s="1">
        <f t="shared" si="6"/>
        <v>2543.5899999999992</v>
      </c>
    </row>
    <row r="104" spans="2:9" ht="16" customHeight="1" x14ac:dyDescent="0.35">
      <c r="B104" s="77"/>
      <c r="C104" s="78"/>
      <c r="D104" s="1" t="s">
        <v>295</v>
      </c>
      <c r="E104" s="1">
        <v>1200</v>
      </c>
      <c r="F104" s="79"/>
      <c r="G104" s="1">
        <f t="shared" si="6"/>
        <v>1343.5899999999992</v>
      </c>
    </row>
    <row r="105" spans="2:9" ht="16" customHeight="1" x14ac:dyDescent="0.35">
      <c r="B105" s="77"/>
      <c r="C105" s="78"/>
      <c r="D105" s="1" t="s">
        <v>296</v>
      </c>
      <c r="E105" s="1">
        <v>1200</v>
      </c>
      <c r="F105" s="79"/>
      <c r="G105" s="1">
        <f t="shared" si="6"/>
        <v>143.58999999999924</v>
      </c>
    </row>
    <row r="106" spans="2:9" ht="16" customHeight="1" x14ac:dyDescent="0.35">
      <c r="B106" s="77">
        <v>45565</v>
      </c>
      <c r="C106" s="78"/>
      <c r="D106" s="20" t="s">
        <v>290</v>
      </c>
      <c r="E106" s="20"/>
      <c r="F106" s="79">
        <f>S22</f>
        <v>3664.74</v>
      </c>
      <c r="G106" s="1">
        <f t="shared" si="6"/>
        <v>3808.329999999999</v>
      </c>
      <c r="I106">
        <f>60*63%</f>
        <v>37.799999999999997</v>
      </c>
    </row>
    <row r="107" spans="2:9" ht="16" customHeight="1" x14ac:dyDescent="0.35">
      <c r="B107" s="77"/>
      <c r="C107" s="78"/>
      <c r="D107" s="20"/>
      <c r="E107" s="20">
        <v>1200</v>
      </c>
      <c r="F107" s="79"/>
      <c r="G107" s="1">
        <f t="shared" si="6"/>
        <v>2608.329999999999</v>
      </c>
    </row>
    <row r="108" spans="2:9" ht="16" customHeight="1" x14ac:dyDescent="0.35">
      <c r="B108" s="77"/>
      <c r="C108" s="78"/>
      <c r="D108" s="20"/>
      <c r="E108" s="20">
        <v>1200</v>
      </c>
      <c r="F108" s="79"/>
      <c r="G108" s="1">
        <f t="shared" si="6"/>
        <v>1408.329999999999</v>
      </c>
    </row>
    <row r="109" spans="2:9" ht="16" customHeight="1" x14ac:dyDescent="0.35">
      <c r="B109" s="1"/>
      <c r="C109" s="12"/>
      <c r="D109" s="1" t="s">
        <v>251</v>
      </c>
      <c r="E109" s="1"/>
      <c r="F109" s="57">
        <f>'Leila Afghan'!E66</f>
        <v>847</v>
      </c>
      <c r="G109" s="1">
        <f t="shared" si="6"/>
        <v>2255.329999999999</v>
      </c>
    </row>
    <row r="110" spans="2:9" ht="16" customHeight="1" x14ac:dyDescent="0.35">
      <c r="B110" s="1"/>
      <c r="C110" s="51"/>
      <c r="D110" s="1"/>
      <c r="E110" s="1"/>
      <c r="F110" s="57"/>
      <c r="G110" s="1">
        <f t="shared" si="6"/>
        <v>2255.329999999999</v>
      </c>
    </row>
    <row r="111" spans="2:9" ht="16" customHeight="1" x14ac:dyDescent="0.35">
      <c r="C111" s="37"/>
    </row>
    <row r="112" spans="2:9" ht="16" customHeight="1" x14ac:dyDescent="0.35">
      <c r="D112" s="2" t="s">
        <v>70</v>
      </c>
      <c r="E112" s="34">
        <f>SUM(E56:E111)</f>
        <v>29450</v>
      </c>
      <c r="F112" s="80">
        <f>SUM(F56:F111)</f>
        <v>31705.33</v>
      </c>
    </row>
    <row r="113" spans="3:5" ht="16" customHeight="1" x14ac:dyDescent="0.35"/>
    <row r="114" spans="3:5" ht="16" customHeight="1" x14ac:dyDescent="0.35">
      <c r="C114" s="37"/>
      <c r="D114" t="s">
        <v>72</v>
      </c>
      <c r="E114" s="39">
        <f>F112-E112</f>
        <v>2255.3300000000017</v>
      </c>
    </row>
    <row r="115" spans="3:5" ht="16" customHeight="1" x14ac:dyDescent="0.35">
      <c r="C115" s="38"/>
    </row>
    <row r="116" spans="3:5" ht="16" customHeight="1" x14ac:dyDescent="0.35">
      <c r="C116" s="37"/>
    </row>
    <row r="117" spans="3:5" ht="16" customHeight="1" x14ac:dyDescent="0.35">
      <c r="C117" s="37"/>
      <c r="D117" s="4"/>
    </row>
    <row r="118" spans="3:5" ht="16" customHeight="1" x14ac:dyDescent="0.35">
      <c r="C118" s="37"/>
      <c r="D118" s="4"/>
    </row>
    <row r="119" spans="3:5" ht="16" customHeight="1" x14ac:dyDescent="0.35">
      <c r="C119" s="37"/>
      <c r="D119" s="4"/>
    </row>
    <row r="120" spans="3:5" ht="16" customHeight="1" x14ac:dyDescent="0.35">
      <c r="C120" s="37"/>
      <c r="D120" s="4"/>
    </row>
    <row r="121" spans="3:5" ht="16" customHeight="1" x14ac:dyDescent="0.35">
      <c r="C121" s="37"/>
      <c r="D121" s="4"/>
    </row>
    <row r="122" spans="3:5" x14ac:dyDescent="0.35">
      <c r="C122" s="37"/>
    </row>
    <row r="123" spans="3:5" x14ac:dyDescent="0.35">
      <c r="C123" s="37"/>
    </row>
    <row r="124" spans="3:5" ht="18" customHeight="1" x14ac:dyDescent="0.35">
      <c r="C124" s="37"/>
      <c r="D124" s="4"/>
    </row>
    <row r="125" spans="3:5" x14ac:dyDescent="0.35">
      <c r="C125" s="37"/>
    </row>
    <row r="126" spans="3:5" x14ac:dyDescent="0.35">
      <c r="C126" s="37"/>
    </row>
    <row r="127" spans="3:5" x14ac:dyDescent="0.35">
      <c r="C127" s="37"/>
    </row>
    <row r="128" spans="3:5" x14ac:dyDescent="0.35">
      <c r="C128" s="37"/>
    </row>
    <row r="218" spans="15:16" x14ac:dyDescent="0.35">
      <c r="O218" s="9"/>
      <c r="P218" s="9"/>
    </row>
  </sheetData>
  <pageMargins left="0.25" right="0.25" top="0.75" bottom="0.75" header="0.3" footer="0.3"/>
  <pageSetup scale="7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F9AB-29EB-4CB1-B4D9-CCF76B853BF6}">
  <dimension ref="A2:U191"/>
  <sheetViews>
    <sheetView workbookViewId="0">
      <selection activeCell="K18" sqref="K18"/>
    </sheetView>
  </sheetViews>
  <sheetFormatPr defaultRowHeight="14.5" x14ac:dyDescent="0.35"/>
  <cols>
    <col min="1" max="1" width="13.7265625" customWidth="1"/>
    <col min="2" max="2" width="49.81640625" customWidth="1"/>
    <col min="3" max="3" width="12.54296875" customWidth="1"/>
    <col min="4" max="4" width="11.54296875" style="40" customWidth="1"/>
    <col min="5" max="5" width="12.54296875" customWidth="1"/>
    <col min="9" max="9" width="12" customWidth="1"/>
    <col min="20" max="20" width="10.08984375" bestFit="1" customWidth="1"/>
    <col min="21" max="21" width="10.453125" customWidth="1"/>
  </cols>
  <sheetData>
    <row r="2" spans="1:21" x14ac:dyDescent="0.35">
      <c r="B2" s="35" t="s">
        <v>73</v>
      </c>
    </row>
    <row r="3" spans="1:21" x14ac:dyDescent="0.35">
      <c r="B3" s="35"/>
    </row>
    <row r="4" spans="1:21" x14ac:dyDescent="0.35">
      <c r="B4" s="35" t="s">
        <v>133</v>
      </c>
    </row>
    <row r="6" spans="1:21" x14ac:dyDescent="0.35">
      <c r="B6" s="1"/>
      <c r="C6" s="1" t="s">
        <v>13</v>
      </c>
      <c r="D6" s="57" t="s">
        <v>6</v>
      </c>
      <c r="E6" s="1" t="s">
        <v>7</v>
      </c>
      <c r="F6" s="1" t="s">
        <v>8</v>
      </c>
      <c r="G6" s="1" t="s">
        <v>29</v>
      </c>
      <c r="H6" s="1" t="s">
        <v>80</v>
      </c>
      <c r="I6" s="1" t="s">
        <v>81</v>
      </c>
      <c r="J6" s="1" t="s">
        <v>47</v>
      </c>
      <c r="K6" s="10">
        <v>45253</v>
      </c>
      <c r="L6" s="1" t="s">
        <v>2</v>
      </c>
      <c r="M6" s="60">
        <v>45292</v>
      </c>
      <c r="N6" s="10">
        <v>45346</v>
      </c>
      <c r="O6" s="10">
        <v>45375</v>
      </c>
      <c r="P6" s="1" t="s">
        <v>234</v>
      </c>
      <c r="Q6" s="1" t="s">
        <v>7</v>
      </c>
      <c r="R6" s="1" t="s">
        <v>8</v>
      </c>
      <c r="S6" s="45" t="s">
        <v>29</v>
      </c>
      <c r="T6" s="45" t="s">
        <v>287</v>
      </c>
      <c r="U6" s="45" t="s">
        <v>46</v>
      </c>
    </row>
    <row r="7" spans="1:21" x14ac:dyDescent="0.35">
      <c r="B7" s="1" t="s">
        <v>10</v>
      </c>
      <c r="C7" s="1"/>
      <c r="D7" s="57">
        <v>46.18</v>
      </c>
      <c r="E7" s="1">
        <v>296.66000000000003</v>
      </c>
      <c r="F7" s="13">
        <v>326.63</v>
      </c>
      <c r="G7" s="44">
        <v>258.68</v>
      </c>
      <c r="H7" s="43">
        <v>217.35</v>
      </c>
      <c r="I7" s="43">
        <v>188.86</v>
      </c>
      <c r="J7" s="43">
        <f>300-13</f>
        <v>287</v>
      </c>
      <c r="K7" s="1">
        <f>201.17-9.5</f>
        <v>191.67</v>
      </c>
      <c r="L7" s="1">
        <f>220.3-11</f>
        <v>209.3</v>
      </c>
      <c r="M7" s="1">
        <f>197.11-11.5</f>
        <v>185.61</v>
      </c>
      <c r="N7" s="1">
        <f>198.93-10</f>
        <v>188.93</v>
      </c>
      <c r="O7" s="1">
        <f>240.12-11.5</f>
        <v>228.62</v>
      </c>
      <c r="P7" s="1">
        <f>248-11.5</f>
        <v>236.5</v>
      </c>
      <c r="Q7" s="1">
        <f>284-13</f>
        <v>271</v>
      </c>
      <c r="R7" s="1">
        <f>268.78-21.5</f>
        <v>247.27999999999997</v>
      </c>
      <c r="S7">
        <f>286.77-13</f>
        <v>273.77</v>
      </c>
      <c r="T7">
        <f>270.99-12</f>
        <v>258.99</v>
      </c>
      <c r="U7">
        <f>271.1-13</f>
        <v>258.10000000000002</v>
      </c>
    </row>
    <row r="8" spans="1:21" x14ac:dyDescent="0.35">
      <c r="B8" s="1" t="s">
        <v>11</v>
      </c>
      <c r="C8" s="1"/>
      <c r="D8" s="57">
        <v>15</v>
      </c>
      <c r="E8" s="1">
        <v>15</v>
      </c>
      <c r="F8" s="1">
        <v>15</v>
      </c>
      <c r="G8" s="1">
        <v>15</v>
      </c>
      <c r="H8" s="1">
        <v>15</v>
      </c>
      <c r="I8" s="1">
        <v>15</v>
      </c>
      <c r="J8" s="1">
        <v>15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45">
        <v>15</v>
      </c>
      <c r="T8" s="45">
        <v>15</v>
      </c>
      <c r="U8" s="45">
        <v>15</v>
      </c>
    </row>
    <row r="9" spans="1:21" x14ac:dyDescent="0.35">
      <c r="B9" s="1" t="s">
        <v>12</v>
      </c>
      <c r="C9" s="6">
        <f>SUM(D9:J9)</f>
        <v>24320.400000000001</v>
      </c>
      <c r="D9" s="57">
        <f t="shared" ref="D9" si="0">D7*D8</f>
        <v>692.7</v>
      </c>
      <c r="E9" s="1">
        <f>E7*E8</f>
        <v>4449.9000000000005</v>
      </c>
      <c r="F9" s="1">
        <f t="shared" ref="F9:M9" si="1">F7*F8</f>
        <v>4899.45</v>
      </c>
      <c r="G9" s="1">
        <f t="shared" si="1"/>
        <v>3880.2000000000003</v>
      </c>
      <c r="H9" s="1">
        <f t="shared" si="1"/>
        <v>3260.25</v>
      </c>
      <c r="I9" s="1">
        <f t="shared" si="1"/>
        <v>2832.9</v>
      </c>
      <c r="J9" s="1">
        <f t="shared" si="1"/>
        <v>4305</v>
      </c>
      <c r="K9" s="1">
        <f t="shared" si="1"/>
        <v>2875.0499999999997</v>
      </c>
      <c r="L9" s="1">
        <f t="shared" si="1"/>
        <v>3139.5</v>
      </c>
      <c r="M9" s="1">
        <f t="shared" si="1"/>
        <v>2784.15</v>
      </c>
      <c r="N9" s="1">
        <f t="shared" ref="N9:S9" si="2">N7*N8</f>
        <v>2833.9500000000003</v>
      </c>
      <c r="O9" s="1">
        <f t="shared" si="2"/>
        <v>3429.3</v>
      </c>
      <c r="P9" s="1">
        <f t="shared" si="2"/>
        <v>3547.5</v>
      </c>
      <c r="Q9" s="1">
        <f t="shared" si="2"/>
        <v>4065</v>
      </c>
      <c r="R9" s="1">
        <f t="shared" si="2"/>
        <v>3709.2</v>
      </c>
      <c r="S9" s="1">
        <f t="shared" si="2"/>
        <v>4106.5499999999993</v>
      </c>
      <c r="T9" s="95">
        <f>T7*T8</f>
        <v>3884.8500000000004</v>
      </c>
      <c r="U9" s="95">
        <f>U7*U8</f>
        <v>3871.5000000000005</v>
      </c>
    </row>
    <row r="11" spans="1:21" ht="16" customHeight="1" x14ac:dyDescent="0.35">
      <c r="A11" s="1"/>
      <c r="B11" s="1" t="s">
        <v>14</v>
      </c>
      <c r="C11" s="1"/>
      <c r="D11" s="57"/>
      <c r="E11" s="1"/>
    </row>
    <row r="12" spans="1:21" ht="16" customHeight="1" x14ac:dyDescent="0.35">
      <c r="A12" s="20" t="s">
        <v>15</v>
      </c>
      <c r="B12" s="20" t="s">
        <v>16</v>
      </c>
      <c r="C12" s="20" t="s">
        <v>87</v>
      </c>
      <c r="D12" s="79" t="s">
        <v>97</v>
      </c>
      <c r="E12" s="20" t="s">
        <v>98</v>
      </c>
    </row>
    <row r="13" spans="1:21" ht="16" customHeight="1" x14ac:dyDescent="0.35">
      <c r="A13" s="20"/>
      <c r="B13" s="20"/>
      <c r="C13" s="20"/>
      <c r="D13" s="79"/>
      <c r="E13" s="20">
        <v>0</v>
      </c>
    </row>
    <row r="14" spans="1:21" ht="16" customHeight="1" x14ac:dyDescent="0.35">
      <c r="A14" s="20"/>
      <c r="B14" s="20" t="s">
        <v>135</v>
      </c>
      <c r="C14" s="20"/>
      <c r="D14" s="57">
        <f>D9</f>
        <v>692.7</v>
      </c>
      <c r="E14" s="1">
        <f>E13+C14-D14</f>
        <v>-692.7</v>
      </c>
    </row>
    <row r="15" spans="1:21" ht="16" customHeight="1" x14ac:dyDescent="0.35">
      <c r="A15" s="49">
        <v>45047</v>
      </c>
      <c r="B15" s="1" t="s">
        <v>119</v>
      </c>
      <c r="C15" s="1">
        <v>450</v>
      </c>
      <c r="D15" s="57"/>
      <c r="E15" s="1">
        <f t="shared" ref="E15:E78" si="3">E14+C15-D15</f>
        <v>-242.70000000000005</v>
      </c>
    </row>
    <row r="16" spans="1:21" ht="16" customHeight="1" x14ac:dyDescent="0.35">
      <c r="A16" s="49">
        <v>45061</v>
      </c>
      <c r="B16" s="1" t="s">
        <v>120</v>
      </c>
      <c r="C16" s="1">
        <v>900</v>
      </c>
      <c r="D16" s="57"/>
      <c r="E16" s="1">
        <f t="shared" si="3"/>
        <v>657.3</v>
      </c>
    </row>
    <row r="17" spans="1:5" ht="16" customHeight="1" x14ac:dyDescent="0.35">
      <c r="A17" s="47">
        <v>45071</v>
      </c>
      <c r="B17" s="13" t="s">
        <v>121</v>
      </c>
      <c r="C17" s="13">
        <v>900</v>
      </c>
      <c r="D17" s="57"/>
      <c r="E17" s="1">
        <f t="shared" si="3"/>
        <v>1557.3</v>
      </c>
    </row>
    <row r="18" spans="1:5" ht="16" customHeight="1" x14ac:dyDescent="0.35">
      <c r="A18" s="47"/>
      <c r="B18" s="58" t="s">
        <v>136</v>
      </c>
      <c r="C18" s="13"/>
      <c r="D18" s="57">
        <f>E9</f>
        <v>4449.9000000000005</v>
      </c>
      <c r="E18" s="1">
        <f t="shared" si="3"/>
        <v>-2892.6000000000004</v>
      </c>
    </row>
    <row r="19" spans="1:5" ht="16" customHeight="1" x14ac:dyDescent="0.35">
      <c r="A19" s="49">
        <v>45089</v>
      </c>
      <c r="B19" s="1" t="s">
        <v>122</v>
      </c>
      <c r="C19" s="1">
        <v>900</v>
      </c>
      <c r="D19" s="57"/>
      <c r="E19" s="1">
        <f t="shared" si="3"/>
        <v>-1992.6000000000004</v>
      </c>
    </row>
    <row r="20" spans="1:5" ht="16" customHeight="1" x14ac:dyDescent="0.35">
      <c r="A20" s="49">
        <v>45103</v>
      </c>
      <c r="B20" s="1" t="s">
        <v>123</v>
      </c>
      <c r="C20" s="1">
        <v>900</v>
      </c>
      <c r="D20" s="57"/>
      <c r="E20" s="1">
        <f t="shared" si="3"/>
        <v>-1092.6000000000004</v>
      </c>
    </row>
    <row r="21" spans="1:5" ht="16" customHeight="1" x14ac:dyDescent="0.35">
      <c r="A21" s="49"/>
      <c r="B21" s="20" t="s">
        <v>137</v>
      </c>
      <c r="C21" s="1"/>
      <c r="D21" s="57">
        <f>F9</f>
        <v>4899.45</v>
      </c>
      <c r="E21" s="1">
        <f t="shared" si="3"/>
        <v>-5992.05</v>
      </c>
    </row>
    <row r="22" spans="1:5" ht="16" customHeight="1" x14ac:dyDescent="0.35">
      <c r="A22" s="49">
        <v>45117</v>
      </c>
      <c r="B22" s="1" t="s">
        <v>124</v>
      </c>
      <c r="C22" s="1">
        <v>900</v>
      </c>
      <c r="D22" s="57"/>
      <c r="E22" s="1">
        <f t="shared" si="3"/>
        <v>-5092.05</v>
      </c>
    </row>
    <row r="23" spans="1:5" ht="16" customHeight="1" x14ac:dyDescent="0.35">
      <c r="A23" s="49">
        <v>45131</v>
      </c>
      <c r="B23" s="1" t="s">
        <v>125</v>
      </c>
      <c r="C23" s="1">
        <v>900</v>
      </c>
      <c r="D23" s="57"/>
      <c r="E23" s="1">
        <f t="shared" si="3"/>
        <v>-4192.05</v>
      </c>
    </row>
    <row r="24" spans="1:5" ht="16" customHeight="1" x14ac:dyDescent="0.35">
      <c r="A24" s="49"/>
      <c r="B24" s="20" t="s">
        <v>138</v>
      </c>
      <c r="C24" s="1"/>
      <c r="D24" s="57">
        <f>G9</f>
        <v>3880.2000000000003</v>
      </c>
      <c r="E24" s="1">
        <f t="shared" si="3"/>
        <v>-8072.25</v>
      </c>
    </row>
    <row r="25" spans="1:5" ht="16" customHeight="1" x14ac:dyDescent="0.35">
      <c r="A25" s="49">
        <v>45145</v>
      </c>
      <c r="B25" s="1" t="s">
        <v>126</v>
      </c>
      <c r="C25" s="1">
        <v>900</v>
      </c>
      <c r="D25" s="57"/>
      <c r="E25" s="1">
        <f t="shared" si="3"/>
        <v>-7172.25</v>
      </c>
    </row>
    <row r="26" spans="1:5" ht="16" customHeight="1" x14ac:dyDescent="0.35">
      <c r="A26" s="49">
        <v>45159</v>
      </c>
      <c r="B26" s="1" t="s">
        <v>127</v>
      </c>
      <c r="C26" s="1">
        <v>900</v>
      </c>
      <c r="D26" s="57"/>
      <c r="E26" s="1">
        <f t="shared" si="3"/>
        <v>-6272.25</v>
      </c>
    </row>
    <row r="27" spans="1:5" ht="16" customHeight="1" x14ac:dyDescent="0.35">
      <c r="A27" s="49"/>
      <c r="B27" s="20" t="s">
        <v>139</v>
      </c>
      <c r="C27" s="1"/>
      <c r="D27" s="57">
        <f>H9</f>
        <v>3260.25</v>
      </c>
      <c r="E27" s="1">
        <f t="shared" si="3"/>
        <v>-9532.5</v>
      </c>
    </row>
    <row r="28" spans="1:5" ht="16" customHeight="1" x14ac:dyDescent="0.35">
      <c r="A28" s="49">
        <v>45173</v>
      </c>
      <c r="B28" s="1" t="s">
        <v>128</v>
      </c>
      <c r="C28" s="1">
        <v>900</v>
      </c>
      <c r="D28" s="57"/>
      <c r="E28" s="1">
        <f t="shared" si="3"/>
        <v>-8632.5</v>
      </c>
    </row>
    <row r="29" spans="1:5" ht="16" customHeight="1" x14ac:dyDescent="0.35">
      <c r="A29" s="49">
        <v>45187</v>
      </c>
      <c r="B29" s="1" t="s">
        <v>129</v>
      </c>
      <c r="C29" s="1">
        <v>900</v>
      </c>
      <c r="D29" s="57"/>
      <c r="E29" s="1">
        <f t="shared" si="3"/>
        <v>-7732.5</v>
      </c>
    </row>
    <row r="30" spans="1:5" ht="16" customHeight="1" x14ac:dyDescent="0.35">
      <c r="A30" s="49"/>
      <c r="B30" s="20" t="s">
        <v>140</v>
      </c>
      <c r="C30" s="1"/>
      <c r="D30" s="57">
        <f>I9</f>
        <v>2832.9</v>
      </c>
      <c r="E30" s="1">
        <f t="shared" si="3"/>
        <v>-10565.4</v>
      </c>
    </row>
    <row r="31" spans="1:5" ht="16" customHeight="1" x14ac:dyDescent="0.35">
      <c r="A31" s="49"/>
      <c r="B31" s="1" t="s">
        <v>130</v>
      </c>
      <c r="C31" s="1">
        <v>900</v>
      </c>
      <c r="D31" s="57"/>
      <c r="E31" s="1">
        <f t="shared" si="3"/>
        <v>-9665.4</v>
      </c>
    </row>
    <row r="32" spans="1:5" ht="16" customHeight="1" x14ac:dyDescent="0.35">
      <c r="A32" s="49"/>
      <c r="B32" s="1" t="s">
        <v>131</v>
      </c>
      <c r="C32" s="1">
        <v>900</v>
      </c>
      <c r="D32" s="57"/>
      <c r="E32" s="1">
        <f t="shared" si="3"/>
        <v>-8765.4</v>
      </c>
    </row>
    <row r="33" spans="1:5" ht="16" customHeight="1" x14ac:dyDescent="0.35">
      <c r="A33" s="49"/>
      <c r="B33" s="1" t="s">
        <v>132</v>
      </c>
      <c r="C33" s="1">
        <v>900</v>
      </c>
      <c r="D33" s="57"/>
      <c r="E33" s="1">
        <f t="shared" si="3"/>
        <v>-7865.4</v>
      </c>
    </row>
    <row r="34" spans="1:5" ht="16" customHeight="1" x14ac:dyDescent="0.35">
      <c r="A34" s="49"/>
      <c r="B34" s="20" t="s">
        <v>141</v>
      </c>
      <c r="C34" s="1"/>
      <c r="D34" s="57">
        <f>J9</f>
        <v>4305</v>
      </c>
      <c r="E34" s="1">
        <f t="shared" si="3"/>
        <v>-12170.4</v>
      </c>
    </row>
    <row r="35" spans="1:5" ht="16" customHeight="1" x14ac:dyDescent="0.35">
      <c r="A35" s="49"/>
      <c r="B35" s="1" t="s">
        <v>134</v>
      </c>
      <c r="C35" s="1">
        <v>900</v>
      </c>
      <c r="D35" s="57"/>
      <c r="E35" s="1">
        <f t="shared" si="3"/>
        <v>-11270.4</v>
      </c>
    </row>
    <row r="36" spans="1:5" ht="16" customHeight="1" x14ac:dyDescent="0.35">
      <c r="A36" s="49"/>
      <c r="B36" s="1" t="s">
        <v>134</v>
      </c>
      <c r="C36" s="1">
        <v>900</v>
      </c>
      <c r="D36" s="57"/>
      <c r="E36" s="1">
        <f t="shared" si="3"/>
        <v>-10370.4</v>
      </c>
    </row>
    <row r="37" spans="1:5" ht="16" customHeight="1" x14ac:dyDescent="0.35">
      <c r="A37" s="49"/>
      <c r="B37" s="59" t="s">
        <v>142</v>
      </c>
      <c r="C37" s="1"/>
      <c r="D37" s="57">
        <v>2875</v>
      </c>
      <c r="E37" s="1">
        <f t="shared" si="3"/>
        <v>-13245.4</v>
      </c>
    </row>
    <row r="38" spans="1:5" ht="16" customHeight="1" x14ac:dyDescent="0.35">
      <c r="A38" s="49">
        <v>45253</v>
      </c>
      <c r="B38" s="60" t="s">
        <v>143</v>
      </c>
      <c r="C38" s="1">
        <v>3400</v>
      </c>
      <c r="D38" s="57"/>
      <c r="E38" s="1">
        <f t="shared" si="3"/>
        <v>-9845.4</v>
      </c>
    </row>
    <row r="39" spans="1:5" ht="16" customHeight="1" x14ac:dyDescent="0.35">
      <c r="A39" s="49">
        <v>45258</v>
      </c>
      <c r="B39" s="60" t="s">
        <v>149</v>
      </c>
      <c r="C39" s="6">
        <v>900</v>
      </c>
      <c r="D39" s="57"/>
      <c r="E39" s="1">
        <f t="shared" si="3"/>
        <v>-8945.4</v>
      </c>
    </row>
    <row r="40" spans="1:5" ht="16" customHeight="1" x14ac:dyDescent="0.35">
      <c r="A40" s="49">
        <v>45258</v>
      </c>
      <c r="B40" s="60" t="s">
        <v>150</v>
      </c>
      <c r="C40" s="6">
        <v>900</v>
      </c>
      <c r="D40" s="57"/>
      <c r="E40" s="1">
        <f t="shared" si="3"/>
        <v>-8045.4</v>
      </c>
    </row>
    <row r="41" spans="1:5" ht="16" customHeight="1" x14ac:dyDescent="0.35">
      <c r="A41" s="49">
        <v>45260</v>
      </c>
      <c r="B41" s="60" t="s">
        <v>144</v>
      </c>
      <c r="C41" s="1">
        <v>3000</v>
      </c>
      <c r="D41" s="57"/>
      <c r="E41" s="1">
        <f t="shared" si="3"/>
        <v>-5045.3999999999996</v>
      </c>
    </row>
    <row r="42" spans="1:5" ht="16" customHeight="1" x14ac:dyDescent="0.35">
      <c r="A42" s="49">
        <v>45271</v>
      </c>
      <c r="B42" s="60" t="s">
        <v>143</v>
      </c>
      <c r="C42" s="1">
        <v>1510</v>
      </c>
      <c r="D42" s="57"/>
      <c r="E42" s="1">
        <f t="shared" si="3"/>
        <v>-3535.3999999999996</v>
      </c>
    </row>
    <row r="43" spans="1:5" ht="16" customHeight="1" x14ac:dyDescent="0.35">
      <c r="A43" s="49">
        <v>45276</v>
      </c>
      <c r="B43" s="1" t="s">
        <v>143</v>
      </c>
      <c r="C43" s="1">
        <v>2500</v>
      </c>
      <c r="D43" s="57"/>
      <c r="E43" s="1">
        <f t="shared" si="3"/>
        <v>-1035.3999999999996</v>
      </c>
    </row>
    <row r="44" spans="1:5" ht="16" customHeight="1" x14ac:dyDescent="0.35">
      <c r="A44" s="49">
        <v>45280</v>
      </c>
      <c r="B44" s="1" t="s">
        <v>157</v>
      </c>
      <c r="C44" s="6">
        <v>900</v>
      </c>
      <c r="D44" s="57"/>
      <c r="E44" s="1">
        <f t="shared" si="3"/>
        <v>-135.39999999999964</v>
      </c>
    </row>
    <row r="45" spans="1:5" ht="16" customHeight="1" x14ac:dyDescent="0.35">
      <c r="A45" s="49">
        <v>45289</v>
      </c>
      <c r="B45" s="1" t="s">
        <v>158</v>
      </c>
      <c r="C45" s="6">
        <v>900</v>
      </c>
      <c r="D45" s="57"/>
      <c r="E45" s="1">
        <f t="shared" si="3"/>
        <v>764.60000000000036</v>
      </c>
    </row>
    <row r="46" spans="1:5" ht="16" customHeight="1" x14ac:dyDescent="0.35">
      <c r="A46" s="49">
        <v>45281</v>
      </c>
      <c r="B46" s="1" t="s">
        <v>144</v>
      </c>
      <c r="C46" s="1">
        <v>1500</v>
      </c>
      <c r="D46" s="57"/>
      <c r="E46" s="1">
        <f t="shared" si="3"/>
        <v>2264.6000000000004</v>
      </c>
    </row>
    <row r="47" spans="1:5" ht="16" customHeight="1" x14ac:dyDescent="0.35">
      <c r="A47" s="49">
        <v>45289</v>
      </c>
      <c r="B47" s="60" t="s">
        <v>144</v>
      </c>
      <c r="C47" s="1">
        <v>2500</v>
      </c>
      <c r="D47" s="57"/>
      <c r="E47" s="1">
        <f t="shared" si="3"/>
        <v>4764.6000000000004</v>
      </c>
    </row>
    <row r="48" spans="1:5" ht="16" customHeight="1" x14ac:dyDescent="0.35">
      <c r="A48" s="49" t="s">
        <v>153</v>
      </c>
      <c r="B48" s="59" t="s">
        <v>148</v>
      </c>
      <c r="C48" s="1"/>
      <c r="D48" s="57">
        <f>L9</f>
        <v>3139.5</v>
      </c>
      <c r="E48" s="1">
        <f t="shared" si="3"/>
        <v>1625.1000000000004</v>
      </c>
    </row>
    <row r="49" spans="1:5" ht="16" customHeight="1" x14ac:dyDescent="0.35">
      <c r="A49" s="49"/>
      <c r="B49" s="59"/>
      <c r="C49" s="1">
        <v>900</v>
      </c>
      <c r="D49" s="57"/>
      <c r="E49" s="1">
        <f t="shared" si="3"/>
        <v>2525.1000000000004</v>
      </c>
    </row>
    <row r="50" spans="1:5" ht="16" customHeight="1" x14ac:dyDescent="0.35">
      <c r="A50" s="49"/>
      <c r="B50" s="59"/>
      <c r="C50" s="1">
        <v>900</v>
      </c>
      <c r="D50" s="57"/>
      <c r="E50" s="1">
        <f t="shared" si="3"/>
        <v>3425.1000000000004</v>
      </c>
    </row>
    <row r="51" spans="1:5" ht="16" customHeight="1" x14ac:dyDescent="0.35">
      <c r="A51" s="49"/>
      <c r="B51" s="59"/>
      <c r="C51" s="1"/>
      <c r="D51" s="57"/>
      <c r="E51" s="1">
        <f t="shared" si="3"/>
        <v>3425.1000000000004</v>
      </c>
    </row>
    <row r="52" spans="1:5" ht="16" customHeight="1" x14ac:dyDescent="0.35">
      <c r="A52" s="49"/>
      <c r="B52" s="59"/>
      <c r="C52" s="1"/>
      <c r="D52" s="57"/>
      <c r="E52" s="1">
        <f t="shared" si="3"/>
        <v>3425.1000000000004</v>
      </c>
    </row>
    <row r="53" spans="1:5" ht="16" customHeight="1" x14ac:dyDescent="0.35">
      <c r="A53" s="49" t="s">
        <v>99</v>
      </c>
      <c r="B53" s="59" t="s">
        <v>155</v>
      </c>
      <c r="C53" s="1"/>
      <c r="D53" s="57">
        <f>M9</f>
        <v>2784.15</v>
      </c>
      <c r="E53" s="1">
        <f t="shared" si="3"/>
        <v>640.95000000000027</v>
      </c>
    </row>
    <row r="54" spans="1:5" ht="16" customHeight="1" x14ac:dyDescent="0.35">
      <c r="A54" s="49">
        <v>45316</v>
      </c>
      <c r="B54" s="60" t="s">
        <v>240</v>
      </c>
      <c r="C54" s="1">
        <v>1000</v>
      </c>
      <c r="D54" s="57"/>
      <c r="E54" s="1">
        <f t="shared" si="3"/>
        <v>1640.9500000000003</v>
      </c>
    </row>
    <row r="55" spans="1:5" ht="16" customHeight="1" x14ac:dyDescent="0.35">
      <c r="A55" s="49"/>
      <c r="B55" s="59"/>
      <c r="C55" s="1">
        <v>900</v>
      </c>
      <c r="D55" s="57"/>
      <c r="E55" s="1">
        <f t="shared" si="3"/>
        <v>2540.9500000000003</v>
      </c>
    </row>
    <row r="56" spans="1:5" ht="16" customHeight="1" x14ac:dyDescent="0.35">
      <c r="A56" s="49"/>
      <c r="B56" s="59"/>
      <c r="C56" s="1">
        <v>900</v>
      </c>
      <c r="D56" s="57"/>
      <c r="E56" s="1">
        <f t="shared" si="3"/>
        <v>3440.9500000000003</v>
      </c>
    </row>
    <row r="57" spans="1:5" ht="16" customHeight="1" x14ac:dyDescent="0.35">
      <c r="A57" s="49" t="s">
        <v>100</v>
      </c>
      <c r="B57" s="59" t="s">
        <v>172</v>
      </c>
      <c r="C57" s="1"/>
      <c r="D57" s="57">
        <f>N9</f>
        <v>2833.9500000000003</v>
      </c>
      <c r="E57" s="1">
        <f t="shared" si="3"/>
        <v>607</v>
      </c>
    </row>
    <row r="58" spans="1:5" ht="16" customHeight="1" x14ac:dyDescent="0.35">
      <c r="A58" s="49">
        <v>45334</v>
      </c>
      <c r="B58" s="60" t="s">
        <v>240</v>
      </c>
      <c r="C58" s="1">
        <v>1000</v>
      </c>
      <c r="D58" s="57"/>
      <c r="E58" s="1">
        <f t="shared" si="3"/>
        <v>1607</v>
      </c>
    </row>
    <row r="59" spans="1:5" ht="16" customHeight="1" x14ac:dyDescent="0.35">
      <c r="A59" s="49">
        <v>45337</v>
      </c>
      <c r="B59" s="60" t="s">
        <v>240</v>
      </c>
      <c r="C59" s="1">
        <v>2000</v>
      </c>
      <c r="D59" s="57"/>
      <c r="E59" s="1">
        <f t="shared" si="3"/>
        <v>3607</v>
      </c>
    </row>
    <row r="60" spans="1:5" x14ac:dyDescent="0.35">
      <c r="E60" s="1">
        <f t="shared" si="3"/>
        <v>3607</v>
      </c>
    </row>
    <row r="61" spans="1:5" ht="16" customHeight="1" x14ac:dyDescent="0.35">
      <c r="A61" s="49"/>
      <c r="B61" s="59"/>
      <c r="C61" s="1">
        <v>900</v>
      </c>
      <c r="D61" s="57"/>
      <c r="E61" s="1">
        <f t="shared" si="3"/>
        <v>4507</v>
      </c>
    </row>
    <row r="62" spans="1:5" ht="16" customHeight="1" x14ac:dyDescent="0.35">
      <c r="A62" s="49"/>
      <c r="B62" s="59"/>
      <c r="C62" s="1">
        <v>900</v>
      </c>
      <c r="D62" s="57"/>
      <c r="E62" s="1">
        <f t="shared" si="3"/>
        <v>5407</v>
      </c>
    </row>
    <row r="63" spans="1:5" ht="16" customHeight="1" x14ac:dyDescent="0.35">
      <c r="A63" s="49" t="s">
        <v>235</v>
      </c>
      <c r="B63" s="59" t="s">
        <v>236</v>
      </c>
      <c r="C63" s="1"/>
      <c r="D63" s="57">
        <f>O9</f>
        <v>3429.3</v>
      </c>
      <c r="E63" s="1">
        <f t="shared" si="3"/>
        <v>1977.6999999999998</v>
      </c>
    </row>
    <row r="64" spans="1:5" ht="16" customHeight="1" x14ac:dyDescent="0.35">
      <c r="A64" s="49"/>
      <c r="B64" s="59"/>
      <c r="C64" s="1">
        <v>900</v>
      </c>
      <c r="D64" s="57"/>
      <c r="E64" s="1">
        <f t="shared" si="3"/>
        <v>2877.7</v>
      </c>
    </row>
    <row r="65" spans="1:5" ht="16" customHeight="1" x14ac:dyDescent="0.35">
      <c r="A65" s="49"/>
      <c r="B65" s="59"/>
      <c r="C65" s="1">
        <v>900</v>
      </c>
      <c r="D65" s="57"/>
      <c r="E65" s="1">
        <f t="shared" si="3"/>
        <v>3777.7</v>
      </c>
    </row>
    <row r="66" spans="1:5" ht="16" customHeight="1" x14ac:dyDescent="0.35">
      <c r="A66" s="49"/>
      <c r="B66" s="59"/>
      <c r="C66" s="1"/>
      <c r="D66" s="57"/>
      <c r="E66" s="1">
        <f t="shared" si="3"/>
        <v>3777.7</v>
      </c>
    </row>
    <row r="67" spans="1:5" ht="16" customHeight="1" x14ac:dyDescent="0.35">
      <c r="A67" s="49" t="s">
        <v>6</v>
      </c>
      <c r="B67" s="59" t="s">
        <v>237</v>
      </c>
      <c r="C67" s="1"/>
      <c r="D67" s="57">
        <f>P9</f>
        <v>3547.5</v>
      </c>
      <c r="E67" s="1">
        <f t="shared" si="3"/>
        <v>230.19999999999982</v>
      </c>
    </row>
    <row r="68" spans="1:5" ht="16" customHeight="1" x14ac:dyDescent="0.35">
      <c r="A68" s="49"/>
      <c r="B68" s="59"/>
      <c r="C68" s="1">
        <v>900</v>
      </c>
      <c r="D68" s="57"/>
      <c r="E68" s="1">
        <f t="shared" si="3"/>
        <v>1130.1999999999998</v>
      </c>
    </row>
    <row r="69" spans="1:5" ht="16" customHeight="1" x14ac:dyDescent="0.35">
      <c r="A69" s="49"/>
      <c r="B69" s="59"/>
      <c r="C69" s="1">
        <v>900</v>
      </c>
      <c r="D69" s="57"/>
      <c r="E69" s="1">
        <f t="shared" si="3"/>
        <v>2030.1999999999998</v>
      </c>
    </row>
    <row r="70" spans="1:5" ht="16" customHeight="1" x14ac:dyDescent="0.35">
      <c r="A70" s="49"/>
      <c r="B70" s="59"/>
      <c r="C70" s="1"/>
      <c r="D70" s="57"/>
      <c r="E70" s="1">
        <f t="shared" si="3"/>
        <v>2030.1999999999998</v>
      </c>
    </row>
    <row r="71" spans="1:5" ht="16" customHeight="1" x14ac:dyDescent="0.35">
      <c r="A71" s="49" t="s">
        <v>238</v>
      </c>
      <c r="B71" s="59" t="s">
        <v>239</v>
      </c>
      <c r="C71" s="1"/>
      <c r="D71" s="57">
        <f>Q9</f>
        <v>4065</v>
      </c>
      <c r="E71" s="1">
        <f t="shared" si="3"/>
        <v>-2034.8000000000002</v>
      </c>
    </row>
    <row r="72" spans="1:5" ht="16" customHeight="1" x14ac:dyDescent="0.35">
      <c r="A72" s="49">
        <v>45421</v>
      </c>
      <c r="B72" s="60" t="s">
        <v>240</v>
      </c>
      <c r="C72" s="1">
        <v>4000</v>
      </c>
      <c r="D72" s="57"/>
      <c r="E72" s="1">
        <f t="shared" si="3"/>
        <v>1965.1999999999998</v>
      </c>
    </row>
    <row r="73" spans="1:5" ht="16" customHeight="1" x14ac:dyDescent="0.35">
      <c r="A73" s="49"/>
      <c r="B73" s="59"/>
      <c r="C73" s="1">
        <v>900</v>
      </c>
      <c r="D73" s="57"/>
      <c r="E73" s="1">
        <f t="shared" si="3"/>
        <v>2865.2</v>
      </c>
    </row>
    <row r="74" spans="1:5" ht="16" customHeight="1" x14ac:dyDescent="0.35">
      <c r="A74" s="49"/>
      <c r="B74" s="1"/>
      <c r="C74" s="1">
        <v>900</v>
      </c>
      <c r="D74" s="57"/>
      <c r="E74" s="1">
        <f t="shared" si="3"/>
        <v>3765.2</v>
      </c>
    </row>
    <row r="75" spans="1:5" ht="16" customHeight="1" x14ac:dyDescent="0.35">
      <c r="A75" s="76" t="s">
        <v>241</v>
      </c>
      <c r="B75" s="20" t="s">
        <v>242</v>
      </c>
      <c r="C75" s="20"/>
      <c r="D75" s="79">
        <f>R9</f>
        <v>3709.2</v>
      </c>
      <c r="E75" s="1">
        <f t="shared" si="3"/>
        <v>56</v>
      </c>
    </row>
    <row r="76" spans="1:5" ht="16" customHeight="1" x14ac:dyDescent="0.35">
      <c r="A76" s="49">
        <v>45453</v>
      </c>
      <c r="B76" s="1" t="s">
        <v>240</v>
      </c>
      <c r="C76" s="1">
        <v>700</v>
      </c>
      <c r="D76" s="57"/>
      <c r="E76" s="1">
        <f t="shared" si="3"/>
        <v>756</v>
      </c>
    </row>
    <row r="77" spans="1:5" ht="16" customHeight="1" x14ac:dyDescent="0.35">
      <c r="A77" s="49"/>
      <c r="B77" s="1"/>
      <c r="C77" s="1"/>
      <c r="D77" s="57"/>
      <c r="E77" s="1">
        <f t="shared" si="3"/>
        <v>756</v>
      </c>
    </row>
    <row r="78" spans="1:5" ht="16" customHeight="1" x14ac:dyDescent="0.35">
      <c r="A78" s="76" t="s">
        <v>29</v>
      </c>
      <c r="B78" s="20" t="s">
        <v>259</v>
      </c>
      <c r="C78" s="20"/>
      <c r="D78" s="79">
        <f>S9</f>
        <v>4106.5499999999993</v>
      </c>
      <c r="E78" s="1">
        <f t="shared" si="3"/>
        <v>-3350.5499999999993</v>
      </c>
    </row>
    <row r="79" spans="1:5" ht="16" customHeight="1" x14ac:dyDescent="0.35">
      <c r="A79" s="76"/>
      <c r="B79" s="20"/>
      <c r="C79" s="20"/>
      <c r="D79" s="79"/>
      <c r="E79" s="1">
        <f t="shared" ref="E79:E83" si="4">E78+C79-D79</f>
        <v>-3350.5499999999993</v>
      </c>
    </row>
    <row r="80" spans="1:5" ht="16" customHeight="1" x14ac:dyDescent="0.35">
      <c r="A80" s="76" t="s">
        <v>288</v>
      </c>
      <c r="B80" s="20" t="s">
        <v>289</v>
      </c>
      <c r="C80" s="20"/>
      <c r="D80" s="79">
        <f>T9</f>
        <v>3884.8500000000004</v>
      </c>
      <c r="E80" s="1">
        <f t="shared" si="4"/>
        <v>-7235.4</v>
      </c>
    </row>
    <row r="81" spans="1:5" ht="16" customHeight="1" x14ac:dyDescent="0.35">
      <c r="A81" s="76"/>
      <c r="B81" s="20"/>
      <c r="C81" s="20"/>
      <c r="D81" s="79"/>
      <c r="E81" s="1">
        <f t="shared" si="4"/>
        <v>-7235.4</v>
      </c>
    </row>
    <row r="82" spans="1:5" ht="16" customHeight="1" x14ac:dyDescent="0.35">
      <c r="A82" s="76" t="s">
        <v>291</v>
      </c>
      <c r="B82" s="20" t="s">
        <v>292</v>
      </c>
      <c r="C82" s="20"/>
      <c r="D82" s="79">
        <f>U9</f>
        <v>3871.5000000000005</v>
      </c>
      <c r="E82" s="1">
        <f t="shared" si="4"/>
        <v>-11106.9</v>
      </c>
    </row>
    <row r="83" spans="1:5" ht="16" customHeight="1" x14ac:dyDescent="0.35">
      <c r="A83" s="49"/>
      <c r="B83" s="1"/>
      <c r="C83" s="1"/>
      <c r="D83" s="57"/>
      <c r="E83" s="1">
        <f t="shared" si="4"/>
        <v>-11106.9</v>
      </c>
    </row>
    <row r="84" spans="1:5" ht="16" customHeight="1" x14ac:dyDescent="0.35">
      <c r="A84" s="2"/>
    </row>
    <row r="85" spans="1:5" ht="16" customHeight="1" x14ac:dyDescent="0.35">
      <c r="B85" s="2" t="s">
        <v>70</v>
      </c>
      <c r="C85">
        <f>SUM(C15:C47)</f>
        <v>31960</v>
      </c>
    </row>
    <row r="86" spans="1:5" ht="16" customHeight="1" x14ac:dyDescent="0.35"/>
    <row r="87" spans="1:5" ht="16" customHeight="1" x14ac:dyDescent="0.35">
      <c r="A87" s="2"/>
      <c r="B87" t="s">
        <v>72</v>
      </c>
      <c r="C87" s="8">
        <f>C9-C85</f>
        <v>-7639.5999999999985</v>
      </c>
    </row>
    <row r="88" spans="1:5" ht="16" customHeight="1" x14ac:dyDescent="0.35">
      <c r="A88" s="5"/>
    </row>
    <row r="89" spans="1:5" ht="16" customHeight="1" x14ac:dyDescent="0.35">
      <c r="A89" s="2"/>
    </row>
    <row r="90" spans="1:5" ht="16" customHeight="1" x14ac:dyDescent="0.35">
      <c r="A90" s="2"/>
      <c r="B90" s="4"/>
    </row>
    <row r="91" spans="1:5" ht="16" customHeight="1" x14ac:dyDescent="0.35">
      <c r="A91" s="2"/>
      <c r="B91" s="4"/>
    </row>
    <row r="92" spans="1:5" ht="16" customHeight="1" x14ac:dyDescent="0.35">
      <c r="A92" s="2"/>
      <c r="B92" s="4"/>
    </row>
    <row r="93" spans="1:5" ht="16" customHeight="1" x14ac:dyDescent="0.35">
      <c r="A93" s="2"/>
      <c r="B93" s="4"/>
    </row>
    <row r="94" spans="1:5" ht="16" customHeight="1" x14ac:dyDescent="0.35">
      <c r="A94" s="2"/>
      <c r="B94" s="4"/>
    </row>
    <row r="95" spans="1:5" x14ac:dyDescent="0.35">
      <c r="A95" s="2"/>
    </row>
    <row r="96" spans="1:5" x14ac:dyDescent="0.35">
      <c r="A96" s="2"/>
    </row>
    <row r="97" spans="1:2" ht="18" customHeight="1" x14ac:dyDescent="0.35">
      <c r="A97" s="2"/>
      <c r="B97" s="4"/>
    </row>
    <row r="98" spans="1:2" x14ac:dyDescent="0.35">
      <c r="A98" s="2"/>
    </row>
    <row r="99" spans="1:2" x14ac:dyDescent="0.35">
      <c r="A99" s="2"/>
    </row>
    <row r="100" spans="1:2" x14ac:dyDescent="0.35">
      <c r="A100" s="2"/>
    </row>
    <row r="101" spans="1:2" x14ac:dyDescent="0.35">
      <c r="A101" s="2"/>
    </row>
    <row r="191" spans="7:7" x14ac:dyDescent="0.35">
      <c r="G191" s="9">
        <f>SUM(G7:G190)</f>
        <v>4153.88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EA6F-729A-446A-B335-B5A95EE98F05}">
  <dimension ref="A2:T79"/>
  <sheetViews>
    <sheetView workbookViewId="0">
      <selection activeCell="J27" sqref="J27"/>
    </sheetView>
  </sheetViews>
  <sheetFormatPr defaultRowHeight="14.5" x14ac:dyDescent="0.35"/>
  <cols>
    <col min="1" max="1" width="15.81640625" customWidth="1"/>
    <col min="2" max="2" width="11.81640625" customWidth="1"/>
    <col min="3" max="3" width="35.1796875" customWidth="1"/>
    <col min="4" max="4" width="12.453125" customWidth="1"/>
    <col min="5" max="5" width="10.54296875" customWidth="1"/>
    <col min="16" max="16" width="11.1796875" style="40" bestFit="1" customWidth="1"/>
    <col min="18" max="18" width="13" customWidth="1"/>
  </cols>
  <sheetData>
    <row r="2" spans="1:20" x14ac:dyDescent="0.35">
      <c r="A2" s="35" t="s">
        <v>74</v>
      </c>
    </row>
    <row r="4" spans="1:20" x14ac:dyDescent="0.35">
      <c r="A4" s="1"/>
      <c r="B4" s="1" t="s">
        <v>13</v>
      </c>
      <c r="C4" s="92">
        <v>44896</v>
      </c>
      <c r="D4" s="92">
        <v>44927</v>
      </c>
      <c r="E4" s="92">
        <v>44958</v>
      </c>
      <c r="F4" s="92">
        <v>44986</v>
      </c>
      <c r="G4" s="92">
        <v>45017</v>
      </c>
      <c r="H4" s="92">
        <v>45047</v>
      </c>
      <c r="I4" s="60">
        <v>45047</v>
      </c>
      <c r="J4" s="60">
        <v>45078</v>
      </c>
      <c r="K4" s="60">
        <v>45108</v>
      </c>
      <c r="L4" s="60">
        <v>45139</v>
      </c>
      <c r="M4" s="60">
        <v>45170</v>
      </c>
      <c r="N4" s="60">
        <v>45200</v>
      </c>
      <c r="O4" s="60">
        <v>45231</v>
      </c>
      <c r="P4" s="60">
        <v>45261</v>
      </c>
      <c r="Q4" s="60">
        <v>45292</v>
      </c>
      <c r="R4" s="10">
        <v>45346</v>
      </c>
      <c r="S4" s="10">
        <v>45375</v>
      </c>
      <c r="T4" s="60">
        <v>45444</v>
      </c>
    </row>
    <row r="5" spans="1:20" x14ac:dyDescent="0.35">
      <c r="A5" s="1" t="s">
        <v>10</v>
      </c>
      <c r="B5" s="1"/>
      <c r="C5" s="1">
        <v>115.45</v>
      </c>
      <c r="D5" s="1">
        <v>150.71</v>
      </c>
      <c r="E5" s="1">
        <v>158.87</v>
      </c>
      <c r="F5" s="1">
        <v>238.12</v>
      </c>
      <c r="G5" s="1">
        <v>238.84</v>
      </c>
      <c r="H5" s="1">
        <v>118</v>
      </c>
      <c r="I5" s="1">
        <f>(161.58-H5)-7.5</f>
        <v>36.080000000000013</v>
      </c>
      <c r="J5" s="41">
        <f>199.13-11</f>
        <v>188.13</v>
      </c>
      <c r="K5" s="41">
        <f>225.77-11.5</f>
        <v>214.27</v>
      </c>
      <c r="L5" s="43">
        <v>122.91</v>
      </c>
      <c r="M5" s="43">
        <v>101</v>
      </c>
      <c r="N5" s="43">
        <f>87-4</f>
        <v>83</v>
      </c>
      <c r="O5" s="1">
        <f>75.6-4</f>
        <v>71.599999999999994</v>
      </c>
      <c r="P5" s="57">
        <f>99.3-5</f>
        <v>94.3</v>
      </c>
      <c r="Q5" s="1">
        <f>81-4</f>
        <v>77</v>
      </c>
      <c r="R5" s="1">
        <f>79.35-4</f>
        <v>75.349999999999994</v>
      </c>
      <c r="S5" s="1">
        <f>67.02-3.5</f>
        <v>63.519999999999996</v>
      </c>
      <c r="T5" s="1">
        <f>11*7</f>
        <v>77</v>
      </c>
    </row>
    <row r="6" spans="1:20" x14ac:dyDescent="0.35">
      <c r="A6" s="1" t="s">
        <v>11</v>
      </c>
      <c r="B6" s="1"/>
      <c r="C6" s="1">
        <v>15</v>
      </c>
      <c r="D6" s="1">
        <v>15</v>
      </c>
      <c r="E6" s="1">
        <v>15</v>
      </c>
      <c r="F6" s="1">
        <v>15</v>
      </c>
      <c r="G6" s="1">
        <v>15</v>
      </c>
      <c r="H6" s="1">
        <v>15</v>
      </c>
      <c r="I6" s="1">
        <v>15</v>
      </c>
      <c r="J6" s="1">
        <v>15</v>
      </c>
      <c r="K6" s="1">
        <v>15</v>
      </c>
      <c r="L6" s="1">
        <v>15</v>
      </c>
      <c r="M6" s="1">
        <v>15</v>
      </c>
      <c r="N6" s="1">
        <v>15</v>
      </c>
      <c r="O6" s="1">
        <v>15</v>
      </c>
      <c r="P6" s="57">
        <v>15</v>
      </c>
      <c r="Q6" s="1">
        <v>11</v>
      </c>
      <c r="R6" s="1">
        <v>11</v>
      </c>
      <c r="S6" s="1">
        <v>11</v>
      </c>
      <c r="T6" s="1">
        <v>11</v>
      </c>
    </row>
    <row r="7" spans="1:20" x14ac:dyDescent="0.35">
      <c r="A7" s="1" t="s">
        <v>12</v>
      </c>
      <c r="B7" s="6">
        <f>SUM(C7:N7)</f>
        <v>26480.7</v>
      </c>
      <c r="C7" s="43">
        <f>C5*C6</f>
        <v>1731.75</v>
      </c>
      <c r="D7" s="43">
        <f t="shared" ref="D7:O7" si="0">D5*D6</f>
        <v>2260.65</v>
      </c>
      <c r="E7" s="43">
        <f t="shared" si="0"/>
        <v>2383.0500000000002</v>
      </c>
      <c r="F7" s="43">
        <f t="shared" si="0"/>
        <v>3571.8</v>
      </c>
      <c r="G7" s="43">
        <f t="shared" si="0"/>
        <v>3582.6</v>
      </c>
      <c r="H7" s="43">
        <f t="shared" si="0"/>
        <v>1770</v>
      </c>
      <c r="I7" s="43">
        <f t="shared" si="0"/>
        <v>541.20000000000016</v>
      </c>
      <c r="J7" s="43">
        <f t="shared" si="0"/>
        <v>2821.95</v>
      </c>
      <c r="K7" s="43">
        <f t="shared" si="0"/>
        <v>3214.05</v>
      </c>
      <c r="L7" s="43">
        <f t="shared" si="0"/>
        <v>1843.6499999999999</v>
      </c>
      <c r="M7" s="43">
        <f t="shared" si="0"/>
        <v>1515</v>
      </c>
      <c r="N7" s="43">
        <f t="shared" si="0"/>
        <v>1245</v>
      </c>
      <c r="O7" s="43">
        <f t="shared" si="0"/>
        <v>1074</v>
      </c>
      <c r="P7" s="43">
        <f>P5*P6</f>
        <v>1414.5</v>
      </c>
      <c r="Q7" s="43">
        <f t="shared" ref="Q7:S7" si="1">Q5*Q6</f>
        <v>847</v>
      </c>
      <c r="R7" s="43">
        <f t="shared" si="1"/>
        <v>828.84999999999991</v>
      </c>
      <c r="S7" s="43">
        <f t="shared" si="1"/>
        <v>698.71999999999991</v>
      </c>
      <c r="T7" s="43">
        <f>T5*T6</f>
        <v>847</v>
      </c>
    </row>
    <row r="8" spans="1:20" x14ac:dyDescent="0.35">
      <c r="R8" s="40"/>
    </row>
    <row r="9" spans="1:20" ht="16" customHeight="1" x14ac:dyDescent="0.35">
      <c r="C9" t="s">
        <v>14</v>
      </c>
      <c r="R9" s="40"/>
    </row>
    <row r="10" spans="1:20" ht="16" customHeight="1" x14ac:dyDescent="0.35">
      <c r="A10" s="1"/>
      <c r="B10" s="1" t="s">
        <v>15</v>
      </c>
      <c r="C10" s="1" t="s">
        <v>16</v>
      </c>
      <c r="D10" s="1" t="s">
        <v>17</v>
      </c>
      <c r="E10" s="1" t="s">
        <v>97</v>
      </c>
      <c r="F10" s="1" t="s">
        <v>98</v>
      </c>
      <c r="R10" s="40"/>
    </row>
    <row r="11" spans="1:20" ht="16" customHeight="1" x14ac:dyDescent="0.35">
      <c r="A11" s="1"/>
      <c r="B11" s="1"/>
      <c r="C11" s="1"/>
      <c r="D11" s="1"/>
      <c r="E11" s="1"/>
      <c r="F11" s="1">
        <v>0</v>
      </c>
      <c r="R11" s="40"/>
    </row>
    <row r="12" spans="1:20" ht="16" customHeight="1" x14ac:dyDescent="0.35">
      <c r="A12" s="1" t="s">
        <v>2</v>
      </c>
      <c r="B12" s="1"/>
      <c r="C12" s="1"/>
      <c r="D12" s="1"/>
      <c r="E12" s="1">
        <f>C7</f>
        <v>1731.75</v>
      </c>
      <c r="F12" s="1">
        <f>F11+E12-D12</f>
        <v>1731.75</v>
      </c>
      <c r="R12" s="40"/>
    </row>
    <row r="13" spans="1:20" ht="16" customHeight="1" x14ac:dyDescent="0.35">
      <c r="A13" s="1"/>
      <c r="B13" s="48">
        <v>44932</v>
      </c>
      <c r="C13" s="1" t="s">
        <v>65</v>
      </c>
      <c r="D13" s="1">
        <v>930</v>
      </c>
      <c r="E13" s="1"/>
      <c r="F13" s="1">
        <f t="shared" ref="F13:F46" si="2">F12+E13-D13</f>
        <v>801.75</v>
      </c>
      <c r="R13" s="40"/>
    </row>
    <row r="14" spans="1:20" ht="16" customHeight="1" x14ac:dyDescent="0.35">
      <c r="A14" s="1"/>
      <c r="B14" s="47">
        <v>44946</v>
      </c>
      <c r="C14" s="13" t="s">
        <v>66</v>
      </c>
      <c r="D14" s="13">
        <v>930</v>
      </c>
      <c r="E14" s="1"/>
      <c r="F14" s="1">
        <f t="shared" si="2"/>
        <v>-128.25</v>
      </c>
      <c r="R14" s="40"/>
    </row>
    <row r="15" spans="1:20" ht="16" customHeight="1" x14ac:dyDescent="0.35">
      <c r="A15" s="1" t="s">
        <v>99</v>
      </c>
      <c r="B15" s="47"/>
      <c r="C15" s="13"/>
      <c r="D15" s="13"/>
      <c r="E15" s="1">
        <f>D7</f>
        <v>2260.65</v>
      </c>
      <c r="F15" s="1">
        <f t="shared" si="2"/>
        <v>2132.4</v>
      </c>
      <c r="R15" s="40"/>
    </row>
    <row r="16" spans="1:20" ht="16" customHeight="1" x14ac:dyDescent="0.35">
      <c r="A16" s="1"/>
      <c r="B16" s="49">
        <v>44963</v>
      </c>
      <c r="C16" s="1" t="s">
        <v>67</v>
      </c>
      <c r="D16" s="1">
        <v>930</v>
      </c>
      <c r="E16" s="1"/>
      <c r="F16" s="1">
        <f t="shared" si="2"/>
        <v>1202.4000000000001</v>
      </c>
      <c r="R16" s="40"/>
    </row>
    <row r="17" spans="1:18" ht="16" customHeight="1" x14ac:dyDescent="0.35">
      <c r="A17" s="1"/>
      <c r="B17" s="49">
        <v>44977</v>
      </c>
      <c r="C17" s="1" t="s">
        <v>68</v>
      </c>
      <c r="D17" s="1">
        <v>930</v>
      </c>
      <c r="E17" s="1"/>
      <c r="F17" s="1">
        <f t="shared" si="2"/>
        <v>272.40000000000009</v>
      </c>
      <c r="R17" s="40"/>
    </row>
    <row r="18" spans="1:18" ht="16" customHeight="1" x14ac:dyDescent="0.35">
      <c r="A18" s="1" t="s">
        <v>100</v>
      </c>
      <c r="B18" s="49"/>
      <c r="C18" s="1"/>
      <c r="D18" s="1"/>
      <c r="E18" s="1">
        <f>E7</f>
        <v>2383.0500000000002</v>
      </c>
      <c r="F18" s="1">
        <f t="shared" si="2"/>
        <v>2655.4500000000003</v>
      </c>
      <c r="R18" s="40"/>
    </row>
    <row r="19" spans="1:18" ht="16" customHeight="1" x14ac:dyDescent="0.35">
      <c r="A19" s="1"/>
      <c r="B19" s="49">
        <v>45005</v>
      </c>
      <c r="C19" s="50" t="s">
        <v>69</v>
      </c>
      <c r="D19" s="1">
        <v>1000</v>
      </c>
      <c r="E19" s="1"/>
      <c r="F19" s="1">
        <f t="shared" si="2"/>
        <v>1655.4500000000003</v>
      </c>
      <c r="R19" s="40"/>
    </row>
    <row r="20" spans="1:18" ht="16" customHeight="1" x14ac:dyDescent="0.35">
      <c r="A20" s="1"/>
      <c r="B20" s="48">
        <v>44991</v>
      </c>
      <c r="C20" s="1" t="s">
        <v>79</v>
      </c>
      <c r="D20" s="1">
        <v>930</v>
      </c>
      <c r="E20" s="1"/>
      <c r="F20" s="1">
        <f t="shared" si="2"/>
        <v>725.45000000000027</v>
      </c>
      <c r="R20" s="40"/>
    </row>
    <row r="21" spans="1:18" ht="16" customHeight="1" x14ac:dyDescent="0.35">
      <c r="A21" s="1"/>
      <c r="B21" s="48">
        <v>45005</v>
      </c>
      <c r="C21" s="1" t="s">
        <v>76</v>
      </c>
      <c r="D21" s="1">
        <v>930</v>
      </c>
      <c r="E21" s="1"/>
      <c r="F21" s="1">
        <f t="shared" si="2"/>
        <v>-204.54999999999973</v>
      </c>
      <c r="R21" s="40"/>
    </row>
    <row r="22" spans="1:18" ht="16" customHeight="1" x14ac:dyDescent="0.35">
      <c r="A22" s="1" t="s">
        <v>58</v>
      </c>
      <c r="B22" s="48"/>
      <c r="C22" s="1"/>
      <c r="D22" s="1"/>
      <c r="E22" s="1">
        <f>F7</f>
        <v>3571.8</v>
      </c>
      <c r="F22" s="1">
        <f t="shared" si="2"/>
        <v>3367.2500000000005</v>
      </c>
      <c r="R22" s="40"/>
    </row>
    <row r="23" spans="1:18" ht="16" customHeight="1" x14ac:dyDescent="0.35">
      <c r="A23" s="1"/>
      <c r="B23" s="48">
        <v>45019</v>
      </c>
      <c r="C23" s="1" t="s">
        <v>77</v>
      </c>
      <c r="D23" s="1">
        <v>930</v>
      </c>
      <c r="E23" s="1"/>
      <c r="F23" s="1">
        <f t="shared" si="2"/>
        <v>2437.2500000000005</v>
      </c>
      <c r="R23" s="40"/>
    </row>
    <row r="24" spans="1:18" ht="16" customHeight="1" x14ac:dyDescent="0.35">
      <c r="A24" s="1"/>
      <c r="B24" s="48">
        <v>45033</v>
      </c>
      <c r="C24" s="1" t="s">
        <v>78</v>
      </c>
      <c r="D24" s="1">
        <v>930</v>
      </c>
      <c r="E24" s="1"/>
      <c r="F24" s="1">
        <f t="shared" si="2"/>
        <v>1507.2500000000005</v>
      </c>
      <c r="R24" s="40"/>
    </row>
    <row r="25" spans="1:18" ht="16" customHeight="1" x14ac:dyDescent="0.35">
      <c r="A25" s="1" t="s">
        <v>6</v>
      </c>
      <c r="B25" s="48"/>
      <c r="C25" s="1"/>
      <c r="D25" s="1"/>
      <c r="E25" s="1">
        <f>G7</f>
        <v>3582.6</v>
      </c>
      <c r="F25" s="1">
        <f t="shared" si="2"/>
        <v>5089.8500000000004</v>
      </c>
      <c r="R25" s="40"/>
    </row>
    <row r="26" spans="1:18" ht="16" customHeight="1" x14ac:dyDescent="0.35">
      <c r="A26" s="1"/>
      <c r="B26" s="48">
        <v>45057</v>
      </c>
      <c r="C26" s="1" t="s">
        <v>69</v>
      </c>
      <c r="D26" s="1">
        <v>3000</v>
      </c>
      <c r="E26" s="1"/>
      <c r="F26" s="1">
        <f t="shared" si="2"/>
        <v>2089.8500000000004</v>
      </c>
      <c r="R26" s="40"/>
    </row>
    <row r="27" spans="1:18" ht="16" customHeight="1" x14ac:dyDescent="0.35">
      <c r="A27" s="1"/>
      <c r="B27" s="48">
        <v>45047</v>
      </c>
      <c r="C27" s="1" t="s">
        <v>102</v>
      </c>
      <c r="D27" s="1">
        <v>930</v>
      </c>
      <c r="E27" s="1"/>
      <c r="F27" s="1">
        <f t="shared" si="2"/>
        <v>1159.8500000000004</v>
      </c>
      <c r="R27" s="40"/>
    </row>
    <row r="28" spans="1:18" ht="16" customHeight="1" x14ac:dyDescent="0.35">
      <c r="A28" s="1"/>
      <c r="B28" s="48">
        <v>45061</v>
      </c>
      <c r="C28" s="50" t="s">
        <v>103</v>
      </c>
      <c r="D28" s="1">
        <v>930</v>
      </c>
      <c r="E28" s="1"/>
      <c r="F28" s="1">
        <f t="shared" si="2"/>
        <v>229.85000000000036</v>
      </c>
      <c r="R28" s="40"/>
    </row>
    <row r="29" spans="1:18" ht="16" customHeight="1" x14ac:dyDescent="0.35">
      <c r="A29" s="1"/>
      <c r="B29" s="48">
        <v>45072</v>
      </c>
      <c r="C29" s="50" t="s">
        <v>69</v>
      </c>
      <c r="D29" s="1">
        <v>1999.85</v>
      </c>
      <c r="E29" s="1"/>
      <c r="F29" s="1">
        <f t="shared" si="2"/>
        <v>-1769.9999999999995</v>
      </c>
      <c r="R29" s="40"/>
    </row>
    <row r="30" spans="1:18" ht="16" customHeight="1" x14ac:dyDescent="0.35">
      <c r="A30" s="1"/>
      <c r="B30" s="48">
        <v>45131</v>
      </c>
      <c r="C30" s="50" t="s">
        <v>104</v>
      </c>
      <c r="D30" s="1">
        <v>930</v>
      </c>
      <c r="E30" s="1"/>
      <c r="F30" s="1">
        <f t="shared" si="2"/>
        <v>-2699.9999999999995</v>
      </c>
      <c r="R30" s="40"/>
    </row>
    <row r="31" spans="1:18" ht="16" customHeight="1" x14ac:dyDescent="0.35">
      <c r="A31" s="1" t="s">
        <v>7</v>
      </c>
      <c r="B31" s="49"/>
      <c r="C31" s="50"/>
      <c r="D31" s="1"/>
      <c r="E31" s="1">
        <f>H7+I7</f>
        <v>2311.2000000000003</v>
      </c>
      <c r="F31" s="1">
        <f t="shared" si="2"/>
        <v>-388.79999999999927</v>
      </c>
      <c r="R31" s="40"/>
    </row>
    <row r="32" spans="1:18" ht="16" customHeight="1" x14ac:dyDescent="0.35">
      <c r="A32" s="1" t="s">
        <v>8</v>
      </c>
      <c r="B32" s="49"/>
      <c r="C32" s="50"/>
      <c r="D32" s="1"/>
      <c r="E32" s="1">
        <f>J7</f>
        <v>2821.95</v>
      </c>
      <c r="F32" s="1">
        <f t="shared" si="2"/>
        <v>2433.1500000000005</v>
      </c>
      <c r="R32" s="40"/>
    </row>
    <row r="33" spans="1:18" ht="16" customHeight="1" x14ac:dyDescent="0.35">
      <c r="A33" s="1" t="s">
        <v>29</v>
      </c>
      <c r="B33" s="49"/>
      <c r="C33" s="50"/>
      <c r="D33" s="1"/>
      <c r="E33" s="1">
        <f>K7</f>
        <v>3214.05</v>
      </c>
      <c r="F33" s="1">
        <f t="shared" si="2"/>
        <v>5647.2000000000007</v>
      </c>
      <c r="R33" s="40"/>
    </row>
    <row r="34" spans="1:18" ht="16" customHeight="1" x14ac:dyDescent="0.35">
      <c r="A34" s="1"/>
      <c r="B34" s="48">
        <v>45142</v>
      </c>
      <c r="C34" s="50" t="s">
        <v>88</v>
      </c>
      <c r="D34" s="1">
        <v>4000</v>
      </c>
      <c r="E34" s="1"/>
      <c r="F34" s="1">
        <f t="shared" si="2"/>
        <v>1647.2000000000007</v>
      </c>
      <c r="R34" s="40"/>
    </row>
    <row r="35" spans="1:18" ht="16" customHeight="1" x14ac:dyDescent="0.35">
      <c r="A35" s="1" t="s">
        <v>80</v>
      </c>
      <c r="B35" s="49"/>
      <c r="C35" s="50"/>
      <c r="D35" s="1"/>
      <c r="E35" s="1">
        <f>L7</f>
        <v>1843.6499999999999</v>
      </c>
      <c r="F35" s="1">
        <f t="shared" si="2"/>
        <v>3490.8500000000004</v>
      </c>
      <c r="R35" s="40"/>
    </row>
    <row r="36" spans="1:18" ht="16" customHeight="1" x14ac:dyDescent="0.35">
      <c r="A36" s="1"/>
      <c r="B36" s="48">
        <v>45145</v>
      </c>
      <c r="C36" s="50" t="s">
        <v>105</v>
      </c>
      <c r="D36" s="1">
        <v>930</v>
      </c>
      <c r="E36" s="1"/>
      <c r="F36" s="1">
        <f t="shared" si="2"/>
        <v>2560.8500000000004</v>
      </c>
      <c r="R36" s="40"/>
    </row>
    <row r="37" spans="1:18" ht="16" customHeight="1" x14ac:dyDescent="0.35">
      <c r="A37" s="1"/>
      <c r="B37" s="48">
        <v>45159</v>
      </c>
      <c r="C37" s="50" t="s">
        <v>106</v>
      </c>
      <c r="D37" s="1">
        <v>930</v>
      </c>
      <c r="E37" s="1"/>
      <c r="F37" s="1">
        <f t="shared" si="2"/>
        <v>1630.8500000000004</v>
      </c>
      <c r="R37" s="40"/>
    </row>
    <row r="38" spans="1:18" ht="16" customHeight="1" x14ac:dyDescent="0.35">
      <c r="A38" s="1"/>
      <c r="B38" s="48">
        <v>45173</v>
      </c>
      <c r="C38" s="50" t="s">
        <v>92</v>
      </c>
      <c r="D38" s="1">
        <v>600</v>
      </c>
      <c r="E38" s="1"/>
      <c r="F38" s="1">
        <f t="shared" si="2"/>
        <v>1030.8500000000004</v>
      </c>
      <c r="R38" s="40"/>
    </row>
    <row r="39" spans="1:18" ht="16" customHeight="1" x14ac:dyDescent="0.35">
      <c r="A39" s="1"/>
      <c r="B39" s="48">
        <v>45187</v>
      </c>
      <c r="C39" s="50" t="s">
        <v>93</v>
      </c>
      <c r="D39" s="1">
        <v>600</v>
      </c>
      <c r="E39" s="1"/>
      <c r="F39" s="1">
        <f t="shared" si="2"/>
        <v>430.85000000000036</v>
      </c>
      <c r="R39" s="40"/>
    </row>
    <row r="40" spans="1:18" ht="16" customHeight="1" x14ac:dyDescent="0.35">
      <c r="A40" s="1" t="s">
        <v>81</v>
      </c>
      <c r="B40" s="49"/>
      <c r="C40" s="50"/>
      <c r="D40" s="1"/>
      <c r="E40" s="1">
        <f>M7</f>
        <v>1515</v>
      </c>
      <c r="F40" s="1">
        <f t="shared" si="2"/>
        <v>1945.8500000000004</v>
      </c>
      <c r="R40" s="40"/>
    </row>
    <row r="41" spans="1:18" ht="16" customHeight="1" x14ac:dyDescent="0.35">
      <c r="A41" s="1"/>
      <c r="B41" s="48">
        <v>45201</v>
      </c>
      <c r="C41" s="50" t="s">
        <v>94</v>
      </c>
      <c r="D41" s="1">
        <v>600</v>
      </c>
      <c r="E41" s="1"/>
      <c r="F41" s="1">
        <f t="shared" si="2"/>
        <v>1345.8500000000004</v>
      </c>
      <c r="R41" s="40"/>
    </row>
    <row r="42" spans="1:18" ht="16" customHeight="1" x14ac:dyDescent="0.35">
      <c r="A42" s="1"/>
      <c r="B42" s="48">
        <v>45230</v>
      </c>
      <c r="C42" s="50" t="s">
        <v>95</v>
      </c>
      <c r="D42" s="1">
        <v>840</v>
      </c>
      <c r="E42" s="1"/>
      <c r="F42" s="1">
        <f t="shared" si="2"/>
        <v>505.85000000000036</v>
      </c>
      <c r="R42" s="40"/>
    </row>
    <row r="43" spans="1:18" ht="16" customHeight="1" x14ac:dyDescent="0.35">
      <c r="A43" s="1" t="s">
        <v>101</v>
      </c>
      <c r="B43" s="49"/>
      <c r="C43" s="50"/>
      <c r="D43" s="1"/>
      <c r="E43" s="1">
        <f>N7</f>
        <v>1245</v>
      </c>
      <c r="F43" s="1">
        <f t="shared" si="2"/>
        <v>1750.8500000000004</v>
      </c>
      <c r="R43" s="40"/>
    </row>
    <row r="44" spans="1:18" ht="16" customHeight="1" x14ac:dyDescent="0.35">
      <c r="A44" s="1"/>
      <c r="B44" s="48">
        <v>45231</v>
      </c>
      <c r="C44" s="50" t="s">
        <v>96</v>
      </c>
      <c r="D44" s="1">
        <v>130</v>
      </c>
      <c r="E44" s="1"/>
      <c r="F44" s="1">
        <f t="shared" si="2"/>
        <v>1620.8500000000004</v>
      </c>
      <c r="R44" s="40"/>
    </row>
    <row r="45" spans="1:18" ht="16" customHeight="1" x14ac:dyDescent="0.35">
      <c r="A45" s="1"/>
      <c r="B45" s="1"/>
      <c r="C45" s="50" t="s">
        <v>107</v>
      </c>
      <c r="D45" s="1">
        <v>600</v>
      </c>
      <c r="E45" s="1"/>
      <c r="F45" s="1">
        <f t="shared" si="2"/>
        <v>1020.8500000000004</v>
      </c>
      <c r="R45" s="40"/>
    </row>
    <row r="46" spans="1:18" ht="16" customHeight="1" x14ac:dyDescent="0.35">
      <c r="A46" s="1"/>
      <c r="B46" s="48">
        <v>45239</v>
      </c>
      <c r="C46" s="50" t="s">
        <v>108</v>
      </c>
      <c r="D46" s="1">
        <v>600</v>
      </c>
      <c r="E46" s="1"/>
      <c r="F46" s="1">
        <f t="shared" si="2"/>
        <v>420.85000000000036</v>
      </c>
      <c r="R46" s="40"/>
    </row>
    <row r="47" spans="1:18" ht="16" customHeight="1" x14ac:dyDescent="0.35">
      <c r="A47" s="1"/>
      <c r="B47" s="49">
        <v>45246</v>
      </c>
      <c r="C47" s="50" t="s">
        <v>88</v>
      </c>
      <c r="D47" s="1">
        <v>420</v>
      </c>
      <c r="E47" s="1"/>
      <c r="F47" s="1">
        <v>0</v>
      </c>
      <c r="R47" s="40"/>
    </row>
    <row r="48" spans="1:18" ht="16" customHeight="1" x14ac:dyDescent="0.35">
      <c r="A48" s="1"/>
      <c r="B48" s="49"/>
      <c r="C48" s="50"/>
      <c r="D48" s="1"/>
      <c r="E48" s="1"/>
      <c r="F48" s="1">
        <f>F47-D48+E48</f>
        <v>0</v>
      </c>
      <c r="R48" s="40"/>
    </row>
    <row r="49" spans="1:18" ht="16" customHeight="1" x14ac:dyDescent="0.35">
      <c r="A49" s="1" t="s">
        <v>151</v>
      </c>
      <c r="B49" s="49"/>
      <c r="C49" s="50" t="s">
        <v>152</v>
      </c>
      <c r="D49" s="1"/>
      <c r="E49" s="1">
        <f>O7</f>
        <v>1074</v>
      </c>
      <c r="F49" s="1">
        <f t="shared" ref="F49:F67" si="3">F48-D49+E49</f>
        <v>1074</v>
      </c>
      <c r="R49" s="40"/>
    </row>
    <row r="50" spans="1:18" ht="16" customHeight="1" x14ac:dyDescent="0.35">
      <c r="A50" s="1"/>
      <c r="B50" s="49"/>
      <c r="C50" s="50"/>
      <c r="D50" s="1"/>
      <c r="E50" s="1"/>
      <c r="F50" s="1">
        <f t="shared" si="3"/>
        <v>1074</v>
      </c>
      <c r="R50" s="40"/>
    </row>
    <row r="51" spans="1:18" ht="16" customHeight="1" x14ac:dyDescent="0.35">
      <c r="A51" s="1"/>
      <c r="B51" s="49"/>
      <c r="C51" s="50"/>
      <c r="D51" s="1"/>
      <c r="E51" s="1"/>
      <c r="F51" s="1">
        <f t="shared" si="3"/>
        <v>1074</v>
      </c>
      <c r="R51" s="40"/>
    </row>
    <row r="52" spans="1:18" ht="16" customHeight="1" x14ac:dyDescent="0.35">
      <c r="A52" s="1" t="s">
        <v>153</v>
      </c>
      <c r="B52" s="49"/>
      <c r="C52" s="50" t="s">
        <v>147</v>
      </c>
      <c r="D52" s="1"/>
      <c r="E52" s="1">
        <f>P7</f>
        <v>1414.5</v>
      </c>
      <c r="F52" s="1">
        <f t="shared" si="3"/>
        <v>2488.5</v>
      </c>
      <c r="R52" s="40"/>
    </row>
    <row r="53" spans="1:18" ht="16" customHeight="1" x14ac:dyDescent="0.35">
      <c r="A53" s="1"/>
      <c r="B53" s="49">
        <v>45266</v>
      </c>
      <c r="C53" s="50" t="s">
        <v>168</v>
      </c>
      <c r="D53" s="1">
        <v>600</v>
      </c>
      <c r="E53" s="1"/>
      <c r="F53" s="1">
        <f t="shared" si="3"/>
        <v>1888.5</v>
      </c>
      <c r="R53" s="40"/>
    </row>
    <row r="54" spans="1:18" ht="16" customHeight="1" x14ac:dyDescent="0.35">
      <c r="A54" s="1"/>
      <c r="B54" s="49">
        <v>45266</v>
      </c>
      <c r="C54" s="50" t="s">
        <v>169</v>
      </c>
      <c r="D54" s="1">
        <v>600</v>
      </c>
      <c r="E54" s="1"/>
      <c r="F54" s="1">
        <f t="shared" si="3"/>
        <v>1288.5</v>
      </c>
      <c r="R54" s="40"/>
    </row>
    <row r="55" spans="1:18" ht="16" customHeight="1" x14ac:dyDescent="0.35">
      <c r="A55" s="1"/>
      <c r="B55" s="49"/>
      <c r="C55" s="50"/>
      <c r="D55" s="1"/>
      <c r="E55" s="1"/>
      <c r="F55" s="1">
        <f t="shared" si="3"/>
        <v>1288.5</v>
      </c>
      <c r="R55" s="40"/>
    </row>
    <row r="56" spans="1:18" ht="16" customHeight="1" x14ac:dyDescent="0.35">
      <c r="A56" s="1" t="s">
        <v>99</v>
      </c>
      <c r="B56" s="49"/>
      <c r="C56" s="50" t="s">
        <v>156</v>
      </c>
      <c r="D56" s="1">
        <v>600</v>
      </c>
      <c r="E56" s="1">
        <f>Q7</f>
        <v>847</v>
      </c>
      <c r="F56" s="1">
        <f t="shared" si="3"/>
        <v>1535.5</v>
      </c>
      <c r="R56" s="40"/>
    </row>
    <row r="57" spans="1:18" ht="16" customHeight="1" x14ac:dyDescent="0.35">
      <c r="A57" s="1"/>
      <c r="B57" s="49">
        <v>45307</v>
      </c>
      <c r="C57" s="50" t="s">
        <v>170</v>
      </c>
      <c r="D57" s="1">
        <v>600</v>
      </c>
      <c r="E57" s="1"/>
      <c r="F57" s="1">
        <f t="shared" si="3"/>
        <v>935.5</v>
      </c>
      <c r="R57" s="40"/>
    </row>
    <row r="58" spans="1:18" ht="16" customHeight="1" x14ac:dyDescent="0.35">
      <c r="A58" s="1"/>
      <c r="B58" s="49">
        <v>45307</v>
      </c>
      <c r="C58" s="50" t="s">
        <v>171</v>
      </c>
      <c r="D58" s="1"/>
      <c r="E58" s="1"/>
      <c r="F58" s="1">
        <f t="shared" si="3"/>
        <v>935.5</v>
      </c>
      <c r="R58" s="40"/>
    </row>
    <row r="59" spans="1:18" x14ac:dyDescent="0.35">
      <c r="A59" s="1"/>
      <c r="B59" s="1"/>
      <c r="C59" s="1"/>
      <c r="D59" s="1"/>
      <c r="E59" s="1"/>
      <c r="F59" s="1">
        <f t="shared" si="3"/>
        <v>935.5</v>
      </c>
    </row>
    <row r="60" spans="1:18" ht="16" customHeight="1" x14ac:dyDescent="0.35">
      <c r="A60" s="1"/>
      <c r="B60" s="49"/>
      <c r="C60" s="50"/>
      <c r="D60" s="1"/>
      <c r="E60" s="1"/>
      <c r="F60" s="1">
        <f t="shared" si="3"/>
        <v>935.5</v>
      </c>
      <c r="R60" s="40"/>
    </row>
    <row r="61" spans="1:18" ht="16" customHeight="1" x14ac:dyDescent="0.35">
      <c r="A61" s="1" t="s">
        <v>166</v>
      </c>
      <c r="B61" s="49"/>
      <c r="C61" s="50" t="s">
        <v>167</v>
      </c>
      <c r="D61" s="1"/>
      <c r="E61" s="1">
        <f>R7</f>
        <v>828.84999999999991</v>
      </c>
      <c r="F61" s="1">
        <f t="shared" si="3"/>
        <v>1764.35</v>
      </c>
      <c r="R61" s="40"/>
    </row>
    <row r="62" spans="1:18" ht="16" customHeight="1" x14ac:dyDescent="0.35">
      <c r="A62" s="1"/>
      <c r="B62" s="49"/>
      <c r="C62" s="50"/>
      <c r="D62" s="1"/>
      <c r="E62" s="1"/>
      <c r="F62" s="1">
        <f t="shared" si="3"/>
        <v>1764.35</v>
      </c>
      <c r="R62" s="40"/>
    </row>
    <row r="63" spans="1:18" ht="26.5" customHeight="1" x14ac:dyDescent="0.35">
      <c r="A63" s="1"/>
      <c r="B63" s="49">
        <v>45368</v>
      </c>
      <c r="C63" s="62" t="s">
        <v>173</v>
      </c>
      <c r="D63" s="1">
        <v>3000</v>
      </c>
      <c r="E63" s="1"/>
      <c r="F63" s="1">
        <f t="shared" si="3"/>
        <v>-1235.6500000000001</v>
      </c>
      <c r="R63" s="40"/>
    </row>
    <row r="64" spans="1:18" ht="16" customHeight="1" x14ac:dyDescent="0.35">
      <c r="A64" s="1" t="s">
        <v>58</v>
      </c>
      <c r="B64" s="49"/>
      <c r="C64" s="50" t="s">
        <v>212</v>
      </c>
      <c r="D64" s="1"/>
      <c r="E64" s="1">
        <f>S7</f>
        <v>698.71999999999991</v>
      </c>
      <c r="F64" s="1">
        <f t="shared" si="3"/>
        <v>-536.93000000000018</v>
      </c>
      <c r="R64" s="40"/>
    </row>
    <row r="65" spans="1:18" ht="16" customHeight="1" x14ac:dyDescent="0.35">
      <c r="A65" s="1"/>
      <c r="B65" s="49"/>
      <c r="C65" s="50"/>
      <c r="D65" s="1"/>
      <c r="E65" s="1"/>
      <c r="F65" s="1">
        <f t="shared" si="3"/>
        <v>-536.93000000000018</v>
      </c>
      <c r="K65" t="s">
        <v>227</v>
      </c>
      <c r="R65" s="40"/>
    </row>
    <row r="66" spans="1:18" ht="16" customHeight="1" x14ac:dyDescent="0.35">
      <c r="A66" s="1"/>
      <c r="B66" s="49"/>
      <c r="C66" s="50" t="s">
        <v>250</v>
      </c>
      <c r="D66" s="1"/>
      <c r="E66" s="1">
        <f>T7</f>
        <v>847</v>
      </c>
      <c r="F66" s="1">
        <f t="shared" si="3"/>
        <v>310.06999999999982</v>
      </c>
      <c r="R66" s="40"/>
    </row>
    <row r="67" spans="1:18" ht="16" customHeight="1" x14ac:dyDescent="0.35">
      <c r="A67" s="1"/>
      <c r="B67" s="49"/>
      <c r="C67" s="50"/>
      <c r="D67" s="1"/>
      <c r="E67" s="1"/>
      <c r="F67" s="1">
        <f t="shared" si="3"/>
        <v>310.06999999999982</v>
      </c>
      <c r="R67" s="40"/>
    </row>
    <row r="68" spans="1:18" ht="16" customHeight="1" x14ac:dyDescent="0.35">
      <c r="B68" s="2"/>
      <c r="C68" s="4"/>
      <c r="R68" s="40"/>
    </row>
    <row r="69" spans="1:18" ht="16" customHeight="1" x14ac:dyDescent="0.35">
      <c r="B69" s="2"/>
      <c r="C69" s="4" t="s">
        <v>70</v>
      </c>
      <c r="D69" s="34">
        <f>SUM(D13:D68)</f>
        <v>31879.85</v>
      </c>
    </row>
    <row r="70" spans="1:18" ht="16" customHeight="1" x14ac:dyDescent="0.35">
      <c r="B70" s="2"/>
      <c r="C70" s="4"/>
    </row>
    <row r="71" spans="1:18" ht="16" customHeight="1" x14ac:dyDescent="0.35">
      <c r="B71" s="2"/>
      <c r="C71" s="4" t="s">
        <v>71</v>
      </c>
      <c r="D71" s="39">
        <f>B7-D69</f>
        <v>-5399.1499999999978</v>
      </c>
    </row>
    <row r="72" spans="1:18" ht="16" customHeight="1" x14ac:dyDescent="0.35">
      <c r="B72" s="2"/>
      <c r="C72" s="4"/>
    </row>
    <row r="73" spans="1:18" x14ac:dyDescent="0.35">
      <c r="B73" s="2"/>
    </row>
    <row r="74" spans="1:18" x14ac:dyDescent="0.35">
      <c r="B74" s="2"/>
    </row>
    <row r="75" spans="1:18" ht="18" customHeight="1" x14ac:dyDescent="0.35">
      <c r="B75" s="2"/>
      <c r="C75" s="4"/>
    </row>
    <row r="76" spans="1:18" x14ac:dyDescent="0.35">
      <c r="B76" s="2"/>
    </row>
    <row r="77" spans="1:18" x14ac:dyDescent="0.35">
      <c r="B77" s="2"/>
    </row>
    <row r="78" spans="1:18" x14ac:dyDescent="0.35">
      <c r="B78" s="2"/>
    </row>
    <row r="79" spans="1:18" x14ac:dyDescent="0.35">
      <c r="B79" s="2"/>
    </row>
  </sheetData>
  <phoneticPr fontId="2" type="noConversion"/>
  <pageMargins left="0.25" right="0.25" top="0.75" bottom="0.75" header="0.3" footer="0.3"/>
  <pageSetup scale="80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CD35-69D7-449E-B15D-0405654B378A}">
  <dimension ref="A2:R129"/>
  <sheetViews>
    <sheetView workbookViewId="0">
      <selection activeCell="F22" sqref="F22"/>
    </sheetView>
  </sheetViews>
  <sheetFormatPr defaultRowHeight="14.5" x14ac:dyDescent="0.35"/>
  <cols>
    <col min="1" max="1" width="9.7265625" bestFit="1" customWidth="1"/>
    <col min="2" max="2" width="39.54296875" customWidth="1"/>
    <col min="3" max="3" width="11.81640625" customWidth="1"/>
    <col min="4" max="4" width="10.54296875" customWidth="1"/>
  </cols>
  <sheetData>
    <row r="2" spans="1:18" x14ac:dyDescent="0.35">
      <c r="B2" s="35" t="s">
        <v>261</v>
      </c>
    </row>
    <row r="4" spans="1:18" x14ac:dyDescent="0.35">
      <c r="B4" s="1"/>
      <c r="C4" s="1" t="s">
        <v>13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29</v>
      </c>
      <c r="L4" s="1" t="s">
        <v>80</v>
      </c>
      <c r="M4" s="1" t="s">
        <v>46</v>
      </c>
      <c r="N4" s="55" t="s">
        <v>47</v>
      </c>
      <c r="O4" s="1" t="s">
        <v>1</v>
      </c>
      <c r="P4" s="1" t="s">
        <v>2</v>
      </c>
      <c r="Q4" s="61">
        <v>45292</v>
      </c>
      <c r="R4" s="5">
        <v>45346</v>
      </c>
    </row>
    <row r="5" spans="1:18" x14ac:dyDescent="0.35">
      <c r="B5" s="1" t="s">
        <v>10</v>
      </c>
      <c r="C5" s="1"/>
      <c r="D5" s="1"/>
      <c r="E5" s="1"/>
      <c r="F5" s="1"/>
      <c r="G5" s="1"/>
      <c r="H5" s="1"/>
      <c r="I5" s="1">
        <v>38.99</v>
      </c>
      <c r="J5" s="1">
        <v>100.18</v>
      </c>
      <c r="K5" s="43">
        <v>189.94</v>
      </c>
      <c r="L5" s="43">
        <v>138.12</v>
      </c>
      <c r="M5" s="43">
        <v>75</v>
      </c>
      <c r="N5" s="46">
        <f>135.9-6.5</f>
        <v>129.4</v>
      </c>
      <c r="O5" s="1">
        <f>102.4-6</f>
        <v>96.4</v>
      </c>
      <c r="P5" s="1">
        <f>94.53-5</f>
        <v>89.53</v>
      </c>
      <c r="Q5">
        <f>130-8</f>
        <v>122</v>
      </c>
      <c r="R5">
        <f>87.8-5</f>
        <v>82.8</v>
      </c>
    </row>
    <row r="6" spans="1:18" x14ac:dyDescent="0.35">
      <c r="B6" s="1" t="s">
        <v>11</v>
      </c>
      <c r="C6" s="1"/>
      <c r="D6" s="1">
        <v>15</v>
      </c>
      <c r="E6" s="1">
        <v>15</v>
      </c>
      <c r="F6" s="1">
        <v>15</v>
      </c>
      <c r="G6" s="1">
        <v>15</v>
      </c>
      <c r="H6" s="1">
        <v>15</v>
      </c>
      <c r="I6" s="1">
        <v>15</v>
      </c>
      <c r="J6" s="1">
        <v>15</v>
      </c>
      <c r="K6" s="1">
        <v>15</v>
      </c>
      <c r="L6" s="1">
        <v>15</v>
      </c>
      <c r="M6" s="1">
        <v>15</v>
      </c>
      <c r="N6" s="55">
        <v>15</v>
      </c>
      <c r="O6" s="1">
        <v>15</v>
      </c>
      <c r="P6" s="1">
        <v>15</v>
      </c>
      <c r="Q6" s="45">
        <v>15</v>
      </c>
      <c r="R6" s="45">
        <v>15</v>
      </c>
    </row>
    <row r="7" spans="1:18" x14ac:dyDescent="0.35">
      <c r="B7" s="1" t="s">
        <v>12</v>
      </c>
      <c r="C7" s="6">
        <f>SUM(D7:R7)</f>
        <v>15935.400000000001</v>
      </c>
      <c r="D7" s="1">
        <f t="shared" ref="D7:N7" si="0">D5*D6</f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584.85</v>
      </c>
      <c r="J7" s="1">
        <f t="shared" si="0"/>
        <v>1502.7</v>
      </c>
      <c r="K7" s="1">
        <f>K5*K6</f>
        <v>2849.1</v>
      </c>
      <c r="L7" s="1">
        <f t="shared" si="0"/>
        <v>2071.8000000000002</v>
      </c>
      <c r="M7" s="1">
        <f t="shared" si="0"/>
        <v>1125</v>
      </c>
      <c r="N7" s="56">
        <f t="shared" si="0"/>
        <v>1941</v>
      </c>
      <c r="O7" s="1">
        <f>O5*O6</f>
        <v>1446</v>
      </c>
      <c r="P7" s="1">
        <f>P5*P6</f>
        <v>1342.95</v>
      </c>
      <c r="Q7" s="1">
        <f>Q5*Q6</f>
        <v>1830</v>
      </c>
      <c r="R7" s="1">
        <f>R5*R6</f>
        <v>1242</v>
      </c>
    </row>
    <row r="9" spans="1:18" x14ac:dyDescent="0.35">
      <c r="B9" s="1"/>
      <c r="C9" s="1" t="s">
        <v>13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29</v>
      </c>
      <c r="L9" s="1" t="s">
        <v>80</v>
      </c>
      <c r="M9" s="1" t="s">
        <v>46</v>
      </c>
      <c r="N9" s="1" t="s">
        <v>47</v>
      </c>
      <c r="O9" s="1" t="s">
        <v>1</v>
      </c>
      <c r="P9" s="1" t="s">
        <v>2</v>
      </c>
      <c r="Q9" s="60">
        <v>45292</v>
      </c>
      <c r="R9" s="10">
        <v>45346</v>
      </c>
    </row>
    <row r="10" spans="1:18" x14ac:dyDescent="0.35">
      <c r="B10" s="1" t="s">
        <v>10</v>
      </c>
      <c r="C10" s="1"/>
      <c r="D10" s="1"/>
      <c r="E10" s="1">
        <f>130.61-8</f>
        <v>122.61000000000001</v>
      </c>
      <c r="F10" s="1">
        <f>87.8-5</f>
        <v>82.8</v>
      </c>
      <c r="G10" s="1">
        <f>139.63-7.5</f>
        <v>132.13</v>
      </c>
      <c r="H10" s="1">
        <f>146.51-7.5</f>
        <v>139.01</v>
      </c>
      <c r="I10" s="1">
        <f>213.36-11</f>
        <v>202.36</v>
      </c>
      <c r="J10" s="1">
        <f>182.82-9</f>
        <v>173.82</v>
      </c>
      <c r="K10" s="1">
        <f>185.32-10</f>
        <v>175.32</v>
      </c>
      <c r="L10" s="1">
        <f>115.5-5.5</f>
        <v>110</v>
      </c>
      <c r="M10" s="1">
        <f>130.78-7</f>
        <v>123.78</v>
      </c>
      <c r="N10" s="1"/>
      <c r="O10" s="1"/>
      <c r="P10" s="1"/>
      <c r="Q10" s="1"/>
      <c r="R10" s="1"/>
    </row>
    <row r="11" spans="1:18" x14ac:dyDescent="0.35">
      <c r="B11" s="1" t="s">
        <v>11</v>
      </c>
      <c r="C11" s="1"/>
      <c r="D11" s="1"/>
      <c r="E11" s="1">
        <v>15</v>
      </c>
      <c r="F11" s="1">
        <v>15</v>
      </c>
      <c r="G11" s="1">
        <v>15</v>
      </c>
      <c r="H11" s="1">
        <v>15</v>
      </c>
      <c r="I11" s="1">
        <v>15</v>
      </c>
      <c r="J11" s="1">
        <v>15</v>
      </c>
      <c r="K11" s="1">
        <v>15</v>
      </c>
      <c r="L11" s="1">
        <v>15</v>
      </c>
      <c r="M11" s="1">
        <v>15</v>
      </c>
      <c r="N11" s="1"/>
      <c r="O11" s="1"/>
      <c r="P11" s="1"/>
      <c r="Q11" s="1"/>
      <c r="R11" s="1"/>
    </row>
    <row r="12" spans="1:18" x14ac:dyDescent="0.35">
      <c r="B12" s="1" t="s">
        <v>12</v>
      </c>
      <c r="C12" s="1">
        <f>SUM(D12:R12)</f>
        <v>18927.45</v>
      </c>
      <c r="D12" s="1"/>
      <c r="E12" s="1">
        <f t="shared" ref="E12:I12" si="1">E10*E11</f>
        <v>1839.15</v>
      </c>
      <c r="F12" s="1">
        <f t="shared" si="1"/>
        <v>1242</v>
      </c>
      <c r="G12" s="1">
        <f t="shared" si="1"/>
        <v>1981.9499999999998</v>
      </c>
      <c r="H12" s="1">
        <f t="shared" si="1"/>
        <v>2085.1499999999996</v>
      </c>
      <c r="I12" s="1">
        <f t="shared" si="1"/>
        <v>3035.4</v>
      </c>
      <c r="J12" s="1">
        <f>J10*J11</f>
        <v>2607.2999999999997</v>
      </c>
      <c r="K12" s="1">
        <f>K10*K11</f>
        <v>2629.7999999999997</v>
      </c>
      <c r="L12" s="1">
        <f>L10*L11</f>
        <v>1650</v>
      </c>
      <c r="M12" s="1">
        <f>M10*M11</f>
        <v>1856.7</v>
      </c>
      <c r="N12" s="1"/>
      <c r="O12" s="1"/>
      <c r="P12" s="1"/>
      <c r="Q12" s="1"/>
      <c r="R12" s="1"/>
    </row>
    <row r="15" spans="1:18" ht="16" customHeight="1" x14ac:dyDescent="0.35">
      <c r="B15" t="s">
        <v>14</v>
      </c>
    </row>
    <row r="16" spans="1:18" ht="16" customHeight="1" x14ac:dyDescent="0.35">
      <c r="A16" s="3" t="s">
        <v>15</v>
      </c>
      <c r="B16" s="3" t="s">
        <v>16</v>
      </c>
      <c r="C16" s="3" t="s">
        <v>17</v>
      </c>
    </row>
    <row r="17" spans="1:3" ht="16" customHeight="1" x14ac:dyDescent="0.35">
      <c r="A17" s="33"/>
    </row>
    <row r="18" spans="1:3" ht="16" customHeight="1" x14ac:dyDescent="0.35">
      <c r="A18" s="31"/>
      <c r="B18" s="32"/>
      <c r="C18" s="32"/>
    </row>
    <row r="19" spans="1:3" ht="16" customHeight="1" x14ac:dyDescent="0.35">
      <c r="A19" s="2"/>
    </row>
    <row r="20" spans="1:3" ht="16" customHeight="1" x14ac:dyDescent="0.35">
      <c r="A20" s="2"/>
    </row>
    <row r="21" spans="1:3" ht="16" customHeight="1" x14ac:dyDescent="0.35">
      <c r="A21" s="2"/>
      <c r="B21" s="4"/>
    </row>
    <row r="22" spans="1:3" ht="16" customHeight="1" x14ac:dyDescent="0.35">
      <c r="A22" s="33"/>
    </row>
    <row r="23" spans="1:3" ht="16" customHeight="1" x14ac:dyDescent="0.35">
      <c r="A23" s="33"/>
    </row>
    <row r="24" spans="1:3" ht="16" customHeight="1" x14ac:dyDescent="0.35">
      <c r="A24" s="33"/>
    </row>
    <row r="25" spans="1:3" ht="16" customHeight="1" x14ac:dyDescent="0.35">
      <c r="A25" s="33"/>
    </row>
    <row r="26" spans="1:3" ht="16" customHeight="1" x14ac:dyDescent="0.35">
      <c r="A26" s="33"/>
    </row>
    <row r="27" spans="1:3" ht="16" customHeight="1" x14ac:dyDescent="0.35">
      <c r="A27" s="33"/>
    </row>
    <row r="28" spans="1:3" ht="16" customHeight="1" x14ac:dyDescent="0.35">
      <c r="A28" s="2"/>
      <c r="B28" s="4"/>
    </row>
    <row r="29" spans="1:3" ht="16" customHeight="1" x14ac:dyDescent="0.35">
      <c r="A29" s="2"/>
      <c r="B29" s="4" t="s">
        <v>70</v>
      </c>
      <c r="C29" s="34">
        <f>SUM(C17:C28)</f>
        <v>0</v>
      </c>
    </row>
    <row r="30" spans="1:3" ht="16" customHeight="1" x14ac:dyDescent="0.35">
      <c r="A30" s="2"/>
      <c r="B30" s="4"/>
    </row>
    <row r="31" spans="1:3" ht="16" customHeight="1" x14ac:dyDescent="0.35">
      <c r="A31" s="2"/>
      <c r="B31" s="4" t="s">
        <v>71</v>
      </c>
      <c r="C31" s="8">
        <f>C7-C29</f>
        <v>15935.400000000001</v>
      </c>
    </row>
    <row r="32" spans="1:3" ht="16" customHeight="1" x14ac:dyDescent="0.35">
      <c r="A32" s="2"/>
      <c r="B32" s="4"/>
    </row>
    <row r="33" spans="1:2" x14ac:dyDescent="0.35">
      <c r="A33" s="2"/>
    </row>
    <row r="34" spans="1:2" x14ac:dyDescent="0.35">
      <c r="A34" s="2"/>
    </row>
    <row r="35" spans="1:2" ht="18" customHeight="1" x14ac:dyDescent="0.35">
      <c r="A35" s="2"/>
      <c r="B35" s="4"/>
    </row>
    <row r="36" spans="1:2" x14ac:dyDescent="0.35">
      <c r="A36" s="2"/>
    </row>
    <row r="37" spans="1:2" x14ac:dyDescent="0.35">
      <c r="A37" s="2"/>
    </row>
    <row r="38" spans="1:2" x14ac:dyDescent="0.35">
      <c r="A38" s="2"/>
    </row>
    <row r="39" spans="1:2" x14ac:dyDescent="0.35">
      <c r="A39" s="2"/>
    </row>
    <row r="129" spans="11:11" x14ac:dyDescent="0.35">
      <c r="K129" s="9">
        <f>SUM(K5:K128)</f>
        <v>5874.16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568F-4FF4-4A43-A7B0-40DB9235A786}">
  <dimension ref="A1"/>
  <sheetViews>
    <sheetView workbookViewId="0">
      <selection activeCell="P29" sqref="P29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B522-5D7B-4E42-857C-198B0DCEAA7A}">
  <dimension ref="A1"/>
  <sheetViews>
    <sheetView workbookViewId="0">
      <selection activeCell="R27" sqref="R27"/>
    </sheetView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799B7-2DB2-4FD9-A4E4-8013A12932EC}">
  <dimension ref="A2:T120"/>
  <sheetViews>
    <sheetView topLeftCell="A4" workbookViewId="0">
      <selection activeCell="J26" sqref="J26"/>
    </sheetView>
  </sheetViews>
  <sheetFormatPr defaultRowHeight="14.5" x14ac:dyDescent="0.35"/>
  <cols>
    <col min="1" max="1" width="2.6328125" customWidth="1"/>
    <col min="2" max="2" width="10.453125" bestFit="1" customWidth="1"/>
    <col min="3" max="3" width="32.90625" customWidth="1"/>
    <col min="4" max="4" width="10.26953125" customWidth="1"/>
    <col min="5" max="6" width="10.54296875" customWidth="1"/>
    <col min="7" max="7" width="9.54296875" customWidth="1"/>
    <col min="8" max="10" width="10" customWidth="1"/>
    <col min="11" max="11" width="12.7265625" customWidth="1"/>
    <col min="12" max="12" width="13.36328125" customWidth="1"/>
    <col min="14" max="14" width="10.90625" customWidth="1"/>
    <col min="16" max="16" width="10.36328125" customWidth="1"/>
    <col min="18" max="18" width="11.1796875" style="40" bestFit="1" customWidth="1"/>
    <col min="19" max="19" width="11.453125" customWidth="1"/>
    <col min="20" max="20" width="13" customWidth="1"/>
  </cols>
  <sheetData>
    <row r="2" spans="1:20" x14ac:dyDescent="0.35">
      <c r="A2" s="35" t="s">
        <v>279</v>
      </c>
    </row>
    <row r="4" spans="1:20" x14ac:dyDescent="0.35">
      <c r="A4" s="1"/>
      <c r="B4" s="1" t="s">
        <v>13</v>
      </c>
      <c r="C4" s="1" t="s">
        <v>2</v>
      </c>
      <c r="D4" s="1"/>
      <c r="E4" s="1" t="s">
        <v>3</v>
      </c>
      <c r="F4" s="1" t="s">
        <v>4</v>
      </c>
      <c r="G4" s="1" t="s">
        <v>5</v>
      </c>
      <c r="H4" s="1"/>
      <c r="I4" s="1" t="s">
        <v>6</v>
      </c>
      <c r="J4" s="1" t="s">
        <v>7</v>
      </c>
      <c r="K4" s="1" t="s">
        <v>7</v>
      </c>
      <c r="L4" s="1" t="s">
        <v>8</v>
      </c>
      <c r="M4" s="1" t="s">
        <v>29</v>
      </c>
      <c r="N4" s="1" t="s">
        <v>30</v>
      </c>
      <c r="O4" s="1" t="s">
        <v>46</v>
      </c>
      <c r="P4" s="1" t="s">
        <v>47</v>
      </c>
      <c r="Q4" s="1" t="s">
        <v>1</v>
      </c>
      <c r="R4" s="57" t="s">
        <v>2</v>
      </c>
    </row>
    <row r="5" spans="1:20" x14ac:dyDescent="0.35">
      <c r="A5" s="1" t="s">
        <v>10</v>
      </c>
      <c r="B5" s="1"/>
      <c r="C5" s="1">
        <v>115.45</v>
      </c>
      <c r="D5" s="1"/>
      <c r="E5" s="1"/>
      <c r="F5" s="1"/>
      <c r="G5" s="1"/>
      <c r="H5" s="1"/>
      <c r="I5" s="1"/>
      <c r="J5" s="1"/>
      <c r="K5" s="1"/>
      <c r="L5" s="41"/>
      <c r="M5" s="41"/>
      <c r="N5" s="1"/>
      <c r="O5" s="1"/>
      <c r="P5" s="1"/>
      <c r="Q5" s="1">
        <f>243.27-10</f>
        <v>233.27</v>
      </c>
      <c r="R5" s="57">
        <f>261.81-10</f>
        <v>251.81</v>
      </c>
    </row>
    <row r="6" spans="1:20" x14ac:dyDescent="0.35">
      <c r="A6" s="1" t="s">
        <v>11</v>
      </c>
      <c r="B6" s="1"/>
      <c r="C6" s="1">
        <v>15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v>13.5</v>
      </c>
      <c r="R6" s="57">
        <v>13.5</v>
      </c>
    </row>
    <row r="7" spans="1:20" x14ac:dyDescent="0.35">
      <c r="A7" s="1" t="s">
        <v>12</v>
      </c>
      <c r="B7" s="6">
        <f>SUM(C7:M7)</f>
        <v>1731.75</v>
      </c>
      <c r="C7" s="1">
        <f t="shared" ref="C7" si="0">C5*C6</f>
        <v>1731.75</v>
      </c>
      <c r="D7" s="1"/>
      <c r="E7" s="1"/>
      <c r="F7" s="1"/>
      <c r="G7" s="1"/>
      <c r="H7" s="1"/>
      <c r="I7" s="1"/>
      <c r="J7" s="1"/>
      <c r="K7" s="42"/>
      <c r="L7" s="42"/>
      <c r="M7" s="42"/>
      <c r="N7" s="1"/>
      <c r="O7" s="1"/>
      <c r="P7" s="1"/>
      <c r="Q7" s="1">
        <f>Q5*Q6</f>
        <v>3149.145</v>
      </c>
      <c r="R7" s="57">
        <f>R6*R5</f>
        <v>3399.4349999999999</v>
      </c>
    </row>
    <row r="8" spans="1:20" x14ac:dyDescent="0.35">
      <c r="T8" s="40"/>
    </row>
    <row r="9" spans="1:20" x14ac:dyDescent="0.35">
      <c r="A9" s="1"/>
      <c r="B9" s="1" t="s">
        <v>13</v>
      </c>
      <c r="C9" s="1" t="s">
        <v>2</v>
      </c>
      <c r="D9" s="1"/>
      <c r="E9" s="1" t="s">
        <v>3</v>
      </c>
      <c r="F9" s="1" t="s">
        <v>4</v>
      </c>
      <c r="G9" s="1" t="s">
        <v>5</v>
      </c>
      <c r="H9" s="1"/>
      <c r="I9" s="1" t="s">
        <v>6</v>
      </c>
      <c r="J9" s="1" t="s">
        <v>7</v>
      </c>
      <c r="K9" s="1" t="s">
        <v>7</v>
      </c>
      <c r="L9" s="1" t="s">
        <v>8</v>
      </c>
      <c r="M9" s="1" t="s">
        <v>29</v>
      </c>
      <c r="N9" s="1" t="s">
        <v>30</v>
      </c>
      <c r="O9" s="1" t="s">
        <v>46</v>
      </c>
      <c r="P9" s="1" t="s">
        <v>47</v>
      </c>
      <c r="Q9" s="1" t="s">
        <v>1</v>
      </c>
      <c r="R9" s="57" t="s">
        <v>2</v>
      </c>
    </row>
    <row r="10" spans="1:20" x14ac:dyDescent="0.35">
      <c r="A10" s="1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f>187.4-8.5</f>
        <v>178.9</v>
      </c>
      <c r="M10" s="1">
        <f>233.15-10.5</f>
        <v>222.65</v>
      </c>
      <c r="N10" s="1"/>
      <c r="O10" s="1"/>
      <c r="P10" s="1"/>
      <c r="Q10" s="1"/>
      <c r="R10" s="57"/>
    </row>
    <row r="11" spans="1:20" x14ac:dyDescent="0.35">
      <c r="A11" s="1" t="s">
        <v>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57"/>
    </row>
    <row r="12" spans="1:20" x14ac:dyDescent="0.35">
      <c r="A12" s="1" t="s">
        <v>12</v>
      </c>
      <c r="B12" s="6">
        <f>SUM(C12:M12)</f>
        <v>0</v>
      </c>
      <c r="C12" s="1">
        <f t="shared" ref="C12" si="1">C10*C11</f>
        <v>0</v>
      </c>
      <c r="D12" s="1"/>
      <c r="E12" s="1"/>
      <c r="F12" s="1"/>
      <c r="G12" s="1"/>
      <c r="H12" s="1"/>
      <c r="I12" s="1"/>
      <c r="J12" s="1"/>
      <c r="K12" s="42"/>
      <c r="L12" s="42"/>
      <c r="M12" s="42"/>
      <c r="N12" s="1"/>
      <c r="O12" s="1"/>
      <c r="P12" s="1"/>
      <c r="Q12" s="1"/>
      <c r="R12" s="57"/>
    </row>
    <row r="13" spans="1:20" x14ac:dyDescent="0.35">
      <c r="T13" s="40"/>
    </row>
    <row r="14" spans="1:20" x14ac:dyDescent="0.35">
      <c r="T14" s="40"/>
    </row>
    <row r="15" spans="1:20" x14ac:dyDescent="0.35">
      <c r="E15" s="61">
        <v>45315</v>
      </c>
      <c r="F15" s="5">
        <v>45346</v>
      </c>
      <c r="G15" s="61">
        <v>45375</v>
      </c>
      <c r="H15" s="61" t="s">
        <v>187</v>
      </c>
      <c r="I15" s="5" t="s">
        <v>178</v>
      </c>
      <c r="J15" s="61" t="s">
        <v>181</v>
      </c>
      <c r="K15" s="61" t="s">
        <v>179</v>
      </c>
      <c r="L15" s="61" t="s">
        <v>253</v>
      </c>
      <c r="M15" s="61" t="s">
        <v>254</v>
      </c>
      <c r="N15" s="61" t="s">
        <v>256</v>
      </c>
      <c r="O15" s="61" t="s">
        <v>260</v>
      </c>
      <c r="P15" s="61" t="s">
        <v>30</v>
      </c>
      <c r="T15" s="40"/>
    </row>
    <row r="16" spans="1:20" ht="16" customHeight="1" x14ac:dyDescent="0.35">
      <c r="A16" s="1" t="s">
        <v>10</v>
      </c>
      <c r="E16">
        <f>213.92-11</f>
        <v>202.92</v>
      </c>
      <c r="F16" s="40">
        <f>180.15-8.5</f>
        <v>171.65</v>
      </c>
      <c r="G16">
        <f>193.93-10</f>
        <v>183.93</v>
      </c>
      <c r="H16">
        <f>168-11</f>
        <v>157</v>
      </c>
      <c r="I16">
        <f>222.03-168</f>
        <v>54.03</v>
      </c>
      <c r="J16">
        <f>168-9.9</f>
        <v>158.1</v>
      </c>
      <c r="K16">
        <f>56-9</f>
        <v>47</v>
      </c>
      <c r="L16">
        <v>160</v>
      </c>
      <c r="M16">
        <f>187-160</f>
        <v>27</v>
      </c>
      <c r="N16">
        <v>160</v>
      </c>
      <c r="O16">
        <f>222.65-160</f>
        <v>62.650000000000006</v>
      </c>
      <c r="P16">
        <f>152.89-6.5</f>
        <v>146.38999999999999</v>
      </c>
      <c r="T16" s="40"/>
    </row>
    <row r="17" spans="1:20" ht="16" customHeight="1" x14ac:dyDescent="0.35">
      <c r="A17" s="1" t="s">
        <v>11</v>
      </c>
      <c r="B17" s="3"/>
      <c r="C17" s="3"/>
      <c r="D17" s="3"/>
      <c r="E17">
        <v>13.5</v>
      </c>
      <c r="F17">
        <v>15</v>
      </c>
      <c r="G17">
        <v>15</v>
      </c>
      <c r="H17">
        <v>15</v>
      </c>
      <c r="I17">
        <v>12</v>
      </c>
      <c r="J17">
        <v>15</v>
      </c>
      <c r="K17">
        <v>12</v>
      </c>
      <c r="L17">
        <v>15</v>
      </c>
      <c r="M17">
        <v>12</v>
      </c>
      <c r="N17">
        <v>15</v>
      </c>
      <c r="O17">
        <v>12</v>
      </c>
      <c r="P17">
        <v>15</v>
      </c>
      <c r="T17" s="40"/>
    </row>
    <row r="18" spans="1:20" ht="16" customHeight="1" x14ac:dyDescent="0.35">
      <c r="A18" s="1" t="s">
        <v>12</v>
      </c>
      <c r="B18" s="33"/>
      <c r="E18" s="57">
        <f>E17*E16</f>
        <v>2739.4199999999996</v>
      </c>
      <c r="F18" s="57">
        <f t="shared" ref="F18" si="2">F17*F16</f>
        <v>2574.75</v>
      </c>
      <c r="G18" s="57">
        <f t="shared" ref="G18" si="3">G17*G16</f>
        <v>2758.9500000000003</v>
      </c>
      <c r="H18" s="57">
        <f t="shared" ref="H18" si="4">H17*H16</f>
        <v>2355</v>
      </c>
      <c r="I18" s="57">
        <f t="shared" ref="I18" si="5">I17*I16</f>
        <v>648.36</v>
      </c>
      <c r="J18" s="57">
        <f t="shared" ref="J18:P18" si="6">J17*J16</f>
        <v>2371.5</v>
      </c>
      <c r="K18" s="57">
        <f t="shared" si="6"/>
        <v>564</v>
      </c>
      <c r="L18" s="57">
        <f>L17*L16</f>
        <v>2400</v>
      </c>
      <c r="M18" s="57">
        <f t="shared" si="6"/>
        <v>324</v>
      </c>
      <c r="N18" s="57">
        <f t="shared" si="6"/>
        <v>2400</v>
      </c>
      <c r="O18" s="57">
        <f t="shared" si="6"/>
        <v>751.80000000000007</v>
      </c>
      <c r="P18" s="57">
        <f t="shared" si="6"/>
        <v>2195.85</v>
      </c>
      <c r="T18" s="40"/>
    </row>
    <row r="19" spans="1:20" ht="16" customHeight="1" x14ac:dyDescent="0.35">
      <c r="B19" s="33"/>
      <c r="E19" s="64"/>
      <c r="F19" s="64"/>
      <c r="G19" s="64"/>
      <c r="H19" s="64"/>
      <c r="I19" s="64"/>
      <c r="J19" s="64"/>
      <c r="K19" s="64"/>
      <c r="T19" s="40"/>
    </row>
    <row r="20" spans="1:20" ht="16" customHeight="1" x14ac:dyDescent="0.35">
      <c r="B20" s="31"/>
      <c r="C20" s="32"/>
      <c r="D20" s="32"/>
      <c r="E20" t="s">
        <v>97</v>
      </c>
      <c r="F20" s="32" t="s">
        <v>188</v>
      </c>
      <c r="G20" t="s">
        <v>98</v>
      </c>
      <c r="T20" s="40"/>
    </row>
    <row r="21" spans="1:20" ht="16" customHeight="1" x14ac:dyDescent="0.35">
      <c r="T21" s="40"/>
    </row>
    <row r="22" spans="1:20" ht="16" customHeight="1" x14ac:dyDescent="0.35">
      <c r="T22" s="40"/>
    </row>
    <row r="23" spans="1:20" ht="16" customHeight="1" x14ac:dyDescent="0.35">
      <c r="T23" s="40"/>
    </row>
    <row r="24" spans="1:20" ht="16" customHeight="1" x14ac:dyDescent="0.35">
      <c r="T24" s="40"/>
    </row>
    <row r="25" spans="1:20" ht="16" customHeight="1" x14ac:dyDescent="0.35">
      <c r="T25" s="40"/>
    </row>
    <row r="26" spans="1:20" ht="16" customHeight="1" x14ac:dyDescent="0.35">
      <c r="G26">
        <v>0</v>
      </c>
      <c r="T26" s="40"/>
    </row>
    <row r="27" spans="1:20" ht="16" customHeight="1" x14ac:dyDescent="0.35">
      <c r="C27" t="s">
        <v>207</v>
      </c>
      <c r="E27" s="40">
        <f>11*150</f>
        <v>1650</v>
      </c>
      <c r="G27" s="72">
        <f>G26+E27-F27</f>
        <v>1650</v>
      </c>
      <c r="T27" s="40"/>
    </row>
    <row r="28" spans="1:20" ht="16" customHeight="1" x14ac:dyDescent="0.35">
      <c r="C28" t="s">
        <v>208</v>
      </c>
      <c r="E28" s="40">
        <v>1156.52</v>
      </c>
      <c r="G28" s="72">
        <f t="shared" ref="G28:G60" si="7">G27+E28-F28</f>
        <v>2806.52</v>
      </c>
      <c r="T28" s="40"/>
    </row>
    <row r="29" spans="1:20" ht="16" customHeight="1" x14ac:dyDescent="0.35">
      <c r="G29" s="72">
        <f t="shared" si="7"/>
        <v>2806.52</v>
      </c>
      <c r="T29" s="40"/>
    </row>
    <row r="30" spans="1:20" ht="16" customHeight="1" x14ac:dyDescent="0.35">
      <c r="B30" s="2"/>
      <c r="G30" s="72">
        <f t="shared" si="7"/>
        <v>2806.52</v>
      </c>
      <c r="T30" s="40"/>
    </row>
    <row r="31" spans="1:20" ht="16" customHeight="1" x14ac:dyDescent="0.35">
      <c r="B31" s="2">
        <v>45324</v>
      </c>
      <c r="C31" t="s">
        <v>190</v>
      </c>
      <c r="F31">
        <v>500</v>
      </c>
      <c r="G31" s="72">
        <f t="shared" si="7"/>
        <v>2306.52</v>
      </c>
      <c r="T31" s="40"/>
    </row>
    <row r="32" spans="1:20" x14ac:dyDescent="0.35">
      <c r="G32" s="72">
        <f t="shared" si="7"/>
        <v>2306.52</v>
      </c>
    </row>
    <row r="33" spans="2:20" ht="16" customHeight="1" x14ac:dyDescent="0.35">
      <c r="B33" s="2">
        <v>45391</v>
      </c>
      <c r="C33" t="s">
        <v>190</v>
      </c>
      <c r="F33">
        <v>1000</v>
      </c>
      <c r="G33" s="72">
        <f t="shared" si="7"/>
        <v>1306.52</v>
      </c>
      <c r="T33" s="40"/>
    </row>
    <row r="34" spans="2:20" ht="16" customHeight="1" x14ac:dyDescent="0.35">
      <c r="B34" s="65">
        <v>45412</v>
      </c>
      <c r="C34" s="66" t="s">
        <v>176</v>
      </c>
      <c r="D34" s="66"/>
      <c r="E34" s="67">
        <f>H18+I18</f>
        <v>3003.36</v>
      </c>
      <c r="F34" s="3"/>
      <c r="G34" s="72">
        <f t="shared" si="7"/>
        <v>4309.88</v>
      </c>
      <c r="T34" s="40"/>
    </row>
    <row r="35" spans="2:20" ht="16" customHeight="1" x14ac:dyDescent="0.35">
      <c r="B35" s="2">
        <v>45411</v>
      </c>
      <c r="C35" s="4" t="s">
        <v>182</v>
      </c>
      <c r="D35">
        <v>1156.52</v>
      </c>
      <c r="F35">
        <v>1350</v>
      </c>
      <c r="G35" s="72">
        <f t="shared" si="7"/>
        <v>2959.88</v>
      </c>
      <c r="T35" s="40"/>
    </row>
    <row r="36" spans="2:20" ht="16" customHeight="1" x14ac:dyDescent="0.35">
      <c r="B36" s="2">
        <v>45420</v>
      </c>
      <c r="C36" s="4" t="s">
        <v>189</v>
      </c>
      <c r="D36">
        <v>11562.52</v>
      </c>
      <c r="F36">
        <v>1350</v>
      </c>
      <c r="G36" s="72">
        <f t="shared" si="7"/>
        <v>1609.88</v>
      </c>
      <c r="T36" s="40"/>
    </row>
    <row r="37" spans="2:20" x14ac:dyDescent="0.35">
      <c r="B37" s="33">
        <v>45415</v>
      </c>
      <c r="C37" t="s">
        <v>190</v>
      </c>
      <c r="F37">
        <v>1000</v>
      </c>
      <c r="G37" s="72">
        <f t="shared" si="7"/>
        <v>609.88000000000011</v>
      </c>
    </row>
    <row r="38" spans="2:20" ht="16" customHeight="1" x14ac:dyDescent="0.35">
      <c r="B38" s="65"/>
      <c r="C38" s="66"/>
      <c r="D38" s="66"/>
      <c r="E38" s="67"/>
      <c r="F38" s="3"/>
      <c r="G38" s="72">
        <f t="shared" si="7"/>
        <v>609.88000000000011</v>
      </c>
      <c r="T38" s="40"/>
    </row>
    <row r="39" spans="2:20" ht="16" customHeight="1" x14ac:dyDescent="0.35">
      <c r="B39" s="65"/>
      <c r="C39" s="66"/>
      <c r="D39" s="66"/>
      <c r="E39" s="67"/>
      <c r="F39" s="3"/>
      <c r="G39" s="72">
        <f t="shared" si="7"/>
        <v>609.88000000000011</v>
      </c>
      <c r="T39" s="40"/>
    </row>
    <row r="40" spans="2:20" ht="16" customHeight="1" x14ac:dyDescent="0.35">
      <c r="B40" s="65">
        <v>45443</v>
      </c>
      <c r="C40" s="66" t="s">
        <v>177</v>
      </c>
      <c r="D40" s="66"/>
      <c r="E40" s="67">
        <f>J18+K18</f>
        <v>2935.5</v>
      </c>
      <c r="F40" s="3"/>
      <c r="G40" s="72">
        <f t="shared" si="7"/>
        <v>3545.38</v>
      </c>
      <c r="T40" s="40"/>
    </row>
    <row r="41" spans="2:20" ht="16" customHeight="1" x14ac:dyDescent="0.35">
      <c r="B41" s="2">
        <v>45447</v>
      </c>
      <c r="C41" s="4" t="s">
        <v>190</v>
      </c>
      <c r="D41" s="4"/>
      <c r="F41">
        <v>700</v>
      </c>
      <c r="G41" s="72">
        <f t="shared" si="7"/>
        <v>2845.38</v>
      </c>
      <c r="T41" s="40"/>
    </row>
    <row r="42" spans="2:20" ht="16" customHeight="1" x14ac:dyDescent="0.35">
      <c r="B42" s="2"/>
      <c r="C42" s="4"/>
      <c r="D42" s="4"/>
      <c r="G42" s="72">
        <f t="shared" si="7"/>
        <v>2845.38</v>
      </c>
      <c r="T42" s="40"/>
    </row>
    <row r="43" spans="2:20" ht="16" customHeight="1" x14ac:dyDescent="0.35">
      <c r="B43" s="2"/>
      <c r="C43" s="4" t="s">
        <v>209</v>
      </c>
      <c r="D43" s="4"/>
      <c r="F43">
        <v>1200</v>
      </c>
      <c r="G43" s="72">
        <f t="shared" si="7"/>
        <v>1645.38</v>
      </c>
      <c r="T43" s="40"/>
    </row>
    <row r="44" spans="2:20" ht="16" customHeight="1" x14ac:dyDescent="0.35">
      <c r="B44" s="2"/>
      <c r="C44" s="4" t="s">
        <v>210</v>
      </c>
      <c r="D44" s="4"/>
      <c r="F44">
        <v>1200</v>
      </c>
      <c r="G44" s="72">
        <f t="shared" si="7"/>
        <v>445.38000000000011</v>
      </c>
      <c r="T44" s="40"/>
    </row>
    <row r="45" spans="2:20" ht="16" customHeight="1" x14ac:dyDescent="0.35">
      <c r="B45" s="2"/>
      <c r="C45" s="4" t="s">
        <v>211</v>
      </c>
      <c r="D45" s="4"/>
      <c r="F45">
        <v>1200</v>
      </c>
      <c r="G45" s="72">
        <f t="shared" si="7"/>
        <v>-754.61999999999989</v>
      </c>
      <c r="T45" s="40"/>
    </row>
    <row r="46" spans="2:20" ht="16" customHeight="1" x14ac:dyDescent="0.35">
      <c r="B46" s="2"/>
      <c r="C46" s="4"/>
      <c r="D46" s="4"/>
      <c r="G46" s="72">
        <f t="shared" si="7"/>
        <v>-754.61999999999989</v>
      </c>
      <c r="T46" s="40"/>
    </row>
    <row r="47" spans="2:20" ht="16" customHeight="1" x14ac:dyDescent="0.35">
      <c r="B47" s="65">
        <v>45473</v>
      </c>
      <c r="C47" s="66" t="s">
        <v>252</v>
      </c>
      <c r="D47" s="4"/>
      <c r="E47" s="67">
        <f>L18+M18</f>
        <v>2724</v>
      </c>
      <c r="G47" s="72">
        <f t="shared" si="7"/>
        <v>1969.38</v>
      </c>
      <c r="T47" s="40"/>
    </row>
    <row r="48" spans="2:20" ht="16" customHeight="1" x14ac:dyDescent="0.35">
      <c r="B48" s="65"/>
      <c r="C48" s="4" t="s">
        <v>273</v>
      </c>
      <c r="D48" s="4"/>
      <c r="E48" s="72"/>
      <c r="F48">
        <v>1200</v>
      </c>
      <c r="G48" s="72">
        <f t="shared" si="7"/>
        <v>769.38000000000011</v>
      </c>
      <c r="T48" s="40"/>
    </row>
    <row r="49" spans="2:20" ht="16" customHeight="1" x14ac:dyDescent="0.35">
      <c r="B49" s="65"/>
      <c r="C49" s="4" t="s">
        <v>274</v>
      </c>
      <c r="D49" s="4"/>
      <c r="E49" s="72"/>
      <c r="F49">
        <v>1200</v>
      </c>
      <c r="G49" s="72">
        <f t="shared" si="7"/>
        <v>-430.61999999999989</v>
      </c>
      <c r="T49" s="40"/>
    </row>
    <row r="50" spans="2:20" ht="16" customHeight="1" x14ac:dyDescent="0.35">
      <c r="B50" s="65">
        <v>45504</v>
      </c>
      <c r="C50" s="66" t="s">
        <v>255</v>
      </c>
      <c r="D50" s="4"/>
      <c r="E50" s="67">
        <f>N18+O18</f>
        <v>3151.8</v>
      </c>
      <c r="G50" s="72">
        <f t="shared" si="7"/>
        <v>2721.1800000000003</v>
      </c>
      <c r="T50" s="40"/>
    </row>
    <row r="51" spans="2:20" ht="16" customHeight="1" x14ac:dyDescent="0.35">
      <c r="B51" s="65"/>
      <c r="C51" s="66"/>
      <c r="D51" s="4"/>
      <c r="E51" s="67"/>
      <c r="G51" s="72">
        <f t="shared" si="7"/>
        <v>2721.1800000000003</v>
      </c>
      <c r="T51" s="40"/>
    </row>
    <row r="52" spans="2:20" ht="16" customHeight="1" x14ac:dyDescent="0.35">
      <c r="B52" s="65"/>
      <c r="C52" s="66"/>
      <c r="D52" s="4"/>
      <c r="E52" s="67"/>
      <c r="G52" s="72">
        <f t="shared" si="7"/>
        <v>2721.1800000000003</v>
      </c>
      <c r="T52" s="40"/>
    </row>
    <row r="53" spans="2:20" ht="16" customHeight="1" x14ac:dyDescent="0.35">
      <c r="B53" s="65">
        <v>45524</v>
      </c>
      <c r="C53" s="66" t="s">
        <v>280</v>
      </c>
      <c r="D53" s="4"/>
      <c r="E53" s="67">
        <f>P18</f>
        <v>2195.85</v>
      </c>
      <c r="G53" s="72">
        <f t="shared" si="7"/>
        <v>4917.0300000000007</v>
      </c>
      <c r="T53" s="40"/>
    </row>
    <row r="54" spans="2:20" ht="16" customHeight="1" x14ac:dyDescent="0.35">
      <c r="B54" s="65"/>
      <c r="C54" s="66"/>
      <c r="D54" s="4"/>
      <c r="E54" s="67"/>
      <c r="G54" s="72">
        <f t="shared" si="7"/>
        <v>4917.0300000000007</v>
      </c>
      <c r="T54" s="40"/>
    </row>
    <row r="55" spans="2:20" ht="16" customHeight="1" x14ac:dyDescent="0.35">
      <c r="B55" s="65"/>
      <c r="C55" s="66" t="s">
        <v>275</v>
      </c>
      <c r="D55" s="4"/>
      <c r="E55" s="67"/>
      <c r="F55">
        <f>140.93+16.53</f>
        <v>157.46</v>
      </c>
      <c r="G55" s="72">
        <f t="shared" si="7"/>
        <v>4759.5700000000006</v>
      </c>
      <c r="T55" s="40"/>
    </row>
    <row r="56" spans="2:20" ht="16" customHeight="1" x14ac:dyDescent="0.35">
      <c r="B56" s="65"/>
      <c r="C56" s="66" t="s">
        <v>276</v>
      </c>
      <c r="D56" s="4"/>
      <c r="E56" s="67"/>
      <c r="F56">
        <f>700+450</f>
        <v>1150</v>
      </c>
      <c r="G56" s="72">
        <f t="shared" si="7"/>
        <v>3609.5700000000006</v>
      </c>
      <c r="T56" s="40"/>
    </row>
    <row r="57" spans="2:20" ht="16" customHeight="1" x14ac:dyDescent="0.35">
      <c r="B57" s="65"/>
      <c r="C57" s="66"/>
      <c r="D57" s="4"/>
      <c r="E57" s="67"/>
      <c r="G57" s="72">
        <f t="shared" si="7"/>
        <v>3609.5700000000006</v>
      </c>
      <c r="T57" s="40"/>
    </row>
    <row r="58" spans="2:20" ht="16" customHeight="1" x14ac:dyDescent="0.35">
      <c r="B58" s="65">
        <v>45524</v>
      </c>
      <c r="C58" s="66" t="s">
        <v>277</v>
      </c>
      <c r="D58" s="4"/>
      <c r="E58" s="67"/>
      <c r="F58">
        <v>1200</v>
      </c>
      <c r="G58" s="72">
        <f t="shared" si="7"/>
        <v>2409.5700000000006</v>
      </c>
      <c r="T58" s="40"/>
    </row>
    <row r="59" spans="2:20" ht="16" customHeight="1" x14ac:dyDescent="0.35">
      <c r="B59" s="65">
        <v>45524</v>
      </c>
      <c r="C59" s="66" t="s">
        <v>278</v>
      </c>
      <c r="D59" s="4"/>
      <c r="E59" s="67"/>
      <c r="F59">
        <v>1200</v>
      </c>
      <c r="G59" s="72">
        <f t="shared" si="7"/>
        <v>1209.5700000000006</v>
      </c>
      <c r="T59" s="40"/>
    </row>
    <row r="60" spans="2:20" ht="16" customHeight="1" x14ac:dyDescent="0.35">
      <c r="B60" s="65">
        <v>45524</v>
      </c>
      <c r="C60" s="66" t="s">
        <v>281</v>
      </c>
      <c r="D60" s="4"/>
      <c r="E60" s="67"/>
      <c r="F60">
        <v>1200</v>
      </c>
      <c r="G60" s="72">
        <f t="shared" si="7"/>
        <v>9.5700000000006185</v>
      </c>
      <c r="T60" s="40"/>
    </row>
    <row r="61" spans="2:20" ht="16" customHeight="1" x14ac:dyDescent="0.35">
      <c r="B61" s="65"/>
      <c r="C61" s="66"/>
      <c r="D61" s="4"/>
      <c r="E61" s="67"/>
      <c r="G61" s="72"/>
      <c r="T61" s="40"/>
    </row>
    <row r="62" spans="2:20" ht="16" customHeight="1" x14ac:dyDescent="0.35">
      <c r="B62" s="65"/>
      <c r="C62" s="66"/>
      <c r="D62" s="4"/>
      <c r="E62" s="67"/>
      <c r="G62" s="72">
        <f t="shared" ref="G62:G65" si="8">G61+E62-F62</f>
        <v>0</v>
      </c>
      <c r="T62" s="40"/>
    </row>
    <row r="63" spans="2:20" ht="16" customHeight="1" x14ac:dyDescent="0.35">
      <c r="B63" s="65"/>
      <c r="C63" s="66"/>
      <c r="D63" s="4"/>
      <c r="E63" s="67"/>
      <c r="G63" s="72">
        <f t="shared" si="8"/>
        <v>0</v>
      </c>
      <c r="T63" s="40"/>
    </row>
    <row r="64" spans="2:20" ht="16" customHeight="1" x14ac:dyDescent="0.35">
      <c r="B64" s="65"/>
      <c r="C64" s="66"/>
      <c r="D64" s="4"/>
      <c r="E64" s="67"/>
      <c r="G64" s="72">
        <f t="shared" si="8"/>
        <v>0</v>
      </c>
      <c r="T64" s="40"/>
    </row>
    <row r="65" spans="2:7" ht="16" customHeight="1" x14ac:dyDescent="0.35">
      <c r="B65" s="2"/>
      <c r="D65" s="4"/>
      <c r="G65" s="72">
        <f t="shared" si="8"/>
        <v>0</v>
      </c>
    </row>
    <row r="66" spans="2:7" ht="16" customHeight="1" x14ac:dyDescent="0.35">
      <c r="B66" s="2"/>
      <c r="C66" s="4" t="s">
        <v>70</v>
      </c>
      <c r="D66" s="4"/>
      <c r="F66" s="34">
        <f>SUM(F20:F65)</f>
        <v>16807.46</v>
      </c>
      <c r="G66" s="72"/>
    </row>
    <row r="67" spans="2:7" ht="16" customHeight="1" x14ac:dyDescent="0.35">
      <c r="B67" s="2"/>
      <c r="C67" s="4" t="s">
        <v>71</v>
      </c>
      <c r="D67" s="4"/>
      <c r="E67" s="39">
        <f>SUM(E27:E66)</f>
        <v>16817.03</v>
      </c>
      <c r="G67" s="68"/>
    </row>
    <row r="68" spans="2:7" ht="16" customHeight="1" x14ac:dyDescent="0.35">
      <c r="B68" s="2"/>
      <c r="C68" s="4"/>
      <c r="D68" s="4"/>
    </row>
    <row r="69" spans="2:7" x14ac:dyDescent="0.35">
      <c r="B69" s="2"/>
      <c r="F69" s="68"/>
    </row>
    <row r="70" spans="2:7" x14ac:dyDescent="0.35">
      <c r="B70" s="2"/>
    </row>
    <row r="71" spans="2:7" ht="18" customHeight="1" x14ac:dyDescent="0.35">
      <c r="B71" s="2"/>
      <c r="C71" s="4"/>
      <c r="D71" s="4"/>
    </row>
    <row r="72" spans="2:7" x14ac:dyDescent="0.35">
      <c r="B72" s="2"/>
      <c r="E72">
        <f>700000*30%</f>
        <v>210000</v>
      </c>
    </row>
    <row r="73" spans="2:7" x14ac:dyDescent="0.35">
      <c r="B73" s="2"/>
    </row>
    <row r="74" spans="2:7" x14ac:dyDescent="0.35">
      <c r="B74" s="2"/>
    </row>
    <row r="75" spans="2:7" x14ac:dyDescent="0.35">
      <c r="B75" s="2"/>
      <c r="E75">
        <v>1105499.33</v>
      </c>
    </row>
    <row r="76" spans="2:7" x14ac:dyDescent="0.35">
      <c r="E76">
        <v>824605.66</v>
      </c>
    </row>
    <row r="78" spans="2:7" x14ac:dyDescent="0.35">
      <c r="E78">
        <f>E75-E76</f>
        <v>280893.67000000004</v>
      </c>
    </row>
    <row r="89" spans="2:6" x14ac:dyDescent="0.35">
      <c r="B89" s="2">
        <v>45560</v>
      </c>
      <c r="C89" t="s">
        <v>201</v>
      </c>
      <c r="D89">
        <v>1283.1199999999999</v>
      </c>
      <c r="F89" t="s">
        <v>205</v>
      </c>
    </row>
    <row r="90" spans="2:6" x14ac:dyDescent="0.35">
      <c r="B90" s="2">
        <v>45560</v>
      </c>
      <c r="C90" t="s">
        <v>200</v>
      </c>
      <c r="D90">
        <v>1283.1199999999999</v>
      </c>
      <c r="F90" t="s">
        <v>206</v>
      </c>
    </row>
    <row r="92" spans="2:6" x14ac:dyDescent="0.35">
      <c r="B92" s="70">
        <v>45229</v>
      </c>
      <c r="C92" t="s">
        <v>202</v>
      </c>
      <c r="D92">
        <v>1283.1199999999999</v>
      </c>
      <c r="E92">
        <v>1500</v>
      </c>
    </row>
    <row r="93" spans="2:6" x14ac:dyDescent="0.35">
      <c r="B93" s="71">
        <v>45230</v>
      </c>
      <c r="C93" t="s">
        <v>199</v>
      </c>
      <c r="D93">
        <v>1283.1199999999999</v>
      </c>
      <c r="E93">
        <v>1500</v>
      </c>
    </row>
    <row r="94" spans="2:6" x14ac:dyDescent="0.35">
      <c r="B94" s="71">
        <v>45233</v>
      </c>
      <c r="C94" t="s">
        <v>198</v>
      </c>
      <c r="D94">
        <v>1283.1199999999999</v>
      </c>
      <c r="E94">
        <v>1500</v>
      </c>
    </row>
    <row r="96" spans="2:6" x14ac:dyDescent="0.35">
      <c r="C96" t="s">
        <v>203</v>
      </c>
      <c r="D96" s="8">
        <v>1156.52</v>
      </c>
    </row>
    <row r="97" spans="2:5" x14ac:dyDescent="0.35">
      <c r="C97" t="s">
        <v>204</v>
      </c>
      <c r="D97" s="32">
        <v>1156.52</v>
      </c>
    </row>
    <row r="98" spans="2:5" x14ac:dyDescent="0.35">
      <c r="D98" s="32"/>
    </row>
    <row r="100" spans="2:5" x14ac:dyDescent="0.35">
      <c r="B100" s="70">
        <v>45271</v>
      </c>
      <c r="C100" s="75" t="s">
        <v>184</v>
      </c>
      <c r="D100" s="8">
        <v>1156.52</v>
      </c>
      <c r="E100">
        <v>1350</v>
      </c>
    </row>
    <row r="101" spans="2:5" x14ac:dyDescent="0.35">
      <c r="B101" s="70">
        <v>45271</v>
      </c>
      <c r="C101" s="75" t="s">
        <v>183</v>
      </c>
      <c r="D101" s="8">
        <v>1156.52</v>
      </c>
      <c r="E101">
        <v>1350</v>
      </c>
    </row>
    <row r="102" spans="2:5" x14ac:dyDescent="0.35">
      <c r="B102" s="69"/>
    </row>
    <row r="103" spans="2:5" x14ac:dyDescent="0.35">
      <c r="B103" s="70">
        <v>45334</v>
      </c>
      <c r="C103" s="75" t="s">
        <v>191</v>
      </c>
      <c r="D103" s="8">
        <v>1156.52</v>
      </c>
      <c r="E103">
        <v>1350</v>
      </c>
    </row>
    <row r="104" spans="2:5" x14ac:dyDescent="0.35">
      <c r="B104" s="70">
        <v>45334</v>
      </c>
      <c r="C104" s="75" t="s">
        <v>192</v>
      </c>
      <c r="D104" s="8">
        <v>1156.53</v>
      </c>
      <c r="E104">
        <v>1350</v>
      </c>
    </row>
    <row r="105" spans="2:5" x14ac:dyDescent="0.35">
      <c r="B105" s="69"/>
    </row>
    <row r="106" spans="2:5" x14ac:dyDescent="0.35">
      <c r="B106" s="70">
        <v>45348</v>
      </c>
      <c r="C106" s="75" t="s">
        <v>193</v>
      </c>
      <c r="D106" s="8">
        <v>1156.53</v>
      </c>
      <c r="E106">
        <v>1350</v>
      </c>
    </row>
    <row r="107" spans="2:5" x14ac:dyDescent="0.35">
      <c r="B107" s="70">
        <v>45348</v>
      </c>
      <c r="C107" s="75" t="s">
        <v>194</v>
      </c>
      <c r="D107" s="8">
        <v>1156.53</v>
      </c>
      <c r="E107">
        <v>1350</v>
      </c>
    </row>
    <row r="108" spans="2:5" x14ac:dyDescent="0.35">
      <c r="B108" s="69"/>
    </row>
    <row r="109" spans="2:5" x14ac:dyDescent="0.35">
      <c r="B109" s="69"/>
    </row>
    <row r="110" spans="2:5" x14ac:dyDescent="0.35">
      <c r="B110" s="70">
        <v>45380</v>
      </c>
      <c r="C110" s="75" t="s">
        <v>185</v>
      </c>
      <c r="D110" s="8">
        <v>1156.52</v>
      </c>
      <c r="E110">
        <v>1350</v>
      </c>
    </row>
    <row r="111" spans="2:5" x14ac:dyDescent="0.35">
      <c r="B111" s="70">
        <v>45380</v>
      </c>
      <c r="C111" s="75" t="s">
        <v>186</v>
      </c>
      <c r="D111" s="8">
        <v>1156.52</v>
      </c>
      <c r="E111">
        <v>1350</v>
      </c>
    </row>
    <row r="112" spans="2:5" x14ac:dyDescent="0.35">
      <c r="B112" s="70"/>
      <c r="C112" s="75"/>
      <c r="D112" s="8"/>
    </row>
    <row r="113" spans="2:5" x14ac:dyDescent="0.35">
      <c r="B113" s="70"/>
      <c r="C113" s="75"/>
      <c r="D113" s="8"/>
    </row>
    <row r="114" spans="2:5" x14ac:dyDescent="0.35">
      <c r="B114" s="70"/>
      <c r="C114" s="75"/>
      <c r="D114" s="8"/>
    </row>
    <row r="115" spans="2:5" x14ac:dyDescent="0.35">
      <c r="B115" s="70"/>
      <c r="C115" s="75"/>
      <c r="D115" s="8"/>
    </row>
    <row r="116" spans="2:5" x14ac:dyDescent="0.35">
      <c r="B116" s="70"/>
      <c r="C116" s="75"/>
      <c r="D116" s="8"/>
    </row>
    <row r="117" spans="2:5" x14ac:dyDescent="0.35">
      <c r="B117" s="70">
        <v>45411</v>
      </c>
      <c r="C117" s="74" t="s">
        <v>195</v>
      </c>
      <c r="D117" s="8">
        <v>1156.52</v>
      </c>
      <c r="E117">
        <v>1350</v>
      </c>
    </row>
    <row r="119" spans="2:5" x14ac:dyDescent="0.35">
      <c r="B119" s="73">
        <v>45411</v>
      </c>
      <c r="C119" s="8" t="s">
        <v>196</v>
      </c>
      <c r="D119" s="8">
        <v>1156.52</v>
      </c>
    </row>
    <row r="120" spans="2:5" x14ac:dyDescent="0.35">
      <c r="B120" s="70">
        <v>45420</v>
      </c>
      <c r="C120" s="8" t="s">
        <v>197</v>
      </c>
      <c r="D120" s="8">
        <v>1156.52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F18B-F3AA-4B11-892D-C74A9F13D3F6}">
  <dimension ref="A1"/>
  <sheetViews>
    <sheetView workbookViewId="0">
      <selection activeCell="J24" sqref="J2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Monthly Summary</vt:lpstr>
      <vt:lpstr>Ajmal Afghan</vt:lpstr>
      <vt:lpstr>Al Marjan</vt:lpstr>
      <vt:lpstr>Leila Afghan</vt:lpstr>
      <vt:lpstr>Tofiq Sediqi</vt:lpstr>
      <vt:lpstr>Azmatullah</vt:lpstr>
      <vt:lpstr>Khalilullah</vt:lpstr>
      <vt:lpstr>Tala Moh</vt:lpstr>
      <vt:lpstr>M. Omar Safa</vt:lpstr>
      <vt:lpstr>Bashir A Sediqi</vt:lpstr>
      <vt:lpstr>Faridullah Mosa Khan</vt:lpstr>
      <vt:lpstr>Shafiullah</vt:lpstr>
      <vt:lpstr>Azim Salarzai</vt:lpstr>
      <vt:lpstr>Malim Mangal</vt:lpstr>
      <vt:lpstr>Marjan Nahid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Bashir Ahmad Sediqi</dc:creator>
  <cp:lastModifiedBy>Golden Unique</cp:lastModifiedBy>
  <cp:lastPrinted>2024-08-20T21:34:24Z</cp:lastPrinted>
  <dcterms:created xsi:type="dcterms:W3CDTF">2015-06-05T18:17:20Z</dcterms:created>
  <dcterms:modified xsi:type="dcterms:W3CDTF">2024-12-10T17:38:42Z</dcterms:modified>
</cp:coreProperties>
</file>