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48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44525"/>
  <pivotCaches>
    <pivotCache cacheId="0" r:id="rId5"/>
    <pivotCache cacheId="1" r:id="rId6"/>
  </pivotCaches>
</workbook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charset val="204"/>
          </rPr>
          <t>Microsoft Office User:</t>
        </r>
        <r>
          <rPr>
            <sz val="10"/>
            <color rgb="FF000000"/>
            <rFont val="Tahoma"/>
            <charset val="204"/>
          </rPr>
          <t xml:space="preserve">
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<sst xmlns="http://schemas.openxmlformats.org/spreadsheetml/2006/main" count="554" uniqueCount="207">
  <si>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</si>
  <si>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</si>
  <si>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</si>
  <si>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</si>
  <si>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</si>
  <si>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</si>
  <si>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</si>
  <si>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</si>
  <si>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Названия строк</t>
  </si>
  <si>
    <t>Сумма по полю Итого</t>
  </si>
  <si>
    <t>Операция (бизнес процесс)</t>
  </si>
  <si>
    <t>Duration</t>
  </si>
  <si>
    <t>Think_time</t>
  </si>
  <si>
    <t>Duration + 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</si>
  <si>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</si>
  <si>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</si>
  <si>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</si>
  <si>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</si>
  <si>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Интенсивность операций в час</t>
  </si>
  <si>
    <t>% Распределения пользователей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</si>
  <si>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</si>
  <si>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</si>
  <si>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</si>
  <si>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</si>
  <si>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</si>
  <si>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</si>
  <si>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</si>
  <si>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</si>
  <si>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</si>
  <si>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</si>
  <si>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</si>
  <si>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Оплата билета</t>
  </si>
  <si>
    <t>Ознакомление с путевым листом</t>
  </si>
  <si>
    <t xml:space="preserve">Отмена бронирования </t>
  </si>
  <si>
    <t>Логин</t>
  </si>
  <si>
    <t>Просмотр квитанций</t>
  </si>
  <si>
    <t>Перход на страницу регистрации</t>
  </si>
  <si>
    <t>Заполнение полей регистарции</t>
  </si>
  <si>
    <t>Переход на следуюущий эран после регистарции</t>
  </si>
  <si>
    <t>(пусто)</t>
  </si>
  <si>
    <t>Общий итог</t>
  </si>
  <si>
    <t>Статистика с ПРОДа</t>
  </si>
  <si>
    <t>*2</t>
  </si>
  <si>
    <t>Название запроса</t>
  </si>
  <si>
    <t>4*(Интенсивность по статистике запросов / час)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</si>
  <si>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</si>
  <si>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</si>
  <si>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</si>
  <si>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</si>
  <si>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</si>
  <si>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</si>
  <si>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</si>
  <si>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Статистика операций 20 мин</t>
  </si>
  <si>
    <t>pacing сек</t>
  </si>
  <si>
    <t>Кол-во в минуту</t>
  </si>
  <si>
    <t>мин</t>
  </si>
  <si>
    <t>vu</t>
  </si>
  <si>
    <t>округл</t>
  </si>
  <si>
    <t>Операций 20 мин</t>
  </si>
  <si>
    <t>Логин и логаут</t>
  </si>
  <si>
    <t>Удаление брони</t>
  </si>
  <si>
    <t>Поиск билета</t>
  </si>
  <si>
    <t>Просмотр текущих бронирований</t>
  </si>
  <si>
    <t>Выбор рейса</t>
  </si>
  <si>
    <t>Операция/Скрипт</t>
  </si>
  <si>
    <t>Запросы</t>
  </si>
  <si>
    <t>Vus</t>
  </si>
  <si>
    <t>Кол-во одним Vu</t>
  </si>
  <si>
    <t>Главная страница</t>
  </si>
  <si>
    <t>Заполнение полей и поиск</t>
  </si>
  <si>
    <t>Логаут</t>
  </si>
  <si>
    <t>Переход на стр. Поиска</t>
  </si>
  <si>
    <t>Покупка</t>
  </si>
  <si>
    <t>Просмотр путевых листов</t>
  </si>
  <si>
    <t>Удаление</t>
  </si>
  <si>
    <t>Имя в статистике</t>
  </si>
  <si>
    <t>Имя в скрипте</t>
  </si>
  <si>
    <t>open_webtours_site</t>
  </si>
  <si>
    <t>login</t>
  </si>
  <si>
    <t>go_to_flights</t>
  </si>
  <si>
    <t>choise_cities_passengers_seats</t>
  </si>
  <si>
    <t>choice_time_and_cost</t>
  </si>
  <si>
    <t>input_user_info</t>
  </si>
  <si>
    <t>go_to_itenary</t>
  </si>
  <si>
    <t>delete_ticket</t>
  </si>
  <si>
    <t>logout</t>
  </si>
  <si>
    <t>go_to_sign_up_now</t>
  </si>
  <si>
    <t>entering_registration_data</t>
  </si>
  <si>
    <t>click_continue_after_reg</t>
  </si>
  <si>
    <t>Transaction Name</t>
  </si>
  <si>
    <t>SLA Status</t>
  </si>
  <si>
    <t>Threshold</t>
  </si>
  <si>
    <t>Violation(%)</t>
  </si>
  <si>
    <t>Maximum</t>
  </si>
  <si>
    <t>Std. Deviation</t>
  </si>
  <si>
    <t>90 Percent</t>
  </si>
  <si>
    <t>Pass</t>
  </si>
  <si>
    <t>Fail</t>
  </si>
  <si>
    <t>Stop</t>
  </si>
  <si>
    <t>Action_BuyTicket_Transaction</t>
  </si>
  <si>
    <t>No Data</t>
  </si>
  <si>
    <t>0</t>
  </si>
  <si>
    <t>7,08</t>
  </si>
  <si>
    <t>1,167</t>
  </si>
  <si>
    <t>3,147</t>
  </si>
  <si>
    <t>225,</t>
  </si>
  <si>
    <t>0,</t>
  </si>
  <si>
    <t>Action_DeleteTicket_Transaction</t>
  </si>
  <si>
    <t>4,683</t>
  </si>
  <si>
    <t>1,106</t>
  </si>
  <si>
    <t>2,652</t>
  </si>
  <si>
    <t>93,</t>
  </si>
  <si>
    <t>Action_LoginLogout_Transaction</t>
  </si>
  <si>
    <t>2,685</t>
  </si>
  <si>
    <t>0,778</t>
  </si>
  <si>
    <t>2,617</t>
  </si>
  <si>
    <t>52,</t>
  </si>
  <si>
    <t>Action_NewRegistration_Transaction</t>
  </si>
  <si>
    <t>4,519</t>
  </si>
  <si>
    <t>1,165</t>
  </si>
  <si>
    <t>2,55</t>
  </si>
  <si>
    <t>133,</t>
  </si>
  <si>
    <t>Action_SearchTicket_NotPayment_Transaction</t>
  </si>
  <si>
    <t>6,771</t>
  </si>
  <si>
    <t>1,073</t>
  </si>
  <si>
    <t>2,844</t>
  </si>
  <si>
    <t>142,</t>
  </si>
  <si>
    <t>Action_View_ItenaryList_Transaction</t>
  </si>
  <si>
    <t>4,568</t>
  </si>
  <si>
    <t>0,974</t>
  </si>
  <si>
    <t>2,538</t>
  </si>
  <si>
    <t>63,</t>
  </si>
  <si>
    <t>0,115</t>
  </si>
  <si>
    <t>0,004</t>
  </si>
  <si>
    <t>0,096</t>
  </si>
  <si>
    <t>367,</t>
  </si>
  <si>
    <t>0,104</t>
  </si>
  <si>
    <t>0,008</t>
  </si>
  <si>
    <t>0,044</t>
  </si>
  <si>
    <t>2,234</t>
  </si>
  <si>
    <t>0,895</t>
  </si>
  <si>
    <t>2,206</t>
  </si>
  <si>
    <t>0,191</t>
  </si>
  <si>
    <t>0,014</t>
  </si>
  <si>
    <t>0,126</t>
  </si>
  <si>
    <t>0,098</t>
  </si>
  <si>
    <t>0,04</t>
  </si>
  <si>
    <t>134,</t>
  </si>
  <si>
    <t>2,172</t>
  </si>
  <si>
    <t>0,314</t>
  </si>
  <si>
    <t>0,232</t>
  </si>
  <si>
    <t>419,</t>
  </si>
  <si>
    <t>2,178</t>
  </si>
  <si>
    <t>0,283</t>
  </si>
  <si>
    <t>0,236</t>
  </si>
  <si>
    <t>381,</t>
  </si>
  <si>
    <t>2,109</t>
  </si>
  <si>
    <t>0,294</t>
  </si>
  <si>
    <t>0,164</t>
  </si>
  <si>
    <t>0,005</t>
  </si>
  <si>
    <t>0,152</t>
  </si>
  <si>
    <t>2,214</t>
  </si>
  <si>
    <t>0,811</t>
  </si>
  <si>
    <t>2,156</t>
  </si>
  <si>
    <t>575,</t>
  </si>
  <si>
    <t>0,19</t>
  </si>
  <si>
    <t>0,024</t>
  </si>
  <si>
    <t>0,182</t>
  </si>
  <si>
    <t>4,189</t>
  </si>
  <si>
    <t>0,586</t>
  </si>
  <si>
    <t>0,194</t>
  </si>
  <si>
    <t>709,</t>
  </si>
  <si>
    <t>UC_01_HW5_LoginLogout</t>
  </si>
  <si>
    <t>UC_02_HW5_SearchTicket_NotPayment</t>
  </si>
  <si>
    <t>6,77</t>
  </si>
  <si>
    <t>UC_03_HW5_BuyTicket</t>
  </si>
  <si>
    <t>UC_04_HW5_View_ItenaryList</t>
  </si>
  <si>
    <t>UC_05_HW5_DeleteTicket</t>
  </si>
  <si>
    <t>UC_06_HW5_NewRegistration</t>
  </si>
  <si>
    <t>Codes</t>
  </si>
  <si>
    <t>Total</t>
  </si>
  <si>
    <t>Per second</t>
  </si>
  <si>
    <t>HTTP_200</t>
  </si>
  <si>
    <t>15 391,</t>
  </si>
  <si>
    <t>12,826</t>
  </si>
  <si>
    <t>Source:</t>
  </si>
  <si>
    <t>DebugTest_x4pacing_nothinktime.lra</t>
  </si>
  <si>
    <t>Профиль для 5 пользаков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</si>
  <si>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</si>
  <si>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</si>
  <si>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</si>
  <si>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</si>
  <si>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</si>
  <si>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Заполнение полей для поиска билета</t>
  </si>
  <si>
    <t>fing_flight</t>
  </si>
  <si>
    <t>Выбор рейса из найденных</t>
  </si>
  <si>
    <t>select_ticket</t>
  </si>
  <si>
    <t>payment_details</t>
  </si>
  <si>
    <t>Просмотр квитанции</t>
  </si>
  <si>
    <t>Check_ticket</t>
  </si>
  <si>
    <t>Отмена бронирования билета</t>
  </si>
  <si>
    <t>Cancel_reservation</t>
  </si>
  <si>
    <t>Поиск максимума 3 ступень</t>
  </si>
  <si>
    <t>Подтверждение максимума</t>
  </si>
  <si>
    <t>1 315,</t>
  </si>
  <si>
    <t>1 970,</t>
  </si>
  <si>
    <t>1 675,</t>
  </si>
</sst>
</file>

<file path=xl/styles.xml><?xml version="1.0" encoding="utf-8"?>
<styleSheet xmlns="http://schemas.openxmlformats.org/spreadsheetml/2006/main">
  <numFmts count="6">
    <numFmt numFmtId="176" formatCode="_-* #\.##0_-;\-* #\.##0_-;_-* &quot;-&quot;_-;_-@_-"/>
    <numFmt numFmtId="177" formatCode="_-* #\.##0.00\ &quot;₽&quot;_-;\-* #\.##0.00\ &quot;₽&quot;_-;_-* \-??\ &quot;₽&quot;_-;_-@_-"/>
    <numFmt numFmtId="178" formatCode="0.0000"/>
    <numFmt numFmtId="179" formatCode="_-* #\.##0\ &quot;₽&quot;_-;\-* #\.##0\ &quot;₽&quot;_-;_-* \-\ &quot;₽&quot;_-;_-@_-"/>
    <numFmt numFmtId="180" formatCode="_-* #\.##0.00_-;\-* #\.##0.00_-;_-* &quot;-&quot;??_-;_-@_-"/>
    <numFmt numFmtId="181" formatCode="0.0"/>
  </numFmts>
  <fonts count="33">
    <font>
      <sz val="11"/>
      <color theme="1"/>
      <name val="Calibri"/>
      <charset val="134"/>
      <scheme val="minor"/>
    </font>
    <font>
      <b/>
      <sz val="11"/>
      <color theme="1"/>
      <name val="Times New Roman"/>
      <charset val="204"/>
    </font>
    <font>
      <b/>
      <sz val="12"/>
      <color rgb="FF000000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name val="Times New Roman"/>
      <charset val="204"/>
    </font>
    <font>
      <sz val="10"/>
      <name val="MS Sans Serif"/>
      <charset val="204"/>
    </font>
    <font>
      <sz val="1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rgb="FF000000"/>
      <name val="Times New Roman"/>
      <charset val="204"/>
    </font>
    <font>
      <b/>
      <sz val="14"/>
      <color rgb="FF000000"/>
      <name val="Times New Roman"/>
      <charset val="204"/>
    </font>
    <font>
      <sz val="11"/>
      <color theme="0" tint="-0.24997711111789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rgb="FF3F3F76"/>
      <name val="Calibri"/>
      <charset val="204"/>
      <scheme val="minor"/>
    </font>
    <font>
      <sz val="18"/>
      <color theme="3"/>
      <name val="Calibri Light"/>
      <charset val="204"/>
      <scheme val="major"/>
    </font>
    <font>
      <b/>
      <sz val="11"/>
      <color rgb="FF3F3F3F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11"/>
      <color rgb="FFFA7D00"/>
      <name val="Calibri"/>
      <charset val="204"/>
      <scheme val="minor"/>
    </font>
    <font>
      <sz val="11"/>
      <color rgb="FF9C5700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0"/>
      <color rgb="FF000000"/>
      <name val="Tahoma"/>
      <charset val="204"/>
    </font>
    <font>
      <b/>
      <sz val="10"/>
      <color rgb="FF000000"/>
      <name val="Tahoma"/>
      <charset val="20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73">
    <xf numFmtId="0" fontId="0" fillId="0" borderId="0"/>
    <xf numFmtId="0" fontId="4" fillId="15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/>
    <xf numFmtId="0" fontId="13" fillId="12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/>
    <xf numFmtId="9" fontId="0" fillId="0" borderId="0" applyFont="0" applyFill="0" applyBorder="0" applyAlignment="0" applyProtection="0"/>
    <xf numFmtId="0" fontId="4" fillId="10" borderId="0" applyNumberFormat="0" applyBorder="0" applyAlignment="0" applyProtection="0"/>
    <xf numFmtId="0" fontId="4" fillId="21" borderId="0" applyNumberFormat="0" applyBorder="0" applyAlignment="0" applyProtection="0"/>
    <xf numFmtId="0" fontId="3" fillId="0" borderId="18" applyNumberFormat="0" applyFill="0" applyAlignment="0" applyProtection="0"/>
    <xf numFmtId="0" fontId="18" fillId="25" borderId="19" applyNumberFormat="0" applyAlignment="0" applyProtection="0"/>
    <xf numFmtId="0" fontId="1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29" borderId="20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17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24" fillId="0" borderId="0" applyNumberFormat="0" applyFill="0" applyBorder="0" applyAlignment="0" applyProtection="0"/>
    <xf numFmtId="0" fontId="4" fillId="17" borderId="0" applyNumberFormat="0" applyBorder="0" applyAlignment="0" applyProtection="0"/>
    <xf numFmtId="0" fontId="23" fillId="0" borderId="21" applyNumberFormat="0" applyFill="0" applyAlignment="0" applyProtection="0"/>
    <xf numFmtId="0" fontId="25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19" borderId="17" applyNumberFormat="0" applyAlignment="0" applyProtection="0"/>
    <xf numFmtId="0" fontId="26" fillId="30" borderId="24" applyNumberFormat="0" applyAlignment="0" applyProtection="0"/>
    <xf numFmtId="0" fontId="27" fillId="25" borderId="17" applyNumberFormat="0" applyAlignment="0" applyProtection="0"/>
    <xf numFmtId="0" fontId="28" fillId="0" borderId="25" applyNumberFormat="0" applyFill="0" applyAlignment="0" applyProtection="0"/>
    <xf numFmtId="0" fontId="21" fillId="28" borderId="0" applyNumberFormat="0" applyBorder="0" applyAlignment="0" applyProtection="0"/>
    <xf numFmtId="0" fontId="14" fillId="14" borderId="0" applyNumberFormat="0" applyBorder="0" applyAlignment="0" applyProtection="0"/>
    <xf numFmtId="0" fontId="29" fillId="33" borderId="0" applyNumberFormat="0" applyBorder="0" applyAlignment="0" applyProtection="0"/>
    <xf numFmtId="0" fontId="1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9" borderId="20" applyNumberFormat="0" applyFont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27" borderId="0" applyNumberFormat="0" applyBorder="0" applyAlignment="0" applyProtection="0"/>
    <xf numFmtId="0" fontId="4" fillId="11" borderId="0" applyNumberFormat="0" applyBorder="0" applyAlignment="0" applyProtection="0"/>
    <xf numFmtId="0" fontId="14" fillId="22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24" borderId="0" applyNumberFormat="0" applyBorder="0" applyAlignment="0" applyProtection="0"/>
    <xf numFmtId="0" fontId="14" fillId="34" borderId="0" applyNumberFormat="0" applyBorder="0" applyAlignment="0" applyProtection="0"/>
    <xf numFmtId="0" fontId="4" fillId="13" borderId="0" applyNumberFormat="0" applyBorder="0" applyAlignment="0" applyProtection="0"/>
    <xf numFmtId="0" fontId="14" fillId="2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1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36" borderId="0" applyNumberFormat="0" applyBorder="0" applyAlignment="0" applyProtection="0"/>
    <xf numFmtId="0" fontId="1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31" borderId="0" applyNumberFormat="0" applyBorder="0" applyAlignment="0" applyProtection="0"/>
    <xf numFmtId="0" fontId="14" fillId="35" borderId="0" applyNumberFormat="0" applyBorder="0" applyAlignment="0" applyProtection="0"/>
    <xf numFmtId="0" fontId="4" fillId="7" borderId="0" applyNumberFormat="0" applyBorder="0" applyAlignment="0" applyProtection="0"/>
    <xf numFmtId="0" fontId="4" fillId="21" borderId="0" applyNumberFormat="0" applyBorder="0" applyAlignment="0" applyProtection="0"/>
    <xf numFmtId="0" fontId="4" fillId="27" borderId="0" applyNumberFormat="0" applyBorder="0" applyAlignment="0" applyProtection="0"/>
    <xf numFmtId="0" fontId="14" fillId="11" borderId="0" applyNumberFormat="0" applyBorder="0" applyAlignment="0" applyProtection="0"/>
    <xf numFmtId="0" fontId="4" fillId="20" borderId="0" applyNumberFormat="0" applyBorder="0" applyAlignment="0" applyProtection="0"/>
    <xf numFmtId="0" fontId="14" fillId="36" borderId="0" applyNumberFormat="0" applyBorder="0" applyAlignment="0" applyProtection="0"/>
    <xf numFmtId="0" fontId="14" fillId="26" borderId="0" applyNumberFormat="0" applyBorder="0" applyAlignment="0" applyProtection="0"/>
    <xf numFmtId="0" fontId="14" fillId="7" borderId="0" applyNumberFormat="0" applyBorder="0" applyAlignment="0" applyProtection="0"/>
    <xf numFmtId="0" fontId="30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29" borderId="20" applyNumberFormat="0" applyFont="0" applyAlignment="0" applyProtection="0"/>
  </cellStyleXfs>
  <cellXfs count="93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69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2" xfId="69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4" fillId="0" borderId="2" xfId="70" applyBorder="1"/>
    <xf numFmtId="0" fontId="4" fillId="0" borderId="0" xfId="70"/>
    <xf numFmtId="10" fontId="1" fillId="0" borderId="2" xfId="0" applyNumberFormat="1" applyFont="1" applyBorder="1" applyAlignment="1">
      <alignment horizontal="center" vertical="top"/>
    </xf>
    <xf numFmtId="10" fontId="5" fillId="0" borderId="2" xfId="0" applyNumberFormat="1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left" vertical="top"/>
    </xf>
    <xf numFmtId="10" fontId="5" fillId="0" borderId="2" xfId="0" applyNumberFormat="1" applyFont="1" applyBorder="1" applyAlignment="1">
      <alignment horizontal="left" vertical="top"/>
    </xf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7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2" fontId="0" fillId="0" borderId="0" xfId="0" applyNumberFormat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8" fillId="6" borderId="10" xfId="0" applyFont="1" applyFill="1" applyBorder="1" applyAlignment="1">
      <alignment vertical="center" wrapText="1"/>
    </xf>
    <xf numFmtId="0" fontId="8" fillId="6" borderId="11" xfId="0" applyFont="1" applyFill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center" wrapText="1"/>
    </xf>
    <xf numFmtId="0" fontId="9" fillId="6" borderId="11" xfId="0" applyFont="1" applyFill="1" applyBorder="1" applyAlignment="1">
      <alignment horizontal="center" vertical="center" wrapText="1"/>
    </xf>
    <xf numFmtId="1" fontId="0" fillId="0" borderId="13" xfId="0" applyNumberFormat="1" applyBorder="1"/>
    <xf numFmtId="9" fontId="0" fillId="0" borderId="14" xfId="10" applyFont="1" applyBorder="1"/>
    <xf numFmtId="9" fontId="0" fillId="0" borderId="0" xfId="10" applyFont="1" applyBorder="1"/>
    <xf numFmtId="0" fontId="0" fillId="0" borderId="2" xfId="0" applyBorder="1"/>
    <xf numFmtId="1" fontId="0" fillId="7" borderId="2" xfId="0" applyNumberFormat="1" applyFill="1" applyBorder="1"/>
    <xf numFmtId="0" fontId="9" fillId="6" borderId="10" xfId="0" applyFont="1" applyFill="1" applyBorder="1" applyAlignment="1">
      <alignment horizontal="left" vertical="center" wrapText="1"/>
    </xf>
    <xf numFmtId="0" fontId="9" fillId="8" borderId="10" xfId="0" applyFont="1" applyFill="1" applyBorder="1" applyAlignment="1">
      <alignment horizontal="left" vertical="center" wrapText="1"/>
    </xf>
    <xf numFmtId="9" fontId="0" fillId="0" borderId="3" xfId="10" applyFont="1" applyBorder="1"/>
    <xf numFmtId="2" fontId="0" fillId="0" borderId="0" xfId="10" applyNumberFormat="1" applyFont="1" applyBorder="1"/>
    <xf numFmtId="0" fontId="10" fillId="6" borderId="15" xfId="0" applyFont="1" applyFill="1" applyBorder="1" applyAlignment="1">
      <alignment horizontal="left" vertical="center" wrapText="1"/>
    </xf>
    <xf numFmtId="0" fontId="9" fillId="6" borderId="16" xfId="0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9" fontId="0" fillId="0" borderId="2" xfId="10" applyFont="1" applyBorder="1"/>
    <xf numFmtId="0" fontId="10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9" fontId="0" fillId="0" borderId="0" xfId="10" applyFont="1"/>
    <xf numFmtId="0" fontId="0" fillId="0" borderId="0" xfId="0" applyAlignment="1">
      <alignment horizontal="center"/>
    </xf>
    <xf numFmtId="0" fontId="0" fillId="6" borderId="2" xfId="0" applyFill="1" applyBorder="1"/>
    <xf numFmtId="1" fontId="0" fillId="6" borderId="2" xfId="0" applyNumberFormat="1" applyFill="1" applyBorder="1"/>
    <xf numFmtId="1" fontId="0" fillId="8" borderId="2" xfId="0" applyNumberFormat="1" applyFill="1" applyBorder="1"/>
    <xf numFmtId="181" fontId="0" fillId="5" borderId="2" xfId="0" applyNumberFormat="1" applyFill="1" applyBorder="1"/>
    <xf numFmtId="1" fontId="0" fillId="5" borderId="2" xfId="0" applyNumberFormat="1" applyFill="1" applyBorder="1"/>
    <xf numFmtId="181" fontId="0" fillId="8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2" xfId="0" applyFill="1" applyBorder="1"/>
    <xf numFmtId="1" fontId="0" fillId="9" borderId="2" xfId="0" applyNumberFormat="1" applyFill="1" applyBorder="1"/>
    <xf numFmtId="1" fontId="0" fillId="0" borderId="2" xfId="0" applyNumberFormat="1" applyFill="1" applyBorder="1"/>
    <xf numFmtId="0" fontId="8" fillId="0" borderId="0" xfId="0" applyFont="1" applyFill="1" applyBorder="1" applyAlignment="1">
      <alignment vertical="center" wrapText="1"/>
    </xf>
    <xf numFmtId="9" fontId="0" fillId="0" borderId="0" xfId="10" applyFont="1" applyFill="1" applyBorder="1"/>
    <xf numFmtId="0" fontId="8" fillId="0" borderId="2" xfId="0" applyFont="1" applyFill="1" applyBorder="1" applyAlignment="1">
      <alignment vertical="center" wrapText="1"/>
    </xf>
    <xf numFmtId="9" fontId="0" fillId="10" borderId="2" xfId="10" applyFont="1" applyFill="1" applyBorder="1"/>
    <xf numFmtId="178" fontId="0" fillId="0" borderId="0" xfId="0" applyNumberFormat="1" applyFill="1"/>
    <xf numFmtId="0" fontId="11" fillId="0" borderId="0" xfId="0" applyFont="1" applyFill="1"/>
    <xf numFmtId="1" fontId="11" fillId="0" borderId="0" xfId="0" applyNumberFormat="1" applyFont="1" applyFill="1"/>
    <xf numFmtId="1" fontId="0" fillId="0" borderId="0" xfId="0" applyNumberFormat="1" applyFill="1" applyBorder="1"/>
    <xf numFmtId="9" fontId="12" fillId="0" borderId="2" xfId="10" applyFont="1" applyFill="1" applyBorder="1"/>
    <xf numFmtId="9" fontId="12" fillId="0" borderId="0" xfId="10" applyFont="1" applyFill="1"/>
    <xf numFmtId="0" fontId="0" fillId="8" borderId="0" xfId="0" applyFill="1" applyAlignment="1">
      <alignment horizontal="left"/>
    </xf>
    <xf numFmtId="0" fontId="11" fillId="0" borderId="0" xfId="0" applyFont="1"/>
    <xf numFmtId="0" fontId="0" fillId="0" borderId="0" xfId="0" applyFont="1"/>
    <xf numFmtId="0" fontId="0" fillId="8" borderId="2" xfId="0" applyFill="1" applyBorder="1"/>
    <xf numFmtId="178" fontId="0" fillId="0" borderId="0" xfId="0" applyNumberFormat="1"/>
    <xf numFmtId="1" fontId="1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0" fontId="0" fillId="0" borderId="0" xfId="0" applyFont="1" applyFill="1"/>
    <xf numFmtId="9" fontId="0" fillId="0" borderId="0" xfId="0" applyNumberFormat="1" applyFont="1" applyFill="1"/>
    <xf numFmtId="9" fontId="0" fillId="0" borderId="0" xfId="0" applyNumberFormat="1" applyFill="1"/>
    <xf numFmtId="0" fontId="0" fillId="4" borderId="2" xfId="0" applyFill="1" applyBorder="1" quotePrefix="1"/>
    <xf numFmtId="0" fontId="6" fillId="0" borderId="0" xfId="0" applyNumberFormat="1" applyFont="1" applyFill="1" applyBorder="1" applyAlignment="1" quotePrefix="1"/>
  </cellXfs>
  <cellStyles count="73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40% — акцент3 2" xfId="7"/>
    <cellStyle name="Запятая" xfId="8" builtinId="3"/>
    <cellStyle name="40% — Акцент6" xfId="9" builtinId="51"/>
    <cellStyle name="Процент" xfId="10" builtinId="5"/>
    <cellStyle name="40% — акцент6 2" xfId="11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40% — акцент4 2" xfId="20"/>
    <cellStyle name="Заголовок" xfId="21" builtinId="15"/>
    <cellStyle name="20% — акцент4 2" xfId="22"/>
    <cellStyle name="Пояснительный текст" xfId="23" builtinId="53"/>
    <cellStyle name="40% — акцент5 2" xfId="24"/>
    <cellStyle name="Заголовок 1" xfId="25" builtinId="16"/>
    <cellStyle name="Заголовок 2" xfId="26" builtinId="17"/>
    <cellStyle name="Заголовок 3" xfId="27" builtinId="18"/>
    <cellStyle name="Заголовок 4" xfId="28" builtinId="19"/>
    <cellStyle name="Ввод" xfId="29" builtinId="20"/>
    <cellStyle name="Проверить ячейку" xfId="30" builtinId="23"/>
    <cellStyle name="Вычисление" xfId="31" builtinId="22"/>
    <cellStyle name="Связанная ячейка" xfId="32" builtinId="24"/>
    <cellStyle name="Плохой" xfId="33" builtinId="27"/>
    <cellStyle name="Акцент5" xfId="34" builtinId="45"/>
    <cellStyle name="Нейтральный" xfId="35" builtinId="28"/>
    <cellStyle name="Акцент1" xfId="36" builtinId="29"/>
    <cellStyle name="20% — Акцент1" xfId="37" builtinId="30"/>
    <cellStyle name="Примечание 3" xfId="38"/>
    <cellStyle name="40% — Акцент1" xfId="39" builtinId="31"/>
    <cellStyle name="40% — акцент1 2" xfId="40"/>
    <cellStyle name="20% — Акцент5" xfId="41" builtinId="46"/>
    <cellStyle name="60% — Акцент1" xfId="42" builtinId="32"/>
    <cellStyle name="Акцент2" xfId="43" builtinId="33"/>
    <cellStyle name="40% — Акцент2" xfId="44" builtinId="35"/>
    <cellStyle name="20% — Акцент6" xfId="45" builtinId="50"/>
    <cellStyle name="60% — Акцент2" xfId="46" builtinId="36"/>
    <cellStyle name="Акцент3" xfId="47" builtinId="37"/>
    <cellStyle name="20% — акцент6 2" xfId="48"/>
    <cellStyle name="60% — акцент2 2" xfId="49"/>
    <cellStyle name="20% — акцент3 2" xfId="50"/>
    <cellStyle name="40% — Акцент3" xfId="51" builtinId="39"/>
    <cellStyle name="60% — Акцент3" xfId="52" builtinId="40"/>
    <cellStyle name="Акцент4" xfId="53" builtinId="41"/>
    <cellStyle name="20% — Акцент4" xfId="54" builtinId="42"/>
    <cellStyle name="60% — Акцент4" xfId="55" builtinId="44"/>
    <cellStyle name="60% — акцент3 2" xfId="56"/>
    <cellStyle name="60% — Акцент5" xfId="57" builtinId="48"/>
    <cellStyle name="20% — акцент1 2" xfId="58"/>
    <cellStyle name="Акцент6" xfId="59" builtinId="49"/>
    <cellStyle name="60% — Акцент6" xfId="60" builtinId="52"/>
    <cellStyle name="20% — акцент2 2" xfId="61"/>
    <cellStyle name="20% — акцент5 2" xfId="62"/>
    <cellStyle name="60% — акцент1 2" xfId="63"/>
    <cellStyle name="40% — акцент2 2" xfId="64"/>
    <cellStyle name="60% — акцент4 2" xfId="65"/>
    <cellStyle name="60% — акцент5 2" xfId="66"/>
    <cellStyle name="60% — акцент6 2" xfId="67"/>
    <cellStyle name="Нейтральный 2" xfId="68"/>
    <cellStyle name="Обычный 2" xfId="69"/>
    <cellStyle name="Обычный 3" xfId="70"/>
    <cellStyle name="Обычный 4" xfId="71"/>
    <cellStyle name="Примечание 2" xfId="72"/>
  </cellStyles>
  <dxfs count="13">
    <dxf>
      <numFmt numFmtId="181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82" formatCode="0.000000"/>
    </dxf>
    <dxf>
      <numFmt numFmtId="183" formatCode="0.00000"/>
    </dxf>
    <dxf>
      <numFmt numFmtId="178" formatCode="0.0000"/>
    </dxf>
    <dxf>
      <numFmt numFmtId="184" formatCode="0.000"/>
    </dxf>
    <dxf>
      <numFmt numFmtId="2" formatCode="0.00"/>
    </dxf>
    <dxf>
      <numFmt numFmtId="181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849.4739459491" refreshedBy="test" recordCount="26">
  <cacheSource type="worksheet">
    <worksheetSource ref="A61:G87" sheet="Автоматизированный расчет"/>
  </cacheSource>
  <cacheFields count="7">
    <cacheField name="Операция/Скрипт" numFmtId="0"/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/>
    <cacheField name="Pacing" numFmtId="0"/>
    <cacheField name="Кол-во одним Vu" numFmtId="1"/>
    <cacheField name="Длительность ступени" numFmtId="0"/>
    <cacheField name="Итого" numFmtId="1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0.4476736111" refreshedBy="khpalv" recordCount="30">
  <cacheSource type="worksheet">
    <worksheetSource ref="A1:H31" sheet="Автоматизированный расчет"/>
  </cacheSource>
  <cacheFields count="8">
    <cacheField name="Script name" numFmtId="0">
      <sharedItems containsBlank="1" count="7">
        <s v="Покупка билета"/>
        <s v="Удаление бронирования "/>
        <s v="Регистрация новых пользователей"/>
        <s v="Логин"/>
        <s v="Поиск билета без покупки"/>
        <s v="Ознакомление с путевым листом"/>
        <m/>
      </sharedItems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/>
      </sharedItems>
    </cacheField>
    <cacheField name="count" numFmtId="0">
      <sharedItems containsString="0" containsBlank="1" containsNumber="1" containsInteger="1" minValue="0" maxValue="1" count="2">
        <n v="1"/>
        <m/>
      </sharedItems>
    </cacheField>
    <cacheField name="VU" numFmtId="0">
      <sharedItems containsString="0" containsBlank="1" containsNumber="1" containsInteger="1" minValue="0" maxValue="3" count="4">
        <n v="3"/>
        <n v="1"/>
        <n v="2"/>
        <m/>
      </sharedItems>
    </cacheField>
    <cacheField name="pacing" numFmtId="0">
      <sharedItems containsString="0" containsBlank="1" containsNumber="1" containsInteger="1" minValue="0" maxValue="38" count="7">
        <n v="16"/>
        <n v="13"/>
        <n v="9"/>
        <n v="23"/>
        <n v="17"/>
        <n v="38"/>
        <m/>
      </sharedItems>
    </cacheField>
    <cacheField name="одним пользователем в минуту" numFmtId="2">
      <sharedItems containsString="0" containsBlank="1" containsNumber="1" minValue="0" maxValue="6.66666666666667" count="7">
        <n v="3.75"/>
        <n v="4.61538461538462"/>
        <n v="6.66666666666667"/>
        <n v="2.60869565217391"/>
        <n v="3.52941176470588"/>
        <n v="1.57894736842105"/>
        <m/>
      </sharedItems>
    </cacheField>
    <cacheField name="Длительность ступени" numFmtId="0">
      <sharedItems containsString="0" containsBlank="1" containsNumber="1" containsInteger="1" minValue="0" maxValue="20" count="2">
        <n v="20"/>
        <m/>
      </sharedItems>
    </cacheField>
    <cacheField name="Итого" numFmtId="1">
      <sharedItems containsString="0" containsBlank="1" containsNumber="1" minValue="0" maxValue="225" count="7">
        <n v="225"/>
        <n v="92.3076923076923"/>
        <n v="133.333333333333"/>
        <n v="52.1739130434783"/>
        <n v="141.176470588235"/>
        <n v="63.157894736842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x v="0"/>
  </r>
  <r>
    <x v="0"/>
    <x v="1"/>
    <x v="0"/>
    <x v="0"/>
    <x v="0"/>
    <x v="0"/>
    <x v="0"/>
    <x v="0"/>
  </r>
  <r>
    <x v="0"/>
    <x v="2"/>
    <x v="0"/>
    <x v="0"/>
    <x v="0"/>
    <x v="0"/>
    <x v="0"/>
    <x v="0"/>
  </r>
  <r>
    <x v="0"/>
    <x v="3"/>
    <x v="0"/>
    <x v="0"/>
    <x v="0"/>
    <x v="0"/>
    <x v="0"/>
    <x v="0"/>
  </r>
  <r>
    <x v="0"/>
    <x v="4"/>
    <x v="0"/>
    <x v="0"/>
    <x v="0"/>
    <x v="0"/>
    <x v="0"/>
    <x v="0"/>
  </r>
  <r>
    <x v="0"/>
    <x v="5"/>
    <x v="0"/>
    <x v="0"/>
    <x v="0"/>
    <x v="0"/>
    <x v="0"/>
    <x v="0"/>
  </r>
  <r>
    <x v="0"/>
    <x v="6"/>
    <x v="0"/>
    <x v="0"/>
    <x v="0"/>
    <x v="0"/>
    <x v="0"/>
    <x v="0"/>
  </r>
  <r>
    <x v="0"/>
    <x v="7"/>
    <x v="0"/>
    <x v="0"/>
    <x v="0"/>
    <x v="0"/>
    <x v="0"/>
    <x v="0"/>
  </r>
  <r>
    <x v="1"/>
    <x v="0"/>
    <x v="0"/>
    <x v="1"/>
    <x v="1"/>
    <x v="1"/>
    <x v="0"/>
    <x v="1"/>
  </r>
  <r>
    <x v="1"/>
    <x v="1"/>
    <x v="0"/>
    <x v="1"/>
    <x v="1"/>
    <x v="1"/>
    <x v="0"/>
    <x v="1"/>
  </r>
  <r>
    <x v="1"/>
    <x v="6"/>
    <x v="0"/>
    <x v="1"/>
    <x v="1"/>
    <x v="1"/>
    <x v="0"/>
    <x v="1"/>
  </r>
  <r>
    <x v="1"/>
    <x v="8"/>
    <x v="0"/>
    <x v="1"/>
    <x v="1"/>
    <x v="1"/>
    <x v="0"/>
    <x v="1"/>
  </r>
  <r>
    <x v="2"/>
    <x v="0"/>
    <x v="0"/>
    <x v="1"/>
    <x v="2"/>
    <x v="2"/>
    <x v="0"/>
    <x v="2"/>
  </r>
  <r>
    <x v="2"/>
    <x v="9"/>
    <x v="0"/>
    <x v="1"/>
    <x v="2"/>
    <x v="2"/>
    <x v="0"/>
    <x v="2"/>
  </r>
  <r>
    <x v="2"/>
    <x v="10"/>
    <x v="0"/>
    <x v="1"/>
    <x v="2"/>
    <x v="2"/>
    <x v="0"/>
    <x v="2"/>
  </r>
  <r>
    <x v="2"/>
    <x v="11"/>
    <x v="0"/>
    <x v="1"/>
    <x v="2"/>
    <x v="2"/>
    <x v="0"/>
    <x v="2"/>
  </r>
  <r>
    <x v="3"/>
    <x v="0"/>
    <x v="0"/>
    <x v="1"/>
    <x v="3"/>
    <x v="3"/>
    <x v="0"/>
    <x v="3"/>
  </r>
  <r>
    <x v="3"/>
    <x v="1"/>
    <x v="0"/>
    <x v="1"/>
    <x v="3"/>
    <x v="3"/>
    <x v="0"/>
    <x v="3"/>
  </r>
  <r>
    <x v="3"/>
    <x v="2"/>
    <x v="0"/>
    <x v="1"/>
    <x v="3"/>
    <x v="3"/>
    <x v="0"/>
    <x v="3"/>
  </r>
  <r>
    <x v="3"/>
    <x v="7"/>
    <x v="0"/>
    <x v="1"/>
    <x v="3"/>
    <x v="3"/>
    <x v="0"/>
    <x v="3"/>
  </r>
  <r>
    <x v="4"/>
    <x v="0"/>
    <x v="0"/>
    <x v="2"/>
    <x v="4"/>
    <x v="4"/>
    <x v="0"/>
    <x v="4"/>
  </r>
  <r>
    <x v="4"/>
    <x v="1"/>
    <x v="0"/>
    <x v="2"/>
    <x v="4"/>
    <x v="4"/>
    <x v="0"/>
    <x v="4"/>
  </r>
  <r>
    <x v="4"/>
    <x v="2"/>
    <x v="0"/>
    <x v="2"/>
    <x v="4"/>
    <x v="4"/>
    <x v="0"/>
    <x v="4"/>
  </r>
  <r>
    <x v="4"/>
    <x v="3"/>
    <x v="0"/>
    <x v="2"/>
    <x v="4"/>
    <x v="4"/>
    <x v="0"/>
    <x v="4"/>
  </r>
  <r>
    <x v="4"/>
    <x v="4"/>
    <x v="0"/>
    <x v="2"/>
    <x v="4"/>
    <x v="4"/>
    <x v="0"/>
    <x v="4"/>
  </r>
  <r>
    <x v="4"/>
    <x v="7"/>
    <x v="0"/>
    <x v="2"/>
    <x v="4"/>
    <x v="4"/>
    <x v="0"/>
    <x v="4"/>
  </r>
  <r>
    <x v="5"/>
    <x v="0"/>
    <x v="0"/>
    <x v="2"/>
    <x v="5"/>
    <x v="5"/>
    <x v="0"/>
    <x v="5"/>
  </r>
  <r>
    <x v="5"/>
    <x v="1"/>
    <x v="0"/>
    <x v="2"/>
    <x v="5"/>
    <x v="5"/>
    <x v="0"/>
    <x v="5"/>
  </r>
  <r>
    <x v="5"/>
    <x v="6"/>
    <x v="0"/>
    <x v="2"/>
    <x v="5"/>
    <x v="5"/>
    <x v="0"/>
    <x v="5"/>
  </r>
  <r>
    <x v="6"/>
    <x v="12"/>
    <x v="1"/>
    <x v="3"/>
    <x v="6"/>
    <x v="6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utoFormatId="1" applyNumberFormats="0" applyBorderFormats="0" applyFontFormats="0" applyPatternFormats="0" applyAlignmentFormats="0" applyWidthHeightFormats="1" dataCaption="Значения" updatedVersion="6" minRefreshableVersion="3" createdVersion="6" useAutoFormatting="1" indent="0" outline="1" outlineData="1" showDrill="1" multipleFieldFilters="0">
  <location ref="I59:J69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defaultSubtotal="0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0">
      <pivotArea collapsedLevelsAreSubtotals="1" fieldPosition="0">
        <references count="1">
          <reference field="1" count="0"/>
        </references>
      </pivotArea>
    </format>
    <format dxfId="1">
      <pivotArea collapsedLevelsAreSubtotals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3">
      <pivotArea dataOnly="0" labelOnly="1" fieldPosition="0">
        <references count="1">
          <reference field="1" count="1">
            <x v="3"/>
          </reference>
        </references>
      </pivotArea>
    </format>
    <format dxfId="4">
      <pivotArea dataOnly="0" labelOnly="1" fieldPosition="0">
        <references count="1">
          <reference field="1" count="1">
            <x v="6"/>
          </reference>
        </references>
      </pivotArea>
    </format>
    <format dxfId="5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utoFormatId="1" applyNumberFormats="0" applyBorderFormats="0" applyFontFormats="0" applyPatternFormats="0" applyAlignmentFormats="0" applyWidthHeightFormats="1" dataCaption="Значения" updatedVersion="5" minRefreshableVersion="3" createdVersion="6" useAutoFormatting="1" indent="0" outline="1" outlineData="1" showDrill="1" multipleFieldFilters="0">
  <location ref="I1:J15" firstHeaderRow="1" firstDataRow="1" firstDataCol="1"/>
  <pivotFields count="8">
    <pivotField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x="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8">
        <item x="6"/>
        <item x="2"/>
        <item x="0"/>
        <item x="1"/>
        <item x="3"/>
        <item x="4"/>
        <item x="5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1.vml"/><Relationship Id="rId3" Type="http://schemas.openxmlformats.org/officeDocument/2006/relationships/pivotTable" Target="../pivotTables/pivotTable2.x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7"/>
  <sheetViews>
    <sheetView tabSelected="1" zoomScale="70" zoomScaleNormal="70" topLeftCell="A29" workbookViewId="0">
      <selection activeCell="F30" sqref="F30"/>
    </sheetView>
  </sheetViews>
  <sheetFormatPr defaultColWidth="11.4259259259259" defaultRowHeight="14.4"/>
  <cols>
    <col min="1" max="1" width="31.712962962963" customWidth="1"/>
    <col min="2" max="2" width="31.4259259259259" customWidth="1"/>
    <col min="3" max="3" width="18.1388888888889" customWidth="1"/>
    <col min="4" max="4" width="17.8518518518519" customWidth="1"/>
    <col min="5" max="5" width="19.1388888888889" customWidth="1"/>
    <col min="6" max="6" width="31.7407407407407" customWidth="1"/>
    <col min="7" max="7" width="11.1111111111111" customWidth="1"/>
    <col min="8" max="8" width="17" customWidth="1"/>
    <col min="9" max="9" width="48.2222222222222"/>
    <col min="10" max="10" width="22.4444444444444"/>
    <col min="11" max="11" width="2.96296296296296" customWidth="1"/>
    <col min="12" max="12" width="1.2962962962963" customWidth="1"/>
    <col min="13" max="13" width="35.1388888888889" customWidth="1"/>
    <col min="14" max="14" width="7.59259259259259" customWidth="1"/>
    <col min="15" max="15" width="7.96296296296296" customWidth="1"/>
    <col min="16" max="16" width="23.4259259259259" customWidth="1"/>
    <col min="17" max="17" width="26" customWidth="1"/>
    <col min="18" max="18" width="10.5740740740741" customWidth="1"/>
    <col min="19" max="19" width="12.287037037037" customWidth="1"/>
  </cols>
  <sheetData>
    <row r="1" ht="15.15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15</v>
      </c>
      <c r="T1" s="83" t="s">
        <v>16</v>
      </c>
      <c r="U1" s="83" t="s">
        <v>17</v>
      </c>
      <c r="V1" s="83" t="s">
        <v>18</v>
      </c>
      <c r="W1" s="84" t="s">
        <v>19</v>
      </c>
      <c r="Y1" t="s">
        <v>20</v>
      </c>
    </row>
    <row r="2" spans="1:24">
      <c r="A2" s="19" t="s">
        <v>21</v>
      </c>
      <c r="B2" s="19" t="s">
        <v>22</v>
      </c>
      <c r="C2" s="20">
        <v>1</v>
      </c>
      <c r="D2" s="21">
        <f>VLOOKUP(A2,$M$1:$X$8,6,FALSE)</f>
        <v>3</v>
      </c>
      <c r="E2">
        <f>VLOOKUP(A2,$M$1:$X$8,5,FALSE)</f>
        <v>16</v>
      </c>
      <c r="F2" s="22">
        <f t="shared" ref="F2:F13" si="0">60/E2*C2</f>
        <v>3.75</v>
      </c>
      <c r="G2">
        <f>VLOOKUP(A2,$M$1:$X$8,8,FALSE)</f>
        <v>20</v>
      </c>
      <c r="H2" s="23">
        <f>D2*F2*G2</f>
        <v>225</v>
      </c>
      <c r="I2" s="67" t="s">
        <v>23</v>
      </c>
      <c r="J2" s="23">
        <v>573.815970676248</v>
      </c>
      <c r="K2" s="68"/>
      <c r="M2" t="s">
        <v>21</v>
      </c>
      <c r="N2" s="69">
        <v>8</v>
      </c>
      <c r="O2" s="70">
        <f t="shared" ref="O2:O7" si="1">P2-N2</f>
        <v>0</v>
      </c>
      <c r="P2" s="71">
        <v>8</v>
      </c>
      <c r="Q2" s="63">
        <v>16</v>
      </c>
      <c r="R2" s="85">
        <v>3</v>
      </c>
      <c r="S2" s="86">
        <f t="shared" ref="S2:S7" si="2">60/(Q2)</f>
        <v>3.75</v>
      </c>
      <c r="T2" s="83">
        <v>20</v>
      </c>
      <c r="U2" s="87">
        <f>ROUND(R2*S2*T2,0)</f>
        <v>225</v>
      </c>
      <c r="V2" s="87">
        <f>U2*3</f>
        <v>675</v>
      </c>
      <c r="W2" s="88">
        <f>R2/X$2</f>
        <v>0.3</v>
      </c>
      <c r="X2">
        <f>SUM(R2:R7)</f>
        <v>10</v>
      </c>
    </row>
    <row r="3" spans="1:23">
      <c r="A3" s="19" t="s">
        <v>21</v>
      </c>
      <c r="B3" s="19" t="s">
        <v>23</v>
      </c>
      <c r="C3" s="20">
        <v>1</v>
      </c>
      <c r="D3" s="24">
        <f>VLOOKUP(A3,$M$1:$X$8,6,FALSE)</f>
        <v>3</v>
      </c>
      <c r="E3">
        <f>VLOOKUP(A3,$M$1:$X$8,5,FALSE)</f>
        <v>16</v>
      </c>
      <c r="F3" s="22">
        <f>60/E3*C3</f>
        <v>3.75</v>
      </c>
      <c r="G3">
        <f>VLOOKUP(A3,$M$1:$X$8,8,FALSE)</f>
        <v>20</v>
      </c>
      <c r="H3" s="23">
        <f>D3*F3*G3</f>
        <v>225</v>
      </c>
      <c r="I3" s="67" t="s">
        <v>24</v>
      </c>
      <c r="J3" s="23">
        <v>366.176470588235</v>
      </c>
      <c r="K3" s="68"/>
      <c r="M3" t="s">
        <v>25</v>
      </c>
      <c r="N3" s="69">
        <v>7</v>
      </c>
      <c r="O3" s="70">
        <f t="shared" si="1"/>
        <v>0</v>
      </c>
      <c r="P3" s="71">
        <v>7</v>
      </c>
      <c r="Q3" s="63">
        <v>13</v>
      </c>
      <c r="R3" s="85">
        <v>1</v>
      </c>
      <c r="S3" s="86">
        <f t="shared" si="2"/>
        <v>4.61538461538461</v>
      </c>
      <c r="T3" s="83">
        <v>20</v>
      </c>
      <c r="U3" s="87">
        <f>ROUND(R3*S3*T3,0)</f>
        <v>92</v>
      </c>
      <c r="V3" s="87">
        <f>U3*3</f>
        <v>276</v>
      </c>
      <c r="W3" s="88">
        <f t="shared" ref="W2:W7" si="3">R3/X$2</f>
        <v>0.1</v>
      </c>
    </row>
    <row r="4" spans="1:23">
      <c r="A4" s="19" t="s">
        <v>21</v>
      </c>
      <c r="B4" s="19" t="s">
        <v>26</v>
      </c>
      <c r="C4" s="20">
        <v>1</v>
      </c>
      <c r="D4" s="24">
        <f>VLOOKUP(A4,$M$1:$X$8,6,FALSE)</f>
        <v>3</v>
      </c>
      <c r="E4">
        <f>VLOOKUP(A4,$M$1:$X$8,5,FALSE)</f>
        <v>16</v>
      </c>
      <c r="F4" s="22">
        <f t="shared" si="0"/>
        <v>3.75</v>
      </c>
      <c r="G4">
        <f>VLOOKUP(A4,$M$1:$X$8,8,FALSE)</f>
        <v>20</v>
      </c>
      <c r="H4" s="23">
        <f t="shared" ref="H2:H13" si="4">D4*F4*G4</f>
        <v>225</v>
      </c>
      <c r="I4" s="67" t="s">
        <v>27</v>
      </c>
      <c r="J4" s="23">
        <v>418.350383631713</v>
      </c>
      <c r="K4" s="68"/>
      <c r="M4" t="s">
        <v>28</v>
      </c>
      <c r="N4" s="69">
        <v>7</v>
      </c>
      <c r="O4" s="70">
        <f t="shared" si="1"/>
        <v>0</v>
      </c>
      <c r="P4" s="71">
        <v>7</v>
      </c>
      <c r="Q4" s="63">
        <v>9</v>
      </c>
      <c r="R4" s="85">
        <v>1</v>
      </c>
      <c r="S4" s="86">
        <f t="shared" si="2"/>
        <v>6.66666666666667</v>
      </c>
      <c r="T4" s="83">
        <v>20</v>
      </c>
      <c r="U4" s="87">
        <f>ROUND(R4*S4*T4,0)</f>
        <v>133</v>
      </c>
      <c r="V4" s="87">
        <f>U4*3</f>
        <v>399</v>
      </c>
      <c r="W4" s="88">
        <f t="shared" si="3"/>
        <v>0.1</v>
      </c>
    </row>
    <row r="5" spans="1:23">
      <c r="A5" s="19" t="s">
        <v>21</v>
      </c>
      <c r="B5" s="19" t="s">
        <v>29</v>
      </c>
      <c r="C5" s="20">
        <v>1</v>
      </c>
      <c r="D5" s="24">
        <f>VLOOKUP(A5,$M$1:$X$8,6,FALSE)</f>
        <v>3</v>
      </c>
      <c r="E5">
        <f>VLOOKUP(A5,$M$1:$X$8,5,FALSE)</f>
        <v>16</v>
      </c>
      <c r="F5" s="22">
        <f t="shared" si="0"/>
        <v>3.75</v>
      </c>
      <c r="G5">
        <f>VLOOKUP(A5,$M$1:$X$8,8,FALSE)</f>
        <v>20</v>
      </c>
      <c r="H5" s="23">
        <f t="shared" si="4"/>
        <v>225</v>
      </c>
      <c r="I5" s="67" t="s">
        <v>29</v>
      </c>
      <c r="J5" s="23">
        <v>366.176470588235</v>
      </c>
      <c r="K5" s="68"/>
      <c r="M5" t="s">
        <v>30</v>
      </c>
      <c r="N5" s="69">
        <v>8</v>
      </c>
      <c r="O5" s="70">
        <f t="shared" si="1"/>
        <v>0</v>
      </c>
      <c r="P5" s="71">
        <v>8</v>
      </c>
      <c r="Q5" s="63">
        <v>17</v>
      </c>
      <c r="R5" s="85">
        <v>2</v>
      </c>
      <c r="S5" s="86">
        <f t="shared" si="2"/>
        <v>3.52941176470588</v>
      </c>
      <c r="T5" s="83">
        <v>20</v>
      </c>
      <c r="U5" s="87">
        <f>ROUND(R5*S5*T5,0)</f>
        <v>141</v>
      </c>
      <c r="V5" s="87">
        <f>U5*3</f>
        <v>423</v>
      </c>
      <c r="W5" s="88">
        <f t="shared" si="3"/>
        <v>0.2</v>
      </c>
    </row>
    <row r="6" spans="1:23">
      <c r="A6" s="19" t="s">
        <v>21</v>
      </c>
      <c r="B6" s="19" t="s">
        <v>24</v>
      </c>
      <c r="C6" s="20">
        <v>1</v>
      </c>
      <c r="D6" s="24">
        <f>VLOOKUP(A6,$M$1:$X$8,6,FALSE)</f>
        <v>3</v>
      </c>
      <c r="E6">
        <f>VLOOKUP(A6,$M$1:$X$8,5,FALSE)</f>
        <v>16</v>
      </c>
      <c r="F6" s="22">
        <f t="shared" si="0"/>
        <v>3.75</v>
      </c>
      <c r="G6">
        <f>VLOOKUP(A6,$M$1:$X$8,8,FALSE)</f>
        <v>20</v>
      </c>
      <c r="H6" s="23">
        <f t="shared" si="4"/>
        <v>225</v>
      </c>
      <c r="I6" s="67" t="s">
        <v>31</v>
      </c>
      <c r="J6" s="23">
        <v>225</v>
      </c>
      <c r="K6" s="68"/>
      <c r="M6" t="s">
        <v>32</v>
      </c>
      <c r="N6" s="69">
        <v>7</v>
      </c>
      <c r="O6" s="70">
        <f t="shared" si="1"/>
        <v>0</v>
      </c>
      <c r="P6" s="71">
        <v>7</v>
      </c>
      <c r="Q6" s="63">
        <v>38</v>
      </c>
      <c r="R6" s="85">
        <v>2</v>
      </c>
      <c r="S6" s="86">
        <f t="shared" si="2"/>
        <v>1.57894736842105</v>
      </c>
      <c r="T6" s="83">
        <v>20</v>
      </c>
      <c r="U6" s="87">
        <f>ROUND(R6*S6*T6,0)</f>
        <v>63</v>
      </c>
      <c r="V6" s="87">
        <f>U6*3</f>
        <v>189</v>
      </c>
      <c r="W6" s="88">
        <f t="shared" si="3"/>
        <v>0.2</v>
      </c>
    </row>
    <row r="7" spans="1:23">
      <c r="A7" s="19" t="s">
        <v>21</v>
      </c>
      <c r="B7" s="19" t="s">
        <v>31</v>
      </c>
      <c r="C7" s="20">
        <v>1</v>
      </c>
      <c r="D7" s="24">
        <f>VLOOKUP(A7,$M$1:$X$8,6,FALSE)</f>
        <v>3</v>
      </c>
      <c r="E7">
        <f>VLOOKUP(A7,$M$1:$X$8,5,FALSE)</f>
        <v>16</v>
      </c>
      <c r="F7" s="22">
        <f t="shared" si="0"/>
        <v>3.75</v>
      </c>
      <c r="G7">
        <f>VLOOKUP(A7,$M$1:$X$8,8,FALSE)</f>
        <v>20</v>
      </c>
      <c r="H7" s="23">
        <f t="shared" si="4"/>
        <v>225</v>
      </c>
      <c r="I7" s="67" t="s">
        <v>33</v>
      </c>
      <c r="J7" s="23">
        <v>92.3076923076923</v>
      </c>
      <c r="K7" s="68"/>
      <c r="M7" t="s">
        <v>34</v>
      </c>
      <c r="N7" s="69">
        <v>7</v>
      </c>
      <c r="O7" s="70">
        <f t="shared" si="1"/>
        <v>0</v>
      </c>
      <c r="P7" s="23">
        <v>7</v>
      </c>
      <c r="Q7" s="63">
        <v>23</v>
      </c>
      <c r="R7" s="85">
        <v>1</v>
      </c>
      <c r="S7" s="86">
        <f t="shared" si="2"/>
        <v>2.60869565217391</v>
      </c>
      <c r="T7" s="83">
        <v>20</v>
      </c>
      <c r="U7" s="87">
        <f>SUM(U2:U6)</f>
        <v>654</v>
      </c>
      <c r="V7" s="87">
        <f>U7*3</f>
        <v>1962</v>
      </c>
      <c r="W7" s="88">
        <f t="shared" si="3"/>
        <v>0.1</v>
      </c>
    </row>
    <row r="8" ht="15.15" spans="1:23">
      <c r="A8" s="19" t="s">
        <v>21</v>
      </c>
      <c r="B8" s="19" t="s">
        <v>35</v>
      </c>
      <c r="C8" s="20">
        <v>1</v>
      </c>
      <c r="D8" s="25">
        <f>VLOOKUP(A8,$M$1:$X$8,6,FALSE)</f>
        <v>3</v>
      </c>
      <c r="E8">
        <f>VLOOKUP(A8,$M$1:$X$8,5,FALSE)</f>
        <v>16</v>
      </c>
      <c r="F8" s="22">
        <f t="shared" si="0"/>
        <v>3.75</v>
      </c>
      <c r="G8">
        <f>VLOOKUP(A8,$M$1:$X$8,8,FALSE)</f>
        <v>20</v>
      </c>
      <c r="H8" s="23">
        <f t="shared" si="4"/>
        <v>225</v>
      </c>
      <c r="I8" s="67" t="s">
        <v>35</v>
      </c>
      <c r="J8" s="23">
        <v>380.465587044534</v>
      </c>
      <c r="K8" s="68"/>
      <c r="V8" s="23">
        <f>SUM(V2:V7)</f>
        <v>3924</v>
      </c>
      <c r="W8" s="89">
        <f>SUM(W2:W7)</f>
        <v>1</v>
      </c>
    </row>
    <row r="9" ht="15.15" spans="1:11">
      <c r="A9" s="19" t="s">
        <v>21</v>
      </c>
      <c r="B9" s="19" t="s">
        <v>27</v>
      </c>
      <c r="C9" s="20">
        <v>1</v>
      </c>
      <c r="D9" s="25">
        <f>VLOOKUP(A9,$M$1:$X$8,6,FALSE)</f>
        <v>3</v>
      </c>
      <c r="E9">
        <f>VLOOKUP(A9,$M$1:$X$8,5,FALSE)</f>
        <v>16</v>
      </c>
      <c r="F9" s="22">
        <f t="shared" si="0"/>
        <v>3.75</v>
      </c>
      <c r="G9">
        <f>VLOOKUP(A9,$M$1:$X$8,8,FALSE)</f>
        <v>20</v>
      </c>
      <c r="H9" s="23">
        <f t="shared" si="4"/>
        <v>225</v>
      </c>
      <c r="I9" s="67" t="s">
        <v>22</v>
      </c>
      <c r="J9" s="23">
        <v>707.149304009581</v>
      </c>
      <c r="K9" s="68"/>
    </row>
    <row r="10" spans="1:10">
      <c r="A10" s="19" t="s">
        <v>25</v>
      </c>
      <c r="B10" s="19" t="s">
        <v>22</v>
      </c>
      <c r="C10" s="20">
        <v>1</v>
      </c>
      <c r="D10" s="21">
        <f>VLOOKUP(A10,$M$1:$X$8,6,FALSE)</f>
        <v>1</v>
      </c>
      <c r="E10" s="23">
        <f>VLOOKUP(A10,$M$1:$X$8,5,FALSE)</f>
        <v>13</v>
      </c>
      <c r="F10" s="22">
        <f t="shared" si="0"/>
        <v>4.61538461538461</v>
      </c>
      <c r="G10">
        <f>VLOOKUP(A10,$M$1:$X$8,8,FALSE)</f>
        <v>20</v>
      </c>
      <c r="H10" s="23">
        <f t="shared" si="4"/>
        <v>92.3076923076923</v>
      </c>
      <c r="I10" s="67" t="s">
        <v>36</v>
      </c>
      <c r="J10" s="23">
        <v>133.333333333333</v>
      </c>
    </row>
    <row r="11" spans="1:10">
      <c r="A11" s="19" t="s">
        <v>25</v>
      </c>
      <c r="B11" s="19" t="s">
        <v>23</v>
      </c>
      <c r="C11" s="20">
        <v>1</v>
      </c>
      <c r="D11" s="24">
        <f>VLOOKUP(A11,$M$1:$X$8,6,FALSE)</f>
        <v>1</v>
      </c>
      <c r="E11" s="23">
        <f>VLOOKUP(A11,$M$1:$X$8,5,FALSE)</f>
        <v>13</v>
      </c>
      <c r="F11" s="22">
        <f t="shared" si="0"/>
        <v>4.61538461538461</v>
      </c>
      <c r="G11">
        <f>VLOOKUP(A11,$M$1:$X$8,8,FALSE)</f>
        <v>20</v>
      </c>
      <c r="H11" s="23">
        <f t="shared" si="4"/>
        <v>92.3076923076923</v>
      </c>
      <c r="I11" s="67" t="s">
        <v>37</v>
      </c>
      <c r="J11" s="23">
        <v>133.333333333333</v>
      </c>
    </row>
    <row r="12" spans="1:10">
      <c r="A12" s="19" t="s">
        <v>25</v>
      </c>
      <c r="B12" s="19" t="s">
        <v>35</v>
      </c>
      <c r="C12" s="20">
        <v>1</v>
      </c>
      <c r="D12" s="24">
        <f>VLOOKUP(A12,$M$1:$X$8,6,FALSE)</f>
        <v>1</v>
      </c>
      <c r="E12" s="23">
        <f>VLOOKUP(A12,$M$1:$X$8,5,FALSE)</f>
        <v>13</v>
      </c>
      <c r="F12" s="22">
        <f t="shared" si="0"/>
        <v>4.61538461538461</v>
      </c>
      <c r="G12">
        <f>VLOOKUP(A12,$M$1:$X$8,8,FALSE)</f>
        <v>20</v>
      </c>
      <c r="H12" s="23">
        <f t="shared" si="4"/>
        <v>92.3076923076923</v>
      </c>
      <c r="I12" s="67" t="s">
        <v>38</v>
      </c>
      <c r="J12" s="23">
        <v>133.333333333333</v>
      </c>
    </row>
    <row r="13" spans="1:10">
      <c r="A13" s="19" t="s">
        <v>25</v>
      </c>
      <c r="B13" s="19" t="s">
        <v>33</v>
      </c>
      <c r="C13" s="20">
        <v>1</v>
      </c>
      <c r="D13" s="24">
        <f>VLOOKUP(A13,$M$1:$X$8,6,FALSE)</f>
        <v>1</v>
      </c>
      <c r="E13" s="23">
        <f>VLOOKUP(A13,$M$1:$X$8,5,FALSE)</f>
        <v>13</v>
      </c>
      <c r="F13" s="22">
        <f t="shared" si="0"/>
        <v>4.61538461538461</v>
      </c>
      <c r="G13">
        <f>VLOOKUP(A13,$M$1:$X$8,8,FALSE)</f>
        <v>20</v>
      </c>
      <c r="H13" s="23">
        <f t="shared" si="4"/>
        <v>92.3076923076923</v>
      </c>
      <c r="I13" s="67" t="s">
        <v>26</v>
      </c>
      <c r="J13" s="23">
        <v>418.350383631713</v>
      </c>
    </row>
    <row r="14" spans="1:10">
      <c r="A14" s="19" t="s">
        <v>28</v>
      </c>
      <c r="B14" s="19" t="s">
        <v>22</v>
      </c>
      <c r="C14" s="20">
        <v>1</v>
      </c>
      <c r="D14" s="21">
        <f>VLOOKUP(A14,$M$1:$X$8,6,FALSE)</f>
        <v>1</v>
      </c>
      <c r="E14" s="23">
        <f>VLOOKUP(A14,$M$1:$X$8,5,FALSE)</f>
        <v>9</v>
      </c>
      <c r="F14" s="22">
        <f t="shared" ref="F14:F31" si="5">60/E14*C14</f>
        <v>6.66666666666667</v>
      </c>
      <c r="G14">
        <f>VLOOKUP(A14,$M$1:$X$8,8,FALSE)</f>
        <v>20</v>
      </c>
      <c r="H14" s="23">
        <f t="shared" ref="H14:H31" si="6">D14*F14*G14</f>
        <v>133.333333333333</v>
      </c>
      <c r="I14" s="67" t="s">
        <v>39</v>
      </c>
      <c r="J14" s="23"/>
    </row>
    <row r="15" spans="1:10">
      <c r="A15" s="19" t="s">
        <v>28</v>
      </c>
      <c r="B15" s="19" t="s">
        <v>36</v>
      </c>
      <c r="C15" s="20">
        <v>1</v>
      </c>
      <c r="D15" s="24">
        <f>VLOOKUP(A15,$M$1:$X$8,6,FALSE)</f>
        <v>1</v>
      </c>
      <c r="E15" s="23">
        <f>VLOOKUP(A15,$M$1:$X$8,5,FALSE)</f>
        <v>9</v>
      </c>
      <c r="F15" s="22">
        <f t="shared" si="5"/>
        <v>6.66666666666667</v>
      </c>
      <c r="G15">
        <f>VLOOKUP(A15,$M$1:$X$8,8,FALSE)</f>
        <v>20</v>
      </c>
      <c r="H15" s="23">
        <f t="shared" si="6"/>
        <v>133.333333333333</v>
      </c>
      <c r="I15" s="67" t="s">
        <v>40</v>
      </c>
      <c r="J15" s="23">
        <v>3947.79226247795</v>
      </c>
    </row>
    <row r="16" spans="1:8">
      <c r="A16" s="19" t="s">
        <v>28</v>
      </c>
      <c r="B16" s="19" t="s">
        <v>37</v>
      </c>
      <c r="C16" s="20">
        <v>1</v>
      </c>
      <c r="D16" s="24">
        <f>VLOOKUP(A16,$M$1:$X$8,6,FALSE)</f>
        <v>1</v>
      </c>
      <c r="E16" s="23">
        <f>VLOOKUP(A16,$M$1:$X$8,5,FALSE)</f>
        <v>9</v>
      </c>
      <c r="F16" s="22">
        <f t="shared" si="5"/>
        <v>6.66666666666667</v>
      </c>
      <c r="G16">
        <f>VLOOKUP(A16,$M$1:$X$8,8,FALSE)</f>
        <v>20</v>
      </c>
      <c r="H16" s="23">
        <f t="shared" si="6"/>
        <v>133.333333333333</v>
      </c>
    </row>
    <row r="17" spans="1:8">
      <c r="A17" s="19" t="s">
        <v>28</v>
      </c>
      <c r="B17" s="19" t="s">
        <v>38</v>
      </c>
      <c r="C17" s="20">
        <v>1</v>
      </c>
      <c r="D17" s="24">
        <f>VLOOKUP(A17,$M$1:$X$8,6,FALSE)</f>
        <v>1</v>
      </c>
      <c r="E17" s="23">
        <f>VLOOKUP(A17,$M$1:$X$8,5,FALSE)</f>
        <v>9</v>
      </c>
      <c r="F17" s="22">
        <f t="shared" si="5"/>
        <v>6.66666666666667</v>
      </c>
      <c r="G17">
        <f>VLOOKUP(A17,$M$1:$X$8,8,FALSE)</f>
        <v>20</v>
      </c>
      <c r="H17" s="23">
        <f t="shared" si="6"/>
        <v>133.333333333333</v>
      </c>
    </row>
    <row r="18" spans="1:8">
      <c r="A18" s="19" t="s">
        <v>34</v>
      </c>
      <c r="B18" s="19" t="s">
        <v>22</v>
      </c>
      <c r="C18" s="20">
        <v>1</v>
      </c>
      <c r="D18" s="21">
        <f>VLOOKUP(A18,$M$1:$X$8,6,FALSE)</f>
        <v>1</v>
      </c>
      <c r="E18">
        <f>VLOOKUP(A18,$M$1:$X$8,5,FALSE)</f>
        <v>23</v>
      </c>
      <c r="F18" s="22">
        <f t="shared" si="5"/>
        <v>2.60869565217391</v>
      </c>
      <c r="G18">
        <f>VLOOKUP(A18,$M$1:$X$8,8,FALSE)</f>
        <v>20</v>
      </c>
      <c r="H18" s="23">
        <f t="shared" si="6"/>
        <v>52.1739130434783</v>
      </c>
    </row>
    <row r="19" spans="1:8">
      <c r="A19" s="19" t="s">
        <v>34</v>
      </c>
      <c r="B19" s="19" t="s">
        <v>23</v>
      </c>
      <c r="C19" s="20">
        <v>1</v>
      </c>
      <c r="D19" s="24">
        <f>VLOOKUP(A19,$M$1:$X$8,6,FALSE)</f>
        <v>1</v>
      </c>
      <c r="E19">
        <f>VLOOKUP(A19,$M$1:$X$8,5,FALSE)</f>
        <v>23</v>
      </c>
      <c r="F19" s="22">
        <f t="shared" si="5"/>
        <v>2.60869565217391</v>
      </c>
      <c r="G19">
        <f>VLOOKUP(A19,$M$1:$X$8,8,FALSE)</f>
        <v>20</v>
      </c>
      <c r="H19" s="23">
        <f t="shared" si="6"/>
        <v>52.1739130434783</v>
      </c>
    </row>
    <row r="20" spans="1:8">
      <c r="A20" s="19" t="s">
        <v>34</v>
      </c>
      <c r="B20" s="19" t="s">
        <v>26</v>
      </c>
      <c r="C20" s="20">
        <v>1</v>
      </c>
      <c r="D20" s="24">
        <f>VLOOKUP(A20,$M$1:$X$8,6,FALSE)</f>
        <v>1</v>
      </c>
      <c r="E20">
        <f>VLOOKUP(A20,$M$1:$X$8,5,FALSE)</f>
        <v>23</v>
      </c>
      <c r="F20" s="22">
        <f t="shared" si="5"/>
        <v>2.60869565217391</v>
      </c>
      <c r="G20">
        <f>VLOOKUP(A20,$M$1:$X$8,8,FALSE)</f>
        <v>20</v>
      </c>
      <c r="H20" s="23">
        <f t="shared" si="6"/>
        <v>52.1739130434783</v>
      </c>
    </row>
    <row r="21" spans="1:8">
      <c r="A21" s="19" t="s">
        <v>34</v>
      </c>
      <c r="B21" s="19" t="s">
        <v>27</v>
      </c>
      <c r="C21" s="20">
        <v>1</v>
      </c>
      <c r="D21" s="24">
        <f>VLOOKUP(A21,$M$1:$X$8,6,FALSE)</f>
        <v>1</v>
      </c>
      <c r="E21">
        <f>VLOOKUP(A21,$M$1:$X$8,5,FALSE)</f>
        <v>23</v>
      </c>
      <c r="F21" s="22">
        <f t="shared" si="5"/>
        <v>2.60869565217391</v>
      </c>
      <c r="G21">
        <f>VLOOKUP(A21,$M$1:$X$8,8,FALSE)</f>
        <v>20</v>
      </c>
      <c r="H21" s="23">
        <f t="shared" si="6"/>
        <v>52.1739130434783</v>
      </c>
    </row>
    <row r="22" spans="1:8">
      <c r="A22" s="19" t="s">
        <v>30</v>
      </c>
      <c r="B22" s="19" t="s">
        <v>22</v>
      </c>
      <c r="C22" s="20">
        <v>1</v>
      </c>
      <c r="D22" s="24">
        <f>VLOOKUP(A22,$M$1:$X$8,6,FALSE)</f>
        <v>2</v>
      </c>
      <c r="E22">
        <f>VLOOKUP(A22,$M$1:$X$8,5,FALSE)</f>
        <v>17</v>
      </c>
      <c r="F22" s="22">
        <f t="shared" si="5"/>
        <v>3.52941176470588</v>
      </c>
      <c r="G22">
        <f>VLOOKUP(A22,$M$1:$X$8,8,FALSE)</f>
        <v>20</v>
      </c>
      <c r="H22" s="23">
        <f t="shared" si="6"/>
        <v>141.176470588235</v>
      </c>
    </row>
    <row r="23" spans="1:8">
      <c r="A23" s="19" t="s">
        <v>30</v>
      </c>
      <c r="B23" s="19" t="s">
        <v>23</v>
      </c>
      <c r="C23" s="20">
        <v>1</v>
      </c>
      <c r="D23" s="24">
        <f>VLOOKUP(A23,$M$1:$X$8,6,FALSE)</f>
        <v>2</v>
      </c>
      <c r="E23">
        <f>VLOOKUP(A23,$M$1:$X$8,5,FALSE)</f>
        <v>17</v>
      </c>
      <c r="F23" s="22">
        <f>60/E23*C23</f>
        <v>3.52941176470588</v>
      </c>
      <c r="G23">
        <f>VLOOKUP(A23,$M$1:$X$8,8,FALSE)</f>
        <v>20</v>
      </c>
      <c r="H23" s="23">
        <f t="shared" si="6"/>
        <v>141.176470588235</v>
      </c>
    </row>
    <row r="24" spans="1:8">
      <c r="A24" s="19" t="s">
        <v>30</v>
      </c>
      <c r="B24" s="19" t="s">
        <v>26</v>
      </c>
      <c r="C24" s="20">
        <v>1</v>
      </c>
      <c r="D24" s="24">
        <f>VLOOKUP(A24,$M$1:$X$8,6,FALSE)</f>
        <v>2</v>
      </c>
      <c r="E24">
        <f>VLOOKUP(A24,$M$1:$X$8,5,FALSE)</f>
        <v>17</v>
      </c>
      <c r="F24" s="22">
        <f t="shared" si="5"/>
        <v>3.52941176470588</v>
      </c>
      <c r="G24">
        <f>VLOOKUP(A24,$M$1:$X$8,8,FALSE)</f>
        <v>20</v>
      </c>
      <c r="H24" s="23">
        <f t="shared" si="6"/>
        <v>141.176470588235</v>
      </c>
    </row>
    <row r="25" spans="1:8">
      <c r="A25" s="19" t="s">
        <v>30</v>
      </c>
      <c r="B25" s="19" t="s">
        <v>29</v>
      </c>
      <c r="C25" s="20">
        <v>1</v>
      </c>
      <c r="D25" s="24">
        <f t="shared" ref="D25:D31" si="7">VLOOKUP(A25,$M$1:$X$8,6,FALSE)</f>
        <v>2</v>
      </c>
      <c r="E25">
        <f t="shared" ref="E25:E31" si="8">VLOOKUP(A25,$M$1:$X$8,5,FALSE)</f>
        <v>17</v>
      </c>
      <c r="F25" s="22">
        <f t="shared" si="5"/>
        <v>3.52941176470588</v>
      </c>
      <c r="G25">
        <f>VLOOKUP(A25,$M$1:$X$8,8,FALSE)</f>
        <v>20</v>
      </c>
      <c r="H25" s="23">
        <f t="shared" si="6"/>
        <v>141.176470588235</v>
      </c>
    </row>
    <row r="26" spans="1:8">
      <c r="A26" s="19" t="s">
        <v>30</v>
      </c>
      <c r="B26" s="19" t="s">
        <v>24</v>
      </c>
      <c r="C26" s="20">
        <v>1</v>
      </c>
      <c r="D26" s="24">
        <f t="shared" si="7"/>
        <v>2</v>
      </c>
      <c r="E26">
        <f t="shared" si="8"/>
        <v>17</v>
      </c>
      <c r="F26" s="22">
        <f t="shared" si="5"/>
        <v>3.52941176470588</v>
      </c>
      <c r="G26">
        <f>VLOOKUP(A26,$M$1:$X$8,8,FALSE)</f>
        <v>20</v>
      </c>
      <c r="H26" s="23">
        <f t="shared" si="6"/>
        <v>141.176470588235</v>
      </c>
    </row>
    <row r="27" spans="1:8">
      <c r="A27" s="19" t="s">
        <v>30</v>
      </c>
      <c r="B27" s="19" t="s">
        <v>27</v>
      </c>
      <c r="C27" s="20">
        <v>1</v>
      </c>
      <c r="D27" s="24">
        <f t="shared" si="7"/>
        <v>2</v>
      </c>
      <c r="E27">
        <f t="shared" si="8"/>
        <v>17</v>
      </c>
      <c r="F27" s="22">
        <f t="shared" si="5"/>
        <v>3.52941176470588</v>
      </c>
      <c r="G27">
        <f>VLOOKUP(A27,$M$1:$X$8,8,FALSE)</f>
        <v>20</v>
      </c>
      <c r="H27" s="23">
        <f t="shared" si="6"/>
        <v>141.176470588235</v>
      </c>
    </row>
    <row r="28" spans="1:8">
      <c r="A28" s="19" t="s">
        <v>32</v>
      </c>
      <c r="B28" s="19" t="s">
        <v>22</v>
      </c>
      <c r="C28" s="20">
        <v>1</v>
      </c>
      <c r="D28" s="21">
        <f t="shared" si="7"/>
        <v>2</v>
      </c>
      <c r="E28">
        <f t="shared" si="8"/>
        <v>38</v>
      </c>
      <c r="F28" s="22">
        <f t="shared" si="5"/>
        <v>1.57894736842105</v>
      </c>
      <c r="G28">
        <f>VLOOKUP(A28,$M$1:$X$8,8,FALSE)</f>
        <v>20</v>
      </c>
      <c r="H28" s="23">
        <f t="shared" si="6"/>
        <v>63.1578947368421</v>
      </c>
    </row>
    <row r="29" spans="1:8">
      <c r="A29" s="19" t="s">
        <v>32</v>
      </c>
      <c r="B29" s="19" t="s">
        <v>23</v>
      </c>
      <c r="C29" s="20">
        <v>1</v>
      </c>
      <c r="D29" s="26">
        <f t="shared" si="7"/>
        <v>2</v>
      </c>
      <c r="E29">
        <f t="shared" si="8"/>
        <v>38</v>
      </c>
      <c r="F29" s="22">
        <f t="shared" si="5"/>
        <v>1.57894736842105</v>
      </c>
      <c r="G29">
        <f>VLOOKUP(A29,$M$1:$X$8,8,FALSE)</f>
        <v>20</v>
      </c>
      <c r="H29" s="23">
        <f t="shared" si="6"/>
        <v>63.1578947368421</v>
      </c>
    </row>
    <row r="30" ht="15.15" spans="1:8">
      <c r="A30" s="19" t="s">
        <v>32</v>
      </c>
      <c r="B30" s="19" t="s">
        <v>35</v>
      </c>
      <c r="C30" s="20">
        <v>1</v>
      </c>
      <c r="D30" s="25">
        <f t="shared" si="7"/>
        <v>2</v>
      </c>
      <c r="E30">
        <f t="shared" si="8"/>
        <v>38</v>
      </c>
      <c r="F30" s="22">
        <f t="shared" si="5"/>
        <v>1.57894736842105</v>
      </c>
      <c r="G30">
        <f>VLOOKUP(A30,$M$1:$X$8,8,FALSE)</f>
        <v>20</v>
      </c>
      <c r="H30" s="23">
        <f t="shared" si="6"/>
        <v>63.1578947368421</v>
      </c>
    </row>
    <row r="31" spans="1:9">
      <c r="A31" s="27"/>
      <c r="B31" s="27"/>
      <c r="C31" s="28"/>
      <c r="D31" s="29"/>
      <c r="E31" s="30"/>
      <c r="F31" s="31"/>
      <c r="G31" s="30"/>
      <c r="H31" s="32"/>
      <c r="I31" s="29"/>
    </row>
    <row r="32" ht="18" spans="9:9">
      <c r="I32" s="72"/>
    </row>
    <row r="33" ht="15.15" spans="9:9">
      <c r="I33" s="73"/>
    </row>
    <row r="34" spans="1:9">
      <c r="A34" s="33" t="s">
        <v>41</v>
      </c>
      <c r="B34" s="34"/>
      <c r="G34" t="s">
        <v>42</v>
      </c>
      <c r="I34" s="73"/>
    </row>
    <row r="35" ht="108" spans="1:24">
      <c r="A35" s="35" t="s">
        <v>43</v>
      </c>
      <c r="B35" s="36" t="s">
        <v>44</v>
      </c>
      <c r="C35" s="37" t="s">
        <v>45</v>
      </c>
      <c r="D35" s="38" t="s">
        <v>46</v>
      </c>
      <c r="E35" s="39"/>
      <c r="F35" s="40" t="s">
        <v>47</v>
      </c>
      <c r="G35" s="41" t="s">
        <v>48</v>
      </c>
      <c r="H35" s="41" t="s">
        <v>49</v>
      </c>
      <c r="I35" s="74" t="s">
        <v>50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ht="18" spans="1:24">
      <c r="A36" s="35" t="s">
        <v>22</v>
      </c>
      <c r="B36" s="42">
        <f>520*4</f>
        <v>2080</v>
      </c>
      <c r="C36" s="43">
        <f ca="1">GETPIVOTDATA("Итого",$I$1,"transaction rq",A36)*3</f>
        <v>2121.44791202874</v>
      </c>
      <c r="D36" s="44">
        <f ca="1">1-B36/C36</f>
        <v>0.0195375581902014</v>
      </c>
      <c r="E36" s="45"/>
      <c r="F36" s="46" t="str">
        <f>VLOOKUP(A36,Соответствие!A:B,2,FALSE)</f>
        <v>open_webtours_site</v>
      </c>
      <c r="G36" s="47">
        <f ca="1">C36/3</f>
        <v>707.149304009581</v>
      </c>
      <c r="H36" s="93" t="str">
        <f>VLOOKUP(F36,SummaryReport!A:J,8,FALSE)</f>
        <v>709,</v>
      </c>
      <c r="I36" s="75">
        <f ca="1" t="shared" ref="I36:I47" si="9">1-G36/H36</f>
        <v>0.00261029053655715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ht="18" spans="1:24">
      <c r="A37" s="48" t="s">
        <v>23</v>
      </c>
      <c r="B37" s="42">
        <f>422*4</f>
        <v>1688</v>
      </c>
      <c r="C37" s="43">
        <f ca="1">GETPIVOTDATA("Итого",$I$1,"transaction rq",A37)*3</f>
        <v>1721.44791202874</v>
      </c>
      <c r="D37" s="44">
        <f ca="1">1-B37/C37</f>
        <v>0.0194301040391778</v>
      </c>
      <c r="E37" s="45"/>
      <c r="F37" s="46" t="str">
        <f>VLOOKUP(A37,Соответствие!A:B,2,FALSE)</f>
        <v>login</v>
      </c>
      <c r="G37" s="47">
        <f ca="1">C37/3</f>
        <v>573.815970676248</v>
      </c>
      <c r="H37" s="93" t="str">
        <f>VLOOKUP(F37,SummaryReport!A:J,8,FALSE)</f>
        <v>575,</v>
      </c>
      <c r="I37" s="75">
        <f ca="1" t="shared" si="9"/>
        <v>0.0020591814326123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ht="36" spans="1:24">
      <c r="A38" s="49" t="s">
        <v>26</v>
      </c>
      <c r="B38" s="42">
        <f>305*4</f>
        <v>1220</v>
      </c>
      <c r="C38" s="43">
        <f ca="1">GETPIVOTDATA("Итого",$I$1,"transaction rq",A38)*3</f>
        <v>1255.05115089514</v>
      </c>
      <c r="D38" s="44">
        <f ca="1">1-B38/C38</f>
        <v>0.0279280656171977</v>
      </c>
      <c r="E38" s="45"/>
      <c r="F38" s="46" t="str">
        <f>VLOOKUP(A38,Соответствие!A:B,2,FALSE)</f>
        <v>go_to_flights</v>
      </c>
      <c r="G38" s="47">
        <f ca="1">C38/3</f>
        <v>418.350383631713</v>
      </c>
      <c r="H38" s="93" t="str">
        <f>VLOOKUP(F38,SummaryReport!A:J,8,FALSE)</f>
        <v>419,</v>
      </c>
      <c r="I38" s="75">
        <f ca="1" t="shared" si="9"/>
        <v>0.00155039706035087</v>
      </c>
      <c r="M38" s="30"/>
      <c r="N38" s="30"/>
      <c r="O38" s="30"/>
      <c r="P38" s="30"/>
      <c r="Q38" s="30"/>
      <c r="R38" s="30"/>
      <c r="S38" s="30"/>
      <c r="T38" s="77"/>
      <c r="U38" s="77"/>
      <c r="V38" s="90"/>
      <c r="W38" s="30"/>
      <c r="X38" s="30"/>
    </row>
    <row r="39" ht="36" spans="1:19">
      <c r="A39" s="48" t="s">
        <v>29</v>
      </c>
      <c r="B39" s="42">
        <f>282*4</f>
        <v>1128</v>
      </c>
      <c r="C39" s="43">
        <f ca="1" t="shared" ref="C37:C47" si="10">GETPIVOTDATA("Итого",$I$1,"transaction rq",A39)*3</f>
        <v>1098.5294117647</v>
      </c>
      <c r="D39" s="50">
        <f ca="1" t="shared" ref="D39:D48" si="11">1-B39/C39</f>
        <v>-0.0268273092369486</v>
      </c>
      <c r="E39" s="45"/>
      <c r="F39" s="46" t="str">
        <f>VLOOKUP(A39,Соответствие!A:B,2,FALSE)</f>
        <v>choise_cities_passengers_seats</v>
      </c>
      <c r="G39" s="47">
        <f ca="1" t="shared" ref="G37:G47" si="12">C39/3</f>
        <v>366.176470588235</v>
      </c>
      <c r="H39" s="93" t="str">
        <f>VLOOKUP(F39,SummaryReport!A:J,8,FALSE)</f>
        <v>367,</v>
      </c>
      <c r="I39" s="75">
        <f ca="1" t="shared" si="9"/>
        <v>0.00224394935085837</v>
      </c>
      <c r="M39" s="30"/>
      <c r="N39" s="76"/>
      <c r="O39" s="77"/>
      <c r="P39" s="78"/>
      <c r="Q39" s="91"/>
      <c r="R39" s="30"/>
      <c r="S39" s="30"/>
    </row>
    <row r="40" ht="18" spans="1:24">
      <c r="A40" s="48" t="s">
        <v>24</v>
      </c>
      <c r="B40" s="42">
        <f>270*4</f>
        <v>1080</v>
      </c>
      <c r="C40" s="43">
        <f ca="1" t="shared" si="10"/>
        <v>1098.5294117647</v>
      </c>
      <c r="D40" s="50">
        <f ca="1" t="shared" si="11"/>
        <v>0.0168674698795173</v>
      </c>
      <c r="E40" s="45"/>
      <c r="F40" s="46" t="str">
        <f>VLOOKUP(A40,Соответствие!A:B,2,FALSE)</f>
        <v>choice_time_and_cost</v>
      </c>
      <c r="G40" s="47">
        <f ca="1" t="shared" si="12"/>
        <v>366.176470588235</v>
      </c>
      <c r="H40" s="93" t="str">
        <f>VLOOKUP(F40,SummaryReport!A:J,8,FALSE)</f>
        <v>367,</v>
      </c>
      <c r="I40" s="75">
        <f ca="1" t="shared" si="9"/>
        <v>0.00224394935085837</v>
      </c>
      <c r="M40" s="30"/>
      <c r="N40" s="29"/>
      <c r="O40" s="79"/>
      <c r="P40" s="79"/>
      <c r="Q40" s="79"/>
      <c r="R40" s="29"/>
      <c r="S40" s="76"/>
      <c r="T40" s="77"/>
      <c r="U40" s="78"/>
      <c r="V40" s="91"/>
      <c r="W40" s="30"/>
      <c r="X40" s="30"/>
    </row>
    <row r="41" ht="18" spans="1:24">
      <c r="A41" s="48" t="s">
        <v>31</v>
      </c>
      <c r="B41" s="42">
        <f>175*4</f>
        <v>700</v>
      </c>
      <c r="C41" s="43">
        <f ca="1" t="shared" si="10"/>
        <v>675</v>
      </c>
      <c r="D41" s="50">
        <f ca="1" t="shared" si="11"/>
        <v>-0.037037037037037</v>
      </c>
      <c r="E41" s="45"/>
      <c r="F41" s="46" t="str">
        <f>VLOOKUP(A41,Соответствие!A:B,2,FALSE)</f>
        <v>input_user_info</v>
      </c>
      <c r="G41" s="47">
        <f ca="1" t="shared" si="12"/>
        <v>225</v>
      </c>
      <c r="H41" s="93" t="str">
        <f>VLOOKUP(F41,SummaryReport!A:J,8,FALSE)</f>
        <v>225,</v>
      </c>
      <c r="I41" s="75">
        <f ca="1" t="shared" si="9"/>
        <v>0</v>
      </c>
      <c r="M41" s="30"/>
      <c r="N41" s="29"/>
      <c r="O41" s="79"/>
      <c r="P41" s="79"/>
      <c r="Q41" s="79"/>
      <c r="R41" s="29"/>
      <c r="S41" s="76"/>
      <c r="T41" s="77"/>
      <c r="U41" s="78"/>
      <c r="V41" s="91"/>
      <c r="W41" s="30"/>
      <c r="X41" s="30"/>
    </row>
    <row r="42" ht="18" spans="1:24">
      <c r="A42" s="48" t="s">
        <v>35</v>
      </c>
      <c r="B42" s="42">
        <f>280*4</f>
        <v>1120</v>
      </c>
      <c r="C42" s="43">
        <f ca="1" t="shared" si="10"/>
        <v>1141.3967611336</v>
      </c>
      <c r="D42" s="50">
        <f ca="1" t="shared" si="11"/>
        <v>0.018746120422097</v>
      </c>
      <c r="E42" s="51"/>
      <c r="F42" s="46" t="str">
        <f>VLOOKUP(A42,Соответствие!A:B,2,FALSE)</f>
        <v>go_to_itenary</v>
      </c>
      <c r="G42" s="47">
        <f ca="1" t="shared" si="12"/>
        <v>380.465587044534</v>
      </c>
      <c r="H42" s="93" t="str">
        <f>VLOOKUP(F42,SummaryReport!A:J,8,FALSE)</f>
        <v>381,</v>
      </c>
      <c r="I42" s="75">
        <f ca="1" t="shared" si="9"/>
        <v>0.00140265867576372</v>
      </c>
      <c r="M42" s="30"/>
      <c r="N42" s="29"/>
      <c r="O42" s="79"/>
      <c r="P42" s="79"/>
      <c r="Q42" s="79"/>
      <c r="R42" s="29"/>
      <c r="S42" s="76"/>
      <c r="T42" s="77"/>
      <c r="U42" s="78"/>
      <c r="V42" s="91"/>
      <c r="W42" s="30"/>
      <c r="X42" s="30"/>
    </row>
    <row r="43" ht="18" spans="1:24">
      <c r="A43" s="48" t="s">
        <v>33</v>
      </c>
      <c r="B43" s="42">
        <f>73*4</f>
        <v>292</v>
      </c>
      <c r="C43" s="43">
        <f ca="1" t="shared" si="10"/>
        <v>276.923076923077</v>
      </c>
      <c r="D43" s="50">
        <f ca="1" t="shared" si="11"/>
        <v>-0.0544444444444445</v>
      </c>
      <c r="E43" s="45"/>
      <c r="F43" s="46" t="str">
        <f>VLOOKUP(A43,Соответствие!A:B,2,FALSE)</f>
        <v>delete_ticket</v>
      </c>
      <c r="G43" s="47">
        <f ca="1" t="shared" si="12"/>
        <v>92.3076923076923</v>
      </c>
      <c r="H43" s="93" t="str">
        <f>VLOOKUP(F43,SummaryReport!A:J,8,FALSE)</f>
        <v>93,</v>
      </c>
      <c r="I43" s="75">
        <f ca="1" t="shared" si="9"/>
        <v>0.00744416873449127</v>
      </c>
      <c r="M43" s="30"/>
      <c r="N43" s="29"/>
      <c r="O43" s="79"/>
      <c r="P43" s="79"/>
      <c r="Q43" s="79"/>
      <c r="R43" s="29"/>
      <c r="S43" s="76"/>
      <c r="T43" s="77"/>
      <c r="U43" s="78"/>
      <c r="V43" s="91"/>
      <c r="W43" s="30"/>
      <c r="X43" s="30"/>
    </row>
    <row r="44" ht="18" spans="1:24">
      <c r="A44" s="48" t="s">
        <v>27</v>
      </c>
      <c r="B44" s="42">
        <f>326*4</f>
        <v>1304</v>
      </c>
      <c r="C44" s="43">
        <f ca="1" t="shared" si="10"/>
        <v>1255.05115089514</v>
      </c>
      <c r="D44" s="50">
        <f ca="1" t="shared" si="11"/>
        <v>-0.0390014774058804</v>
      </c>
      <c r="E44" s="45"/>
      <c r="F44" s="46" t="str">
        <f>VLOOKUP(A44,Соответствие!A:B,2,FALSE)</f>
        <v>logout</v>
      </c>
      <c r="G44" s="47">
        <f ca="1" t="shared" si="12"/>
        <v>418.350383631713</v>
      </c>
      <c r="H44" s="93" t="str">
        <f>VLOOKUP(F44,SummaryReport!A:J,8,FALSE)</f>
        <v>419,</v>
      </c>
      <c r="I44" s="75">
        <f ca="1" t="shared" si="9"/>
        <v>0.00155039706035087</v>
      </c>
      <c r="M44" s="30"/>
      <c r="N44" s="29"/>
      <c r="O44" s="79"/>
      <c r="P44" s="79"/>
      <c r="Q44" s="79"/>
      <c r="R44" s="29"/>
      <c r="S44" s="76"/>
      <c r="T44" s="77"/>
      <c r="U44" s="78"/>
      <c r="V44" s="91"/>
      <c r="W44" s="30"/>
      <c r="X44" s="30"/>
    </row>
    <row r="45" ht="36" spans="1:24">
      <c r="A45" s="48" t="s">
        <v>36</v>
      </c>
      <c r="B45" s="42">
        <f>97*4</f>
        <v>388</v>
      </c>
      <c r="C45" s="43">
        <f ca="1" t="shared" si="10"/>
        <v>399.999999999999</v>
      </c>
      <c r="D45" s="50">
        <f ca="1" t="shared" si="11"/>
        <v>0.0299999999999975</v>
      </c>
      <c r="E45" s="45"/>
      <c r="F45" s="46" t="str">
        <f>VLOOKUP(A45,Соответствие!A:B,2,FALSE)</f>
        <v>go_to_sign_up_now</v>
      </c>
      <c r="G45" s="47">
        <f ca="1" t="shared" si="12"/>
        <v>133.333333333333</v>
      </c>
      <c r="H45" s="93" t="str">
        <f>VLOOKUP(F45,SummaryReport!A:J,8,FALSE)</f>
        <v>134,</v>
      </c>
      <c r="I45" s="75">
        <f ca="1" t="shared" si="9"/>
        <v>0.00497512437811187</v>
      </c>
      <c r="M45" s="30"/>
      <c r="N45" s="30"/>
      <c r="O45" s="30"/>
      <c r="P45" s="30"/>
      <c r="Q45" s="30"/>
      <c r="R45" s="30"/>
      <c r="S45" s="30"/>
      <c r="T45" s="30"/>
      <c r="U45" s="30"/>
      <c r="V45" s="92"/>
      <c r="W45" s="30"/>
      <c r="X45" s="30"/>
    </row>
    <row r="46" ht="36" spans="1:24">
      <c r="A46" s="48" t="s">
        <v>37</v>
      </c>
      <c r="B46" s="42">
        <f>97*4</f>
        <v>388</v>
      </c>
      <c r="C46" s="43">
        <f ca="1" t="shared" si="10"/>
        <v>399.999999999999</v>
      </c>
      <c r="D46" s="50">
        <f ca="1" t="shared" si="11"/>
        <v>0.0299999999999975</v>
      </c>
      <c r="E46" s="45"/>
      <c r="F46" s="46" t="str">
        <f>VLOOKUP(A46,Соответствие!A:B,2,FALSE)</f>
        <v>entering_registration_data</v>
      </c>
      <c r="G46" s="47">
        <f ca="1" t="shared" si="12"/>
        <v>133.333333333333</v>
      </c>
      <c r="H46" s="93" t="str">
        <f>VLOOKUP(F46,SummaryReport!A:J,8,FALSE)</f>
        <v>134,</v>
      </c>
      <c r="I46" s="75">
        <f ca="1" t="shared" si="9"/>
        <v>0.00497512437811187</v>
      </c>
      <c r="M46" s="30"/>
      <c r="N46" s="30"/>
      <c r="O46" s="30"/>
      <c r="P46" s="30"/>
      <c r="Q46" s="32"/>
      <c r="R46" s="30"/>
      <c r="S46" s="30"/>
      <c r="T46" s="30"/>
      <c r="U46" s="30"/>
      <c r="V46" s="30"/>
      <c r="W46" s="30"/>
      <c r="X46" s="30"/>
    </row>
    <row r="47" ht="36" spans="1:24">
      <c r="A47" s="48" t="s">
        <v>38</v>
      </c>
      <c r="B47" s="42">
        <f>97*4</f>
        <v>388</v>
      </c>
      <c r="C47" s="43">
        <f ca="1" t="shared" si="10"/>
        <v>399.999999999999</v>
      </c>
      <c r="D47" s="50">
        <f ca="1" t="shared" si="11"/>
        <v>0.0299999999999975</v>
      </c>
      <c r="E47" s="45"/>
      <c r="F47" s="46" t="str">
        <f>VLOOKUP(A47,Соответствие!A:B,2,FALSE)</f>
        <v>click_continue_after_reg</v>
      </c>
      <c r="G47" s="47">
        <f ca="1" t="shared" si="12"/>
        <v>133.333333333333</v>
      </c>
      <c r="H47" s="93" t="str">
        <f>VLOOKUP(F47,SummaryReport!A:J,8,FALSE)</f>
        <v>133,</v>
      </c>
      <c r="I47" s="75">
        <f ca="1" t="shared" si="9"/>
        <v>-0.0025062656641579</v>
      </c>
      <c r="M47" s="30"/>
      <c r="N47" s="30"/>
      <c r="O47" s="30"/>
      <c r="P47" s="30"/>
      <c r="Q47" s="32"/>
      <c r="R47" s="30"/>
      <c r="S47" s="30"/>
      <c r="T47" s="30"/>
      <c r="U47" s="30"/>
      <c r="V47" s="30"/>
      <c r="W47" s="30"/>
      <c r="X47" s="30"/>
    </row>
    <row r="48" ht="18.75" spans="1:24">
      <c r="A48" s="52" t="s">
        <v>7</v>
      </c>
      <c r="B48" s="53">
        <f>SUM(B36:B47)</f>
        <v>11776</v>
      </c>
      <c r="C48" s="54">
        <f ca="1">SUM(C36:C47)</f>
        <v>11843.3767874338</v>
      </c>
      <c r="D48" s="55">
        <f ca="1" t="shared" si="11"/>
        <v>0.00568898453904909</v>
      </c>
      <c r="I48" s="80"/>
      <c r="M48" s="30"/>
      <c r="N48" s="30"/>
      <c r="O48" s="30"/>
      <c r="P48" s="30"/>
      <c r="Q48" s="32"/>
      <c r="R48" s="30"/>
      <c r="S48" s="30"/>
      <c r="T48" s="30"/>
      <c r="U48" s="30"/>
      <c r="V48" s="30"/>
      <c r="W48" s="30"/>
      <c r="X48" s="30"/>
    </row>
    <row r="49" ht="18" spans="1:24">
      <c r="A49" s="56"/>
      <c r="B49" s="57"/>
      <c r="C49" s="58"/>
      <c r="D49" s="59"/>
      <c r="I49" s="81"/>
      <c r="M49" s="30"/>
      <c r="N49" s="30"/>
      <c r="O49" s="30"/>
      <c r="P49" s="30"/>
      <c r="Q49" s="32"/>
      <c r="R49" s="30"/>
      <c r="S49" s="30"/>
      <c r="T49" s="30"/>
      <c r="U49" s="30"/>
      <c r="V49" s="30"/>
      <c r="W49" s="30"/>
      <c r="X49" s="30"/>
    </row>
    <row r="50" spans="14:25">
      <c r="N50" s="30"/>
      <c r="O50" s="30"/>
      <c r="P50" s="30"/>
      <c r="Q50" s="30"/>
      <c r="R50" s="32"/>
      <c r="S50" s="30"/>
      <c r="T50" s="30"/>
      <c r="U50" s="30"/>
      <c r="V50" s="30"/>
      <c r="W50" s="30"/>
      <c r="X50" s="30"/>
      <c r="Y50" s="30"/>
    </row>
    <row r="51" spans="3:24">
      <c r="C51" s="60" t="s">
        <v>51</v>
      </c>
      <c r="D51" s="60"/>
      <c r="E51" s="60"/>
      <c r="F51" s="60"/>
      <c r="G51" s="60"/>
      <c r="H51" s="60"/>
      <c r="M51" s="30"/>
      <c r="N51" s="30"/>
      <c r="O51" s="30"/>
      <c r="P51" s="30"/>
      <c r="Q51" s="32"/>
      <c r="R51" s="30"/>
      <c r="S51" s="30"/>
      <c r="T51" s="30"/>
      <c r="U51" s="30"/>
      <c r="V51" s="30"/>
      <c r="W51" s="30"/>
      <c r="X51" s="30"/>
    </row>
    <row r="52" spans="2:24">
      <c r="B52" t="s">
        <v>52</v>
      </c>
      <c r="C52" t="s">
        <v>53</v>
      </c>
      <c r="D52" t="s">
        <v>54</v>
      </c>
      <c r="E52" t="s">
        <v>55</v>
      </c>
      <c r="F52" t="s">
        <v>56</v>
      </c>
      <c r="G52" t="s">
        <v>57</v>
      </c>
      <c r="H52" t="s">
        <v>58</v>
      </c>
      <c r="I52" s="59">
        <f>1-B53/H53</f>
        <v>0.0183333333333346</v>
      </c>
      <c r="M52" s="30"/>
      <c r="N52" s="30"/>
      <c r="O52" s="30"/>
      <c r="P52" s="30"/>
      <c r="Q52" s="32"/>
      <c r="R52" s="30"/>
      <c r="S52" s="30"/>
      <c r="T52" s="30"/>
      <c r="U52" s="30"/>
      <c r="V52" s="30"/>
      <c r="W52" s="30"/>
      <c r="X52" s="30"/>
    </row>
    <row r="53" spans="1:24">
      <c r="A53" s="61" t="s">
        <v>21</v>
      </c>
      <c r="B53" s="62">
        <f>124/3</f>
        <v>41.3333333333333</v>
      </c>
      <c r="C53" s="63">
        <v>57</v>
      </c>
      <c r="D53" s="64">
        <f>60/C53</f>
        <v>1.05263157894737</v>
      </c>
      <c r="E53" s="65">
        <v>20</v>
      </c>
      <c r="F53" s="66">
        <f>B53/(D53*E53)</f>
        <v>1.96333333333333</v>
      </c>
      <c r="G53" s="23">
        <f>ROUND(F53,0)</f>
        <v>2</v>
      </c>
      <c r="H53" s="23">
        <f>G53*D53*E53</f>
        <v>42.1052631578948</v>
      </c>
      <c r="I53" s="59">
        <f>1-B54/H54</f>
        <v>-0.0416666666666667</v>
      </c>
      <c r="M53" s="30"/>
      <c r="N53" s="30"/>
      <c r="O53" s="30"/>
      <c r="P53" s="30"/>
      <c r="Q53" s="32"/>
      <c r="R53" s="30"/>
      <c r="S53" s="30"/>
      <c r="T53" s="30"/>
      <c r="U53" s="30"/>
      <c r="V53" s="30"/>
      <c r="W53" s="30"/>
      <c r="X53" s="30"/>
    </row>
    <row r="54" spans="1:17">
      <c r="A54" s="61" t="s">
        <v>59</v>
      </c>
      <c r="B54" s="62">
        <f>150/3</f>
        <v>50</v>
      </c>
      <c r="C54" s="63">
        <v>25</v>
      </c>
      <c r="D54" s="64">
        <f>60/C54</f>
        <v>2.4</v>
      </c>
      <c r="E54" s="65">
        <v>20</v>
      </c>
      <c r="F54" s="66">
        <f>B54/(D54*E54)</f>
        <v>1.04166666666667</v>
      </c>
      <c r="G54" s="23">
        <f>ROUND(F54,0)</f>
        <v>1</v>
      </c>
      <c r="H54" s="23">
        <f>G54*D54*E54</f>
        <v>48</v>
      </c>
      <c r="I54" s="59">
        <f>1-B55/H55</f>
        <v>0.0416666666666666</v>
      </c>
      <c r="Q54" s="23"/>
    </row>
    <row r="55" spans="1:9">
      <c r="A55" s="61" t="s">
        <v>60</v>
      </c>
      <c r="B55" s="62">
        <f>30/3</f>
        <v>10</v>
      </c>
      <c r="C55" s="63">
        <v>115</v>
      </c>
      <c r="D55" s="64">
        <f>60/C55</f>
        <v>0.521739130434783</v>
      </c>
      <c r="E55" s="65">
        <v>20</v>
      </c>
      <c r="F55" s="66">
        <f>B55/(D55*E55)</f>
        <v>0.958333333333333</v>
      </c>
      <c r="G55" s="23">
        <v>1</v>
      </c>
      <c r="H55" s="23">
        <f>G55*D55*E55</f>
        <v>10.4347826086957</v>
      </c>
      <c r="I55" s="59">
        <f>1-B56/H56</f>
        <v>0</v>
      </c>
    </row>
    <row r="56" spans="1:9">
      <c r="A56" s="61" t="s">
        <v>61</v>
      </c>
      <c r="B56" s="62">
        <f>20/3</f>
        <v>6.66666666666667</v>
      </c>
      <c r="C56" s="63">
        <v>180</v>
      </c>
      <c r="D56" s="64">
        <f>60/C56</f>
        <v>0.333333333333333</v>
      </c>
      <c r="E56" s="65">
        <v>20</v>
      </c>
      <c r="F56" s="66">
        <f>B56/(D56*E56)</f>
        <v>1</v>
      </c>
      <c r="G56" s="23">
        <v>1</v>
      </c>
      <c r="H56" s="23">
        <f>G56*D56*E56</f>
        <v>6.66666666666667</v>
      </c>
      <c r="I56" s="59">
        <f>1-B57/H57</f>
        <v>0</v>
      </c>
    </row>
    <row r="57" spans="1:8">
      <c r="A57" s="61" t="s">
        <v>62</v>
      </c>
      <c r="B57" s="62">
        <f>120/3</f>
        <v>40</v>
      </c>
      <c r="C57" s="63">
        <v>30</v>
      </c>
      <c r="D57" s="64">
        <f>60/C57</f>
        <v>2</v>
      </c>
      <c r="E57" s="65">
        <v>20</v>
      </c>
      <c r="F57" s="66">
        <f>B57/(D57*E57)</f>
        <v>1</v>
      </c>
      <c r="G57" s="23">
        <f>ROUND(F57,0)</f>
        <v>1</v>
      </c>
      <c r="H57" s="23">
        <f>G57*D57*E57</f>
        <v>40</v>
      </c>
    </row>
    <row r="58" spans="7:7">
      <c r="G58" s="23">
        <f>SUM(G53:G57)</f>
        <v>6</v>
      </c>
    </row>
    <row r="59" spans="9:10">
      <c r="I59" t="s">
        <v>8</v>
      </c>
      <c r="J59" t="s">
        <v>9</v>
      </c>
    </row>
    <row r="60" spans="9:10">
      <c r="I60" s="67" t="s">
        <v>63</v>
      </c>
      <c r="J60" s="23">
        <v>48</v>
      </c>
    </row>
    <row r="61" spans="1:10">
      <c r="A61" t="s">
        <v>64</v>
      </c>
      <c r="B61" t="s">
        <v>65</v>
      </c>
      <c r="C61" t="s">
        <v>66</v>
      </c>
      <c r="D61" t="s">
        <v>14</v>
      </c>
      <c r="E61" t="s">
        <v>67</v>
      </c>
      <c r="F61" t="s">
        <v>6</v>
      </c>
      <c r="G61" t="s">
        <v>7</v>
      </c>
      <c r="I61" s="67" t="s">
        <v>68</v>
      </c>
      <c r="J61" s="23">
        <v>154.666666666667</v>
      </c>
    </row>
    <row r="62" spans="1:10">
      <c r="A62" t="s">
        <v>21</v>
      </c>
      <c r="B62" t="s">
        <v>68</v>
      </c>
      <c r="C62" s="23">
        <f>VLOOKUP(A62,$A$53:$H$57,6,FALSE)</f>
        <v>1.96333333333333</v>
      </c>
      <c r="D62">
        <f>VLOOKUP(A62,$A$53:$H$57,3,FALSE)</f>
        <v>57</v>
      </c>
      <c r="E62" s="23">
        <f>60/D62</f>
        <v>1.05263157894737</v>
      </c>
      <c r="F62">
        <v>20</v>
      </c>
      <c r="G62" s="23">
        <f>C62*E62*F62</f>
        <v>41.3333333333333</v>
      </c>
      <c r="I62" s="67" t="s">
        <v>69</v>
      </c>
      <c r="J62" s="23">
        <v>48</v>
      </c>
    </row>
    <row r="63" spans="1:10">
      <c r="A63" t="s">
        <v>21</v>
      </c>
      <c r="B63" t="s">
        <v>34</v>
      </c>
      <c r="C63" s="23">
        <f t="shared" ref="C63:C87" si="13">VLOOKUP(A63,$A$53:$H$57,6,FALSE)</f>
        <v>1.96333333333333</v>
      </c>
      <c r="D63">
        <f t="shared" ref="D63:D87" si="14">VLOOKUP(A63,$A$53:$H$57,3,FALSE)</f>
        <v>57</v>
      </c>
      <c r="E63" s="23">
        <f t="shared" ref="E63:E87" si="15">60/D63</f>
        <v>1.05263157894737</v>
      </c>
      <c r="F63">
        <v>20</v>
      </c>
      <c r="G63" s="23">
        <f t="shared" ref="G63:G87" si="16">C63*E63*F63</f>
        <v>41.3333333333333</v>
      </c>
      <c r="I63" s="82" t="s">
        <v>70</v>
      </c>
      <c r="J63" s="23">
        <v>148</v>
      </c>
    </row>
    <row r="64" spans="1:10">
      <c r="A64" t="s">
        <v>21</v>
      </c>
      <c r="B64" t="s">
        <v>71</v>
      </c>
      <c r="C64" s="23">
        <f t="shared" si="13"/>
        <v>1.96333333333333</v>
      </c>
      <c r="D64">
        <f t="shared" si="14"/>
        <v>57</v>
      </c>
      <c r="E64" s="23">
        <f t="shared" si="15"/>
        <v>1.05263157894737</v>
      </c>
      <c r="F64">
        <v>20</v>
      </c>
      <c r="G64" s="23">
        <f t="shared" si="16"/>
        <v>41.3333333333333</v>
      </c>
      <c r="I64" s="82" t="s">
        <v>34</v>
      </c>
      <c r="J64" s="23">
        <v>148</v>
      </c>
    </row>
    <row r="65" spans="1:10">
      <c r="A65" t="s">
        <v>21</v>
      </c>
      <c r="B65" t="s">
        <v>69</v>
      </c>
      <c r="C65" s="23">
        <f t="shared" si="13"/>
        <v>1.96333333333333</v>
      </c>
      <c r="D65">
        <f t="shared" si="14"/>
        <v>57</v>
      </c>
      <c r="E65" s="23">
        <f t="shared" si="15"/>
        <v>1.05263157894737</v>
      </c>
      <c r="F65">
        <v>20</v>
      </c>
      <c r="G65" s="23">
        <f t="shared" si="16"/>
        <v>41.3333333333333</v>
      </c>
      <c r="I65" s="67" t="s">
        <v>71</v>
      </c>
      <c r="J65" s="23">
        <v>48</v>
      </c>
    </row>
    <row r="66" spans="1:10">
      <c r="A66" t="s">
        <v>21</v>
      </c>
      <c r="B66" t="s">
        <v>63</v>
      </c>
      <c r="C66" s="23">
        <f t="shared" si="13"/>
        <v>1.96333333333333</v>
      </c>
      <c r="D66">
        <f t="shared" si="14"/>
        <v>57</v>
      </c>
      <c r="E66" s="23">
        <f t="shared" si="15"/>
        <v>1.05263157894737</v>
      </c>
      <c r="F66">
        <v>20</v>
      </c>
      <c r="G66" s="23">
        <f t="shared" si="16"/>
        <v>41.3333333333333</v>
      </c>
      <c r="I66" s="82" t="s">
        <v>72</v>
      </c>
      <c r="J66" s="23">
        <v>41.3333333333333</v>
      </c>
    </row>
    <row r="67" spans="1:10">
      <c r="A67" t="s">
        <v>21</v>
      </c>
      <c r="B67" t="s">
        <v>72</v>
      </c>
      <c r="C67" s="23">
        <f t="shared" si="13"/>
        <v>1.96333333333333</v>
      </c>
      <c r="D67">
        <f t="shared" si="14"/>
        <v>57</v>
      </c>
      <c r="E67" s="23">
        <f t="shared" si="15"/>
        <v>1.05263157894737</v>
      </c>
      <c r="F67">
        <v>20</v>
      </c>
      <c r="G67" s="23">
        <f t="shared" si="16"/>
        <v>41.3333333333333</v>
      </c>
      <c r="I67" s="67" t="s">
        <v>73</v>
      </c>
      <c r="J67" s="23">
        <v>50</v>
      </c>
    </row>
    <row r="68" spans="1:10">
      <c r="A68" t="s">
        <v>21</v>
      </c>
      <c r="B68" t="s">
        <v>70</v>
      </c>
      <c r="C68" s="23">
        <f t="shared" si="13"/>
        <v>1.96333333333333</v>
      </c>
      <c r="D68">
        <f t="shared" si="14"/>
        <v>57</v>
      </c>
      <c r="E68" s="23">
        <f t="shared" si="15"/>
        <v>1.05263157894737</v>
      </c>
      <c r="F68">
        <v>20</v>
      </c>
      <c r="G68" s="23">
        <f t="shared" si="16"/>
        <v>41.3333333333333</v>
      </c>
      <c r="I68" s="82" t="s">
        <v>74</v>
      </c>
      <c r="J68" s="23">
        <v>10</v>
      </c>
    </row>
    <row r="69" spans="1:10">
      <c r="A69" t="s">
        <v>59</v>
      </c>
      <c r="B69" t="s">
        <v>68</v>
      </c>
      <c r="C69" s="23">
        <f t="shared" si="13"/>
        <v>1.04166666666667</v>
      </c>
      <c r="D69">
        <f t="shared" si="14"/>
        <v>25</v>
      </c>
      <c r="E69" s="23">
        <f t="shared" si="15"/>
        <v>2.4</v>
      </c>
      <c r="F69">
        <v>20</v>
      </c>
      <c r="G69" s="23">
        <f t="shared" si="16"/>
        <v>50</v>
      </c>
      <c r="I69" s="67" t="s">
        <v>40</v>
      </c>
      <c r="J69" s="68">
        <v>696</v>
      </c>
    </row>
    <row r="70" spans="1:7">
      <c r="A70" t="s">
        <v>59</v>
      </c>
      <c r="B70" t="s">
        <v>34</v>
      </c>
      <c r="C70" s="23">
        <f t="shared" si="13"/>
        <v>1.04166666666667</v>
      </c>
      <c r="D70">
        <f t="shared" si="14"/>
        <v>25</v>
      </c>
      <c r="E70" s="23">
        <f t="shared" si="15"/>
        <v>2.4</v>
      </c>
      <c r="F70">
        <v>20</v>
      </c>
      <c r="G70" s="23">
        <f t="shared" si="16"/>
        <v>50</v>
      </c>
    </row>
    <row r="71" spans="1:7">
      <c r="A71" t="s">
        <v>59</v>
      </c>
      <c r="B71" t="s">
        <v>70</v>
      </c>
      <c r="C71" s="23">
        <f t="shared" si="13"/>
        <v>1.04166666666667</v>
      </c>
      <c r="D71">
        <f t="shared" si="14"/>
        <v>25</v>
      </c>
      <c r="E71" s="23">
        <f t="shared" si="15"/>
        <v>2.4</v>
      </c>
      <c r="F71">
        <v>20</v>
      </c>
      <c r="G71" s="23">
        <f t="shared" si="16"/>
        <v>50</v>
      </c>
    </row>
    <row r="72" spans="1:7">
      <c r="A72" t="s">
        <v>60</v>
      </c>
      <c r="B72" t="s">
        <v>68</v>
      </c>
      <c r="C72" s="23">
        <f t="shared" si="13"/>
        <v>0.958333333333333</v>
      </c>
      <c r="D72">
        <f t="shared" si="14"/>
        <v>115</v>
      </c>
      <c r="E72" s="23">
        <f t="shared" si="15"/>
        <v>0.521739130434783</v>
      </c>
      <c r="F72">
        <v>20</v>
      </c>
      <c r="G72" s="23">
        <f t="shared" si="16"/>
        <v>10</v>
      </c>
    </row>
    <row r="73" spans="1:7">
      <c r="A73" t="s">
        <v>60</v>
      </c>
      <c r="B73" t="s">
        <v>34</v>
      </c>
      <c r="C73" s="23">
        <f t="shared" si="13"/>
        <v>0.958333333333333</v>
      </c>
      <c r="D73">
        <f t="shared" si="14"/>
        <v>115</v>
      </c>
      <c r="E73" s="23">
        <f t="shared" si="15"/>
        <v>0.521739130434783</v>
      </c>
      <c r="F73">
        <v>20</v>
      </c>
      <c r="G73" s="23">
        <f t="shared" si="16"/>
        <v>10</v>
      </c>
    </row>
    <row r="74" spans="1:7">
      <c r="A74" t="s">
        <v>60</v>
      </c>
      <c r="B74" t="s">
        <v>73</v>
      </c>
      <c r="C74" s="23">
        <f t="shared" si="13"/>
        <v>0.958333333333333</v>
      </c>
      <c r="D74">
        <f t="shared" si="14"/>
        <v>115</v>
      </c>
      <c r="E74" s="23">
        <f t="shared" si="15"/>
        <v>0.521739130434783</v>
      </c>
      <c r="F74">
        <v>20</v>
      </c>
      <c r="G74" s="23">
        <f t="shared" si="16"/>
        <v>10</v>
      </c>
    </row>
    <row r="75" spans="1:7">
      <c r="A75" t="s">
        <v>60</v>
      </c>
      <c r="B75" t="s">
        <v>74</v>
      </c>
      <c r="C75" s="23">
        <f t="shared" si="13"/>
        <v>0.958333333333333</v>
      </c>
      <c r="D75">
        <f t="shared" si="14"/>
        <v>115</v>
      </c>
      <c r="E75" s="23">
        <f t="shared" si="15"/>
        <v>0.521739130434783</v>
      </c>
      <c r="F75">
        <v>20</v>
      </c>
      <c r="G75" s="23">
        <f t="shared" si="16"/>
        <v>10</v>
      </c>
    </row>
    <row r="76" spans="1:7">
      <c r="A76" t="s">
        <v>60</v>
      </c>
      <c r="B76" t="s">
        <v>70</v>
      </c>
      <c r="C76" s="23">
        <f t="shared" si="13"/>
        <v>0.958333333333333</v>
      </c>
      <c r="D76">
        <f t="shared" si="14"/>
        <v>115</v>
      </c>
      <c r="E76" s="23">
        <f t="shared" si="15"/>
        <v>0.521739130434783</v>
      </c>
      <c r="F76">
        <v>20</v>
      </c>
      <c r="G76" s="23">
        <f t="shared" si="16"/>
        <v>10</v>
      </c>
    </row>
    <row r="77" spans="1:7">
      <c r="A77" t="s">
        <v>61</v>
      </c>
      <c r="B77" t="s">
        <v>68</v>
      </c>
      <c r="C77" s="23">
        <f t="shared" si="13"/>
        <v>1</v>
      </c>
      <c r="D77">
        <f t="shared" si="14"/>
        <v>180</v>
      </c>
      <c r="E77" s="23">
        <f t="shared" si="15"/>
        <v>0.333333333333333</v>
      </c>
      <c r="F77">
        <v>20</v>
      </c>
      <c r="G77" s="23">
        <f t="shared" si="16"/>
        <v>6.66666666666667</v>
      </c>
    </row>
    <row r="78" spans="1:7">
      <c r="A78" t="s">
        <v>61</v>
      </c>
      <c r="B78" t="s">
        <v>68</v>
      </c>
      <c r="C78" s="23">
        <f t="shared" si="13"/>
        <v>1</v>
      </c>
      <c r="D78">
        <f t="shared" si="14"/>
        <v>180</v>
      </c>
      <c r="E78" s="23">
        <f t="shared" si="15"/>
        <v>0.333333333333333</v>
      </c>
      <c r="F78">
        <v>20</v>
      </c>
      <c r="G78" s="23">
        <f t="shared" si="16"/>
        <v>6.66666666666667</v>
      </c>
    </row>
    <row r="79" spans="1:7">
      <c r="A79" t="s">
        <v>61</v>
      </c>
      <c r="B79" t="s">
        <v>34</v>
      </c>
      <c r="C79" s="23">
        <f t="shared" si="13"/>
        <v>1</v>
      </c>
      <c r="D79">
        <f t="shared" si="14"/>
        <v>180</v>
      </c>
      <c r="E79" s="23">
        <f t="shared" si="15"/>
        <v>0.333333333333333</v>
      </c>
      <c r="F79">
        <v>20</v>
      </c>
      <c r="G79" s="23">
        <f t="shared" si="16"/>
        <v>6.66666666666667</v>
      </c>
    </row>
    <row r="80" spans="1:7">
      <c r="A80" t="s">
        <v>61</v>
      </c>
      <c r="B80" t="s">
        <v>71</v>
      </c>
      <c r="C80" s="23">
        <f t="shared" si="13"/>
        <v>1</v>
      </c>
      <c r="D80">
        <f t="shared" si="14"/>
        <v>180</v>
      </c>
      <c r="E80" s="23">
        <f t="shared" si="15"/>
        <v>0.333333333333333</v>
      </c>
      <c r="F80">
        <v>20</v>
      </c>
      <c r="G80" s="23">
        <f t="shared" si="16"/>
        <v>6.66666666666667</v>
      </c>
    </row>
    <row r="81" spans="1:7">
      <c r="A81" t="s">
        <v>61</v>
      </c>
      <c r="B81" t="s">
        <v>69</v>
      </c>
      <c r="C81" s="23">
        <f t="shared" si="13"/>
        <v>1</v>
      </c>
      <c r="D81">
        <f t="shared" si="14"/>
        <v>180</v>
      </c>
      <c r="E81" s="23">
        <f t="shared" si="15"/>
        <v>0.333333333333333</v>
      </c>
      <c r="F81">
        <v>20</v>
      </c>
      <c r="G81" s="23">
        <f t="shared" si="16"/>
        <v>6.66666666666667</v>
      </c>
    </row>
    <row r="82" spans="1:7">
      <c r="A82" t="s">
        <v>61</v>
      </c>
      <c r="B82" t="s">
        <v>63</v>
      </c>
      <c r="C82" s="23">
        <f t="shared" si="13"/>
        <v>1</v>
      </c>
      <c r="D82">
        <f t="shared" si="14"/>
        <v>180</v>
      </c>
      <c r="E82" s="23">
        <f t="shared" si="15"/>
        <v>0.333333333333333</v>
      </c>
      <c r="F82">
        <v>20</v>
      </c>
      <c r="G82" s="23">
        <f t="shared" si="16"/>
        <v>6.66666666666667</v>
      </c>
    </row>
    <row r="83" spans="1:7">
      <c r="A83" t="s">
        <v>61</v>
      </c>
      <c r="B83" t="s">
        <v>70</v>
      </c>
      <c r="C83" s="23">
        <f t="shared" si="13"/>
        <v>1</v>
      </c>
      <c r="D83">
        <f t="shared" si="14"/>
        <v>180</v>
      </c>
      <c r="E83" s="23">
        <f t="shared" si="15"/>
        <v>0.333333333333333</v>
      </c>
      <c r="F83">
        <v>20</v>
      </c>
      <c r="G83" s="23">
        <f t="shared" si="16"/>
        <v>6.66666666666667</v>
      </c>
    </row>
    <row r="84" spans="1:7">
      <c r="A84" t="s">
        <v>62</v>
      </c>
      <c r="B84" t="s">
        <v>68</v>
      </c>
      <c r="C84" s="23">
        <f t="shared" si="13"/>
        <v>1</v>
      </c>
      <c r="D84">
        <f t="shared" si="14"/>
        <v>30</v>
      </c>
      <c r="E84" s="23">
        <f t="shared" si="15"/>
        <v>2</v>
      </c>
      <c r="F84">
        <v>20</v>
      </c>
      <c r="G84" s="23">
        <f t="shared" si="16"/>
        <v>40</v>
      </c>
    </row>
    <row r="85" spans="1:7">
      <c r="A85" t="s">
        <v>62</v>
      </c>
      <c r="B85" t="s">
        <v>34</v>
      </c>
      <c r="C85" s="23">
        <f t="shared" si="13"/>
        <v>1</v>
      </c>
      <c r="D85">
        <f t="shared" si="14"/>
        <v>30</v>
      </c>
      <c r="E85" s="23">
        <f t="shared" si="15"/>
        <v>2</v>
      </c>
      <c r="F85">
        <v>20</v>
      </c>
      <c r="G85" s="23">
        <f t="shared" si="16"/>
        <v>40</v>
      </c>
    </row>
    <row r="86" spans="1:7">
      <c r="A86" t="s">
        <v>62</v>
      </c>
      <c r="B86" t="s">
        <v>73</v>
      </c>
      <c r="C86" s="23">
        <f t="shared" si="13"/>
        <v>1</v>
      </c>
      <c r="D86">
        <f t="shared" si="14"/>
        <v>30</v>
      </c>
      <c r="E86" s="23">
        <f t="shared" si="15"/>
        <v>2</v>
      </c>
      <c r="F86">
        <v>20</v>
      </c>
      <c r="G86" s="23">
        <f t="shared" si="16"/>
        <v>40</v>
      </c>
    </row>
    <row r="87" spans="1:7">
      <c r="A87" t="s">
        <v>62</v>
      </c>
      <c r="B87" t="s">
        <v>70</v>
      </c>
      <c r="C87" s="23">
        <f t="shared" si="13"/>
        <v>1</v>
      </c>
      <c r="D87">
        <f t="shared" si="14"/>
        <v>30</v>
      </c>
      <c r="E87" s="23">
        <f t="shared" si="15"/>
        <v>2</v>
      </c>
      <c r="F87">
        <v>20</v>
      </c>
      <c r="G87" s="23">
        <f t="shared" si="16"/>
        <v>40</v>
      </c>
    </row>
  </sheetData>
  <mergeCells count="1">
    <mergeCell ref="A34:B34"/>
  </mergeCells>
  <pageMargins left="0.7" right="0.7" top="0.75" bottom="0.75" header="0.3" footer="0.3"/>
  <pageSetup paperSize="9" orientation="portrait"/>
  <headerFooter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C12" sqref="C12"/>
    </sheetView>
  </sheetViews>
  <sheetFormatPr defaultColWidth="9" defaultRowHeight="14.4" outlineLevelCol="1"/>
  <cols>
    <col min="1" max="1" width="47.4259259259259" customWidth="1"/>
    <col min="2" max="2" width="31.6666666666667" customWidth="1"/>
  </cols>
  <sheetData>
    <row r="1" spans="1:2">
      <c r="A1" t="s">
        <v>75</v>
      </c>
      <c r="B1" s="18" t="s">
        <v>76</v>
      </c>
    </row>
    <row r="2" spans="1:2">
      <c r="A2" t="str">
        <f>'Автоматизированный расчет'!A36</f>
        <v>Главная Welcome страница</v>
      </c>
      <c r="B2" s="18" t="s">
        <v>77</v>
      </c>
    </row>
    <row r="3" spans="1:2">
      <c r="A3" t="str">
        <f>'Автоматизированный расчет'!A37</f>
        <v>Вход в систему</v>
      </c>
      <c r="B3" s="18" t="s">
        <v>78</v>
      </c>
    </row>
    <row r="4" spans="1:2">
      <c r="A4" t="str">
        <f>'Автоматизированный расчет'!A38</f>
        <v>Переход на страницу поиска билетов</v>
      </c>
      <c r="B4" s="18" t="s">
        <v>79</v>
      </c>
    </row>
    <row r="5" spans="1:2">
      <c r="A5" t="str">
        <f>'Автоматизированный расчет'!A39</f>
        <v>Заполнение полей для поиска билета </v>
      </c>
      <c r="B5" s="18" t="s">
        <v>80</v>
      </c>
    </row>
    <row r="6" spans="1:2">
      <c r="A6" t="str">
        <f>'Автоматизированный расчет'!A40</f>
        <v>Выбор рейса из найденных </v>
      </c>
      <c r="B6" s="18" t="s">
        <v>81</v>
      </c>
    </row>
    <row r="7" spans="1:2">
      <c r="A7" t="str">
        <f>'Автоматизированный расчет'!A41</f>
        <v>Оплата билета</v>
      </c>
      <c r="B7" s="18" t="s">
        <v>82</v>
      </c>
    </row>
    <row r="8" spans="1:2">
      <c r="A8" t="str">
        <f>'Автоматизированный расчет'!A42</f>
        <v>Просмотр квитанций</v>
      </c>
      <c r="B8" s="18" t="s">
        <v>83</v>
      </c>
    </row>
    <row r="9" spans="1:2">
      <c r="A9" t="str">
        <f>'Автоматизированный расчет'!A43</f>
        <v>Отмена бронирования </v>
      </c>
      <c r="B9" s="18" t="s">
        <v>84</v>
      </c>
    </row>
    <row r="10" spans="1:2">
      <c r="A10" t="str">
        <f>'Автоматизированный расчет'!A44</f>
        <v>Выход из системы</v>
      </c>
      <c r="B10" s="18" t="s">
        <v>85</v>
      </c>
    </row>
    <row r="11" spans="1:2">
      <c r="A11" t="str">
        <f>'Автоматизированный расчет'!A45</f>
        <v>Перход на страницу регистрации</v>
      </c>
      <c r="B11" s="18" t="s">
        <v>86</v>
      </c>
    </row>
    <row r="12" spans="1:2">
      <c r="A12" t="str">
        <f>'Автоматизированный расчет'!A46</f>
        <v>Заполнение полей регистарции</v>
      </c>
      <c r="B12" s="18" t="s">
        <v>87</v>
      </c>
    </row>
    <row r="13" spans="1:2">
      <c r="A13" t="str">
        <f>'Автоматизированный расчет'!A47</f>
        <v>Переход на следуюущий эран после регистарции</v>
      </c>
      <c r="B13" s="18" t="s">
        <v>88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E26" sqref="E26"/>
    </sheetView>
  </sheetViews>
  <sheetFormatPr defaultColWidth="9" defaultRowHeight="14.4"/>
  <cols>
    <col min="1" max="1" width="36.4259259259259" customWidth="1"/>
  </cols>
  <sheetData>
    <row r="1" spans="1:10">
      <c r="A1" s="94" t="s">
        <v>89</v>
      </c>
      <c r="B1" s="94" t="s">
        <v>90</v>
      </c>
      <c r="C1" s="94" t="s">
        <v>91</v>
      </c>
      <c r="D1" s="94" t="s">
        <v>92</v>
      </c>
      <c r="E1" s="94" t="s">
        <v>93</v>
      </c>
      <c r="F1" s="94" t="s">
        <v>94</v>
      </c>
      <c r="G1" s="94" t="s">
        <v>95</v>
      </c>
      <c r="H1" s="94" t="s">
        <v>96</v>
      </c>
      <c r="I1" s="94" t="s">
        <v>97</v>
      </c>
      <c r="J1" s="94" t="s">
        <v>98</v>
      </c>
    </row>
    <row r="2" spans="1:10">
      <c r="A2" s="94" t="s">
        <v>99</v>
      </c>
      <c r="B2" s="94" t="s">
        <v>100</v>
      </c>
      <c r="C2" s="94" t="s">
        <v>101</v>
      </c>
      <c r="D2" s="94" t="s">
        <v>101</v>
      </c>
      <c r="E2" s="94" t="s">
        <v>102</v>
      </c>
      <c r="F2" s="94" t="s">
        <v>103</v>
      </c>
      <c r="G2" s="94" t="s">
        <v>104</v>
      </c>
      <c r="H2" s="94" t="s">
        <v>105</v>
      </c>
      <c r="I2" s="94" t="s">
        <v>106</v>
      </c>
      <c r="J2" s="94" t="s">
        <v>106</v>
      </c>
    </row>
    <row r="3" spans="1:10">
      <c r="A3" s="94" t="s">
        <v>107</v>
      </c>
      <c r="B3" s="94" t="s">
        <v>100</v>
      </c>
      <c r="C3" s="94" t="s">
        <v>101</v>
      </c>
      <c r="D3" s="94" t="s">
        <v>101</v>
      </c>
      <c r="E3" s="94" t="s">
        <v>108</v>
      </c>
      <c r="F3" s="94" t="s">
        <v>109</v>
      </c>
      <c r="G3" s="94" t="s">
        <v>110</v>
      </c>
      <c r="H3" s="94" t="s">
        <v>111</v>
      </c>
      <c r="I3" s="94" t="s">
        <v>106</v>
      </c>
      <c r="J3" s="94" t="s">
        <v>106</v>
      </c>
    </row>
    <row r="4" spans="1:10">
      <c r="A4" s="94" t="s">
        <v>112</v>
      </c>
      <c r="B4" s="94" t="s">
        <v>100</v>
      </c>
      <c r="C4" s="94" t="s">
        <v>101</v>
      </c>
      <c r="D4" s="94" t="s">
        <v>101</v>
      </c>
      <c r="E4" s="94" t="s">
        <v>113</v>
      </c>
      <c r="F4" s="94" t="s">
        <v>114</v>
      </c>
      <c r="G4" s="94" t="s">
        <v>115</v>
      </c>
      <c r="H4" s="94" t="s">
        <v>116</v>
      </c>
      <c r="I4" s="94" t="s">
        <v>106</v>
      </c>
      <c r="J4" s="94" t="s">
        <v>106</v>
      </c>
    </row>
    <row r="5" spans="1:10">
      <c r="A5" s="94" t="s">
        <v>117</v>
      </c>
      <c r="B5" s="94" t="s">
        <v>100</v>
      </c>
      <c r="C5" s="94" t="s">
        <v>101</v>
      </c>
      <c r="D5" s="94" t="s">
        <v>101</v>
      </c>
      <c r="E5" s="94" t="s">
        <v>118</v>
      </c>
      <c r="F5" s="94" t="s">
        <v>119</v>
      </c>
      <c r="G5" s="94" t="s">
        <v>120</v>
      </c>
      <c r="H5" s="94" t="s">
        <v>121</v>
      </c>
      <c r="I5" s="94" t="s">
        <v>106</v>
      </c>
      <c r="J5" s="94" t="s">
        <v>106</v>
      </c>
    </row>
    <row r="6" spans="1:10">
      <c r="A6" s="94" t="s">
        <v>122</v>
      </c>
      <c r="B6" s="94" t="s">
        <v>100</v>
      </c>
      <c r="C6" s="94" t="s">
        <v>101</v>
      </c>
      <c r="D6" s="94" t="s">
        <v>101</v>
      </c>
      <c r="E6" s="94" t="s">
        <v>123</v>
      </c>
      <c r="F6" s="94" t="s">
        <v>124</v>
      </c>
      <c r="G6" s="94" t="s">
        <v>125</v>
      </c>
      <c r="H6" s="94" t="s">
        <v>126</v>
      </c>
      <c r="I6" s="94" t="s">
        <v>106</v>
      </c>
      <c r="J6" s="94" t="s">
        <v>106</v>
      </c>
    </row>
    <row r="7" spans="1:10">
      <c r="A7" s="94" t="s">
        <v>127</v>
      </c>
      <c r="B7" s="94" t="s">
        <v>100</v>
      </c>
      <c r="C7" s="94" t="s">
        <v>101</v>
      </c>
      <c r="D7" s="94" t="s">
        <v>101</v>
      </c>
      <c r="E7" s="94" t="s">
        <v>128</v>
      </c>
      <c r="F7" s="94" t="s">
        <v>129</v>
      </c>
      <c r="G7" s="94" t="s">
        <v>130</v>
      </c>
      <c r="H7" s="94" t="s">
        <v>131</v>
      </c>
      <c r="I7" s="94" t="s">
        <v>106</v>
      </c>
      <c r="J7" s="94" t="s">
        <v>106</v>
      </c>
    </row>
    <row r="8" spans="1:10">
      <c r="A8" s="94" t="s">
        <v>81</v>
      </c>
      <c r="B8" s="94" t="s">
        <v>100</v>
      </c>
      <c r="C8" s="94" t="s">
        <v>101</v>
      </c>
      <c r="D8" s="94" t="s">
        <v>101</v>
      </c>
      <c r="E8" s="94" t="s">
        <v>132</v>
      </c>
      <c r="F8" s="94" t="s">
        <v>133</v>
      </c>
      <c r="G8" s="94" t="s">
        <v>134</v>
      </c>
      <c r="H8" s="94" t="s">
        <v>135</v>
      </c>
      <c r="I8" s="94" t="s">
        <v>106</v>
      </c>
      <c r="J8" s="94" t="s">
        <v>106</v>
      </c>
    </row>
    <row r="9" spans="1:10">
      <c r="A9" s="94" t="s">
        <v>80</v>
      </c>
      <c r="B9" s="94" t="s">
        <v>100</v>
      </c>
      <c r="C9" s="94" t="s">
        <v>101</v>
      </c>
      <c r="D9" s="94" t="s">
        <v>101</v>
      </c>
      <c r="E9" s="94" t="s">
        <v>136</v>
      </c>
      <c r="F9" s="94" t="s">
        <v>137</v>
      </c>
      <c r="G9" s="94" t="s">
        <v>138</v>
      </c>
      <c r="H9" s="94" t="s">
        <v>135</v>
      </c>
      <c r="I9" s="94" t="s">
        <v>106</v>
      </c>
      <c r="J9" s="94" t="s">
        <v>106</v>
      </c>
    </row>
    <row r="10" spans="1:10">
      <c r="A10" s="94" t="s">
        <v>88</v>
      </c>
      <c r="B10" s="94" t="s">
        <v>100</v>
      </c>
      <c r="C10" s="94" t="s">
        <v>101</v>
      </c>
      <c r="D10" s="94" t="s">
        <v>101</v>
      </c>
      <c r="E10" s="94" t="s">
        <v>139</v>
      </c>
      <c r="F10" s="94" t="s">
        <v>140</v>
      </c>
      <c r="G10" s="94" t="s">
        <v>141</v>
      </c>
      <c r="H10" s="94" t="s">
        <v>121</v>
      </c>
      <c r="I10" s="94" t="s">
        <v>106</v>
      </c>
      <c r="J10" s="94" t="s">
        <v>106</v>
      </c>
    </row>
    <row r="11" spans="1:10">
      <c r="A11" s="94" t="s">
        <v>84</v>
      </c>
      <c r="B11" s="94" t="s">
        <v>100</v>
      </c>
      <c r="C11" s="94" t="s">
        <v>101</v>
      </c>
      <c r="D11" s="94" t="s">
        <v>101</v>
      </c>
      <c r="E11" s="94" t="s">
        <v>142</v>
      </c>
      <c r="F11" s="94" t="s">
        <v>143</v>
      </c>
      <c r="G11" s="94" t="s">
        <v>144</v>
      </c>
      <c r="H11" s="94" t="s">
        <v>111</v>
      </c>
      <c r="I11" s="94" t="s">
        <v>106</v>
      </c>
      <c r="J11" s="94" t="s">
        <v>106</v>
      </c>
    </row>
    <row r="12" spans="1:10">
      <c r="A12" s="94" t="s">
        <v>87</v>
      </c>
      <c r="B12" s="94" t="s">
        <v>100</v>
      </c>
      <c r="C12" s="94" t="s">
        <v>101</v>
      </c>
      <c r="D12" s="94" t="s">
        <v>101</v>
      </c>
      <c r="E12" s="94" t="s">
        <v>145</v>
      </c>
      <c r="F12" s="94" t="s">
        <v>137</v>
      </c>
      <c r="G12" s="94" t="s">
        <v>146</v>
      </c>
      <c r="H12" s="94" t="s">
        <v>147</v>
      </c>
      <c r="I12" s="94" t="s">
        <v>106</v>
      </c>
      <c r="J12" s="94" t="s">
        <v>106</v>
      </c>
    </row>
    <row r="13" spans="1:10">
      <c r="A13" s="94" t="s">
        <v>79</v>
      </c>
      <c r="B13" s="94" t="s">
        <v>100</v>
      </c>
      <c r="C13" s="94" t="s">
        <v>101</v>
      </c>
      <c r="D13" s="94" t="s">
        <v>101</v>
      </c>
      <c r="E13" s="94" t="s">
        <v>148</v>
      </c>
      <c r="F13" s="94" t="s">
        <v>149</v>
      </c>
      <c r="G13" s="94" t="s">
        <v>150</v>
      </c>
      <c r="H13" s="94" t="s">
        <v>151</v>
      </c>
      <c r="I13" s="94" t="s">
        <v>106</v>
      </c>
      <c r="J13" s="94" t="s">
        <v>106</v>
      </c>
    </row>
    <row r="14" spans="1:10">
      <c r="A14" s="94" t="s">
        <v>83</v>
      </c>
      <c r="B14" s="94" t="s">
        <v>100</v>
      </c>
      <c r="C14" s="94" t="s">
        <v>101</v>
      </c>
      <c r="D14" s="94" t="s">
        <v>101</v>
      </c>
      <c r="E14" s="94" t="s">
        <v>152</v>
      </c>
      <c r="F14" s="94" t="s">
        <v>153</v>
      </c>
      <c r="G14" s="94" t="s">
        <v>154</v>
      </c>
      <c r="H14" s="94" t="s">
        <v>155</v>
      </c>
      <c r="I14" s="94" t="s">
        <v>106</v>
      </c>
      <c r="J14" s="94" t="s">
        <v>106</v>
      </c>
    </row>
    <row r="15" spans="1:10">
      <c r="A15" s="94" t="s">
        <v>86</v>
      </c>
      <c r="B15" s="94" t="s">
        <v>100</v>
      </c>
      <c r="C15" s="94" t="s">
        <v>101</v>
      </c>
      <c r="D15" s="94" t="s">
        <v>101</v>
      </c>
      <c r="E15" s="94" t="s">
        <v>156</v>
      </c>
      <c r="F15" s="94" t="s">
        <v>157</v>
      </c>
      <c r="G15" s="94" t="s">
        <v>134</v>
      </c>
      <c r="H15" s="94" t="s">
        <v>147</v>
      </c>
      <c r="I15" s="94" t="s">
        <v>106</v>
      </c>
      <c r="J15" s="94" t="s">
        <v>106</v>
      </c>
    </row>
    <row r="16" spans="1:10">
      <c r="A16" s="94" t="s">
        <v>82</v>
      </c>
      <c r="B16" s="94" t="s">
        <v>100</v>
      </c>
      <c r="C16" s="94" t="s">
        <v>101</v>
      </c>
      <c r="D16" s="94" t="s">
        <v>101</v>
      </c>
      <c r="E16" s="94" t="s">
        <v>158</v>
      </c>
      <c r="F16" s="94" t="s">
        <v>159</v>
      </c>
      <c r="G16" s="94" t="s">
        <v>160</v>
      </c>
      <c r="H16" s="94" t="s">
        <v>105</v>
      </c>
      <c r="I16" s="94" t="s">
        <v>106</v>
      </c>
      <c r="J16" s="94" t="s">
        <v>106</v>
      </c>
    </row>
    <row r="17" spans="1:10">
      <c r="A17" s="94" t="s">
        <v>78</v>
      </c>
      <c r="B17" s="94" t="s">
        <v>100</v>
      </c>
      <c r="C17" s="94" t="s">
        <v>101</v>
      </c>
      <c r="D17" s="94" t="s">
        <v>101</v>
      </c>
      <c r="E17" s="94" t="s">
        <v>161</v>
      </c>
      <c r="F17" s="94" t="s">
        <v>162</v>
      </c>
      <c r="G17" s="94" t="s">
        <v>163</v>
      </c>
      <c r="H17" s="94" t="s">
        <v>164</v>
      </c>
      <c r="I17" s="94" t="s">
        <v>106</v>
      </c>
      <c r="J17" s="94" t="s">
        <v>106</v>
      </c>
    </row>
    <row r="18" spans="1:10">
      <c r="A18" s="94" t="s">
        <v>85</v>
      </c>
      <c r="B18" s="94" t="s">
        <v>100</v>
      </c>
      <c r="C18" s="94" t="s">
        <v>101</v>
      </c>
      <c r="D18" s="94" t="s">
        <v>101</v>
      </c>
      <c r="E18" s="94" t="s">
        <v>165</v>
      </c>
      <c r="F18" s="94" t="s">
        <v>166</v>
      </c>
      <c r="G18" s="94" t="s">
        <v>167</v>
      </c>
      <c r="H18" s="94" t="s">
        <v>151</v>
      </c>
      <c r="I18" s="94" t="s">
        <v>106</v>
      </c>
      <c r="J18" s="94" t="s">
        <v>106</v>
      </c>
    </row>
    <row r="19" spans="1:10">
      <c r="A19" s="94" t="s">
        <v>77</v>
      </c>
      <c r="B19" s="94" t="s">
        <v>100</v>
      </c>
      <c r="C19" s="94" t="s">
        <v>101</v>
      </c>
      <c r="D19" s="94" t="s">
        <v>101</v>
      </c>
      <c r="E19" s="94" t="s">
        <v>168</v>
      </c>
      <c r="F19" s="94" t="s">
        <v>169</v>
      </c>
      <c r="G19" s="94" t="s">
        <v>170</v>
      </c>
      <c r="H19" s="94" t="s">
        <v>171</v>
      </c>
      <c r="I19" s="94" t="s">
        <v>106</v>
      </c>
      <c r="J19" s="94" t="s">
        <v>106</v>
      </c>
    </row>
    <row r="20" spans="1:10">
      <c r="A20" s="94" t="s">
        <v>172</v>
      </c>
      <c r="B20" s="94" t="s">
        <v>100</v>
      </c>
      <c r="C20" s="94" t="s">
        <v>101</v>
      </c>
      <c r="D20" s="94" t="s">
        <v>101</v>
      </c>
      <c r="E20" s="94" t="s">
        <v>113</v>
      </c>
      <c r="F20" s="94" t="s">
        <v>114</v>
      </c>
      <c r="G20" s="94" t="s">
        <v>115</v>
      </c>
      <c r="H20" s="94" t="s">
        <v>116</v>
      </c>
      <c r="I20" s="94" t="s">
        <v>106</v>
      </c>
      <c r="J20" s="94" t="s">
        <v>106</v>
      </c>
    </row>
    <row r="21" spans="1:10">
      <c r="A21" s="94" t="s">
        <v>173</v>
      </c>
      <c r="B21" s="94" t="s">
        <v>100</v>
      </c>
      <c r="C21" s="94" t="s">
        <v>101</v>
      </c>
      <c r="D21" s="94" t="s">
        <v>101</v>
      </c>
      <c r="E21" s="94" t="s">
        <v>174</v>
      </c>
      <c r="F21" s="94" t="s">
        <v>124</v>
      </c>
      <c r="G21" s="94" t="s">
        <v>125</v>
      </c>
      <c r="H21" s="94" t="s">
        <v>126</v>
      </c>
      <c r="I21" s="94" t="s">
        <v>106</v>
      </c>
      <c r="J21" s="94" t="s">
        <v>106</v>
      </c>
    </row>
    <row r="22" spans="1:10">
      <c r="A22" s="94" t="s">
        <v>175</v>
      </c>
      <c r="B22" s="94" t="s">
        <v>100</v>
      </c>
      <c r="C22" s="94" t="s">
        <v>101</v>
      </c>
      <c r="D22" s="94" t="s">
        <v>101</v>
      </c>
      <c r="E22" s="94" t="s">
        <v>102</v>
      </c>
      <c r="F22" s="94" t="s">
        <v>103</v>
      </c>
      <c r="G22" s="94" t="s">
        <v>104</v>
      </c>
      <c r="H22" s="94" t="s">
        <v>105</v>
      </c>
      <c r="I22" s="94" t="s">
        <v>106</v>
      </c>
      <c r="J22" s="94" t="s">
        <v>106</v>
      </c>
    </row>
    <row r="23" spans="1:10">
      <c r="A23" s="94" t="s">
        <v>176</v>
      </c>
      <c r="B23" s="94" t="s">
        <v>100</v>
      </c>
      <c r="C23" s="94" t="s">
        <v>101</v>
      </c>
      <c r="D23" s="94" t="s">
        <v>101</v>
      </c>
      <c r="E23" s="94" t="s">
        <v>128</v>
      </c>
      <c r="F23" s="94" t="s">
        <v>129</v>
      </c>
      <c r="G23" s="94" t="s">
        <v>130</v>
      </c>
      <c r="H23" s="94" t="s">
        <v>131</v>
      </c>
      <c r="I23" s="94" t="s">
        <v>106</v>
      </c>
      <c r="J23" s="94" t="s">
        <v>106</v>
      </c>
    </row>
    <row r="24" spans="1:10">
      <c r="A24" s="94" t="s">
        <v>177</v>
      </c>
      <c r="B24" s="94" t="s">
        <v>100</v>
      </c>
      <c r="C24" s="94" t="s">
        <v>101</v>
      </c>
      <c r="D24" s="94" t="s">
        <v>101</v>
      </c>
      <c r="E24" s="94" t="s">
        <v>108</v>
      </c>
      <c r="F24" s="94" t="s">
        <v>109</v>
      </c>
      <c r="G24" s="94" t="s">
        <v>110</v>
      </c>
      <c r="H24" s="94" t="s">
        <v>111</v>
      </c>
      <c r="I24" s="94" t="s">
        <v>106</v>
      </c>
      <c r="J24" s="94" t="s">
        <v>106</v>
      </c>
    </row>
    <row r="25" spans="1:10">
      <c r="A25" s="94" t="s">
        <v>178</v>
      </c>
      <c r="B25" s="94" t="s">
        <v>100</v>
      </c>
      <c r="C25" s="94" t="s">
        <v>101</v>
      </c>
      <c r="D25" s="94" t="s">
        <v>101</v>
      </c>
      <c r="E25" s="94" t="s">
        <v>118</v>
      </c>
      <c r="F25" s="94" t="s">
        <v>119</v>
      </c>
      <c r="G25" s="94" t="s">
        <v>120</v>
      </c>
      <c r="H25" s="94" t="s">
        <v>121</v>
      </c>
      <c r="I25" s="94" t="s">
        <v>106</v>
      </c>
      <c r="J25" s="94" t="s">
        <v>106</v>
      </c>
    </row>
    <row r="26" spans="1:10">
      <c r="A26" s="16"/>
      <c r="B26" s="17"/>
      <c r="C26" s="17"/>
      <c r="D26" s="17"/>
      <c r="E26" s="17"/>
      <c r="F26" s="17"/>
      <c r="G26" s="17"/>
      <c r="H26" s="17"/>
      <c r="I26" s="17"/>
      <c r="J26" s="17"/>
    </row>
    <row r="27" spans="1:10">
      <c r="A27" s="94" t="s">
        <v>179</v>
      </c>
      <c r="B27" s="94" t="s">
        <v>180</v>
      </c>
      <c r="C27" s="94" t="s">
        <v>181</v>
      </c>
      <c r="D27" s="17"/>
      <c r="E27" s="17"/>
      <c r="F27" s="17"/>
      <c r="G27" s="17"/>
      <c r="H27" s="17"/>
      <c r="I27" s="17"/>
      <c r="J27" s="17"/>
    </row>
    <row r="28" spans="1:10">
      <c r="A28" s="94" t="s">
        <v>182</v>
      </c>
      <c r="B28" s="94" t="s">
        <v>183</v>
      </c>
      <c r="C28" s="94" t="s">
        <v>184</v>
      </c>
      <c r="D28" s="17"/>
      <c r="E28" s="17"/>
      <c r="F28" s="17"/>
      <c r="G28" s="17"/>
      <c r="H28" s="17"/>
      <c r="I28" s="17"/>
      <c r="J28" s="17"/>
    </row>
    <row r="29" spans="1:10">
      <c r="A29" s="16"/>
      <c r="B29" s="16"/>
      <c r="C29" s="16"/>
      <c r="D29" s="17"/>
      <c r="E29" s="17"/>
      <c r="F29" s="17"/>
      <c r="G29" s="17"/>
      <c r="H29" s="17"/>
      <c r="I29" s="17"/>
      <c r="J29" s="17"/>
    </row>
    <row r="30" spans="1:10">
      <c r="A30" s="16" t="s">
        <v>185</v>
      </c>
      <c r="B30" s="16"/>
      <c r="C30" s="16"/>
      <c r="D30" s="17"/>
      <c r="E30" s="17"/>
      <c r="F30" s="17"/>
      <c r="G30" s="17"/>
      <c r="H30" s="17"/>
      <c r="I30" s="17"/>
      <c r="J30" s="17"/>
    </row>
    <row r="31" spans="1:10">
      <c r="A31" s="16" t="s">
        <v>186</v>
      </c>
      <c r="B31" s="16"/>
      <c r="C31" s="16"/>
      <c r="D31" s="17"/>
      <c r="E31" s="17"/>
      <c r="F31" s="17"/>
      <c r="G31" s="17"/>
      <c r="H31" s="17"/>
      <c r="I31" s="17"/>
      <c r="J31" s="1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O44"/>
  <sheetViews>
    <sheetView topLeftCell="A14" workbookViewId="0">
      <selection activeCell="L14" sqref="L14"/>
    </sheetView>
  </sheetViews>
  <sheetFormatPr defaultColWidth="8.85185185185185" defaultRowHeight="14.4"/>
  <cols>
    <col min="2" max="2" width="4.42592592592593" customWidth="1"/>
    <col min="3" max="4" width="9.13888888888889" hidden="1" customWidth="1"/>
    <col min="5" max="5" width="20.4259259259259" customWidth="1"/>
    <col min="6" max="6" width="18.8518518518519" customWidth="1"/>
    <col min="7" max="7" width="15.287037037037" customWidth="1"/>
    <col min="8" max="8" width="15.1388888888889" customWidth="1"/>
    <col min="9" max="9" width="14" customWidth="1"/>
    <col min="11" max="11" width="1.42592592592593" customWidth="1"/>
    <col min="12" max="12" width="40.287037037037" customWidth="1"/>
    <col min="13" max="13" width="6" customWidth="1"/>
    <col min="14" max="14" width="4.13888888888889" customWidth="1"/>
    <col min="15" max="15" width="5" customWidth="1"/>
    <col min="16" max="16" width="14.1388888888889" customWidth="1"/>
    <col min="17" max="17" width="19.4259259259259" customWidth="1"/>
  </cols>
  <sheetData>
    <row r="9" spans="5:9">
      <c r="E9" s="1" t="s">
        <v>187</v>
      </c>
      <c r="F9" s="1"/>
      <c r="G9" s="1"/>
      <c r="H9" s="1"/>
      <c r="I9" s="1"/>
    </row>
    <row r="11" ht="27.6" spans="5:9">
      <c r="E11" s="2" t="s">
        <v>188</v>
      </c>
      <c r="F11" s="2" t="s">
        <v>189</v>
      </c>
      <c r="G11" s="2" t="s">
        <v>190</v>
      </c>
      <c r="H11" s="2" t="s">
        <v>191</v>
      </c>
      <c r="I11" s="2" t="s">
        <v>192</v>
      </c>
    </row>
    <row r="12" ht="15.6" spans="5:9">
      <c r="E12" s="3" t="s">
        <v>23</v>
      </c>
      <c r="F12" s="4" t="s">
        <v>78</v>
      </c>
      <c r="G12" s="5">
        <v>368</v>
      </c>
      <c r="H12" s="4">
        <f>121*3</f>
        <v>363</v>
      </c>
      <c r="I12" s="12">
        <f>1-G12/H12</f>
        <v>-0.0137741046831956</v>
      </c>
    </row>
    <row r="13" ht="31.2" spans="5:9">
      <c r="E13" s="3" t="s">
        <v>193</v>
      </c>
      <c r="F13" s="4" t="s">
        <v>194</v>
      </c>
      <c r="G13" s="5">
        <v>251</v>
      </c>
      <c r="H13" s="4">
        <f>82*3</f>
        <v>246</v>
      </c>
      <c r="I13" s="12">
        <f t="shared" ref="I13:I18" si="0">1-G13/H13</f>
        <v>-0.0203252032520325</v>
      </c>
    </row>
    <row r="14" ht="31.2" spans="5:9">
      <c r="E14" s="3" t="s">
        <v>195</v>
      </c>
      <c r="F14" s="4" t="s">
        <v>196</v>
      </c>
      <c r="G14" s="5">
        <v>251</v>
      </c>
      <c r="H14" s="4">
        <f>82*3</f>
        <v>246</v>
      </c>
      <c r="I14" s="12">
        <f t="shared" si="0"/>
        <v>-0.0203252032520325</v>
      </c>
    </row>
    <row r="15" ht="15.6" spans="5:9">
      <c r="E15" s="3" t="s">
        <v>31</v>
      </c>
      <c r="F15" s="4" t="s">
        <v>197</v>
      </c>
      <c r="G15" s="5">
        <v>175</v>
      </c>
      <c r="H15" s="4">
        <f>56*3</f>
        <v>168</v>
      </c>
      <c r="I15" s="13">
        <f t="shared" si="0"/>
        <v>-0.0416666666666667</v>
      </c>
    </row>
    <row r="16" ht="31.2" spans="5:9">
      <c r="E16" s="3" t="s">
        <v>198</v>
      </c>
      <c r="F16" s="4" t="s">
        <v>199</v>
      </c>
      <c r="G16" s="5">
        <v>159</v>
      </c>
      <c r="H16" s="5">
        <f>56*3</f>
        <v>168</v>
      </c>
      <c r="I16" s="12">
        <f t="shared" si="0"/>
        <v>0.0535714285714286</v>
      </c>
    </row>
    <row r="17" ht="46.8" spans="5:9">
      <c r="E17" s="3" t="s">
        <v>200</v>
      </c>
      <c r="F17" s="4" t="s">
        <v>201</v>
      </c>
      <c r="G17" s="5">
        <v>73</v>
      </c>
      <c r="H17" s="4">
        <f>25*3</f>
        <v>75</v>
      </c>
      <c r="I17" s="12">
        <f t="shared" si="0"/>
        <v>0.0266666666666666</v>
      </c>
    </row>
    <row r="18" ht="15.6" spans="5:9">
      <c r="E18" s="3" t="s">
        <v>27</v>
      </c>
      <c r="F18" s="4" t="s">
        <v>85</v>
      </c>
      <c r="G18" s="5">
        <v>326</v>
      </c>
      <c r="H18" s="4">
        <f>104*3</f>
        <v>312</v>
      </c>
      <c r="I18" s="12">
        <f t="shared" si="0"/>
        <v>-0.0448717948717949</v>
      </c>
    </row>
    <row r="23" spans="5:9">
      <c r="E23" s="1" t="s">
        <v>202</v>
      </c>
      <c r="F23" s="1"/>
      <c r="G23" s="1"/>
      <c r="H23" s="1"/>
      <c r="I23" s="1"/>
    </row>
    <row r="25" spans="5:9">
      <c r="E25" s="6" t="s">
        <v>188</v>
      </c>
      <c r="F25" s="6" t="s">
        <v>189</v>
      </c>
      <c r="G25" s="6" t="s">
        <v>190</v>
      </c>
      <c r="H25" s="6" t="s">
        <v>191</v>
      </c>
      <c r="I25" s="6" t="s">
        <v>192</v>
      </c>
    </row>
    <row r="26" ht="15.6" spans="5:9">
      <c r="E26" s="7" t="s">
        <v>23</v>
      </c>
      <c r="F26" s="8" t="s">
        <v>78</v>
      </c>
      <c r="G26" s="9">
        <f>5*368</f>
        <v>1840</v>
      </c>
      <c r="H26" s="10">
        <f>721*3</f>
        <v>2163</v>
      </c>
      <c r="I26" s="14">
        <f>1-G26/H26</f>
        <v>0.149329634766528</v>
      </c>
    </row>
    <row r="27" ht="15.6" spans="5:9">
      <c r="E27" s="7" t="s">
        <v>193</v>
      </c>
      <c r="F27" s="8" t="s">
        <v>194</v>
      </c>
      <c r="G27" s="9">
        <f>5*251</f>
        <v>1255</v>
      </c>
      <c r="H27" s="10">
        <f>3*464</f>
        <v>1392</v>
      </c>
      <c r="I27" s="14">
        <f t="shared" ref="I27:I32" si="1">1-G27/H27</f>
        <v>0.0984195402298851</v>
      </c>
    </row>
    <row r="28" ht="15.6" spans="5:9">
      <c r="E28" s="7" t="s">
        <v>195</v>
      </c>
      <c r="F28" s="8" t="s">
        <v>196</v>
      </c>
      <c r="G28" s="9">
        <f>5*251</f>
        <v>1255</v>
      </c>
      <c r="H28" s="10">
        <f>3*462</f>
        <v>1386</v>
      </c>
      <c r="I28" s="14">
        <f t="shared" si="1"/>
        <v>0.0945165945165946</v>
      </c>
    </row>
    <row r="29" ht="15.6" spans="5:9">
      <c r="E29" s="7" t="s">
        <v>31</v>
      </c>
      <c r="F29" s="8" t="s">
        <v>197</v>
      </c>
      <c r="G29" s="9">
        <f>5*175</f>
        <v>875</v>
      </c>
      <c r="H29" s="10">
        <f>3*314</f>
        <v>942</v>
      </c>
      <c r="I29" s="15">
        <f t="shared" si="1"/>
        <v>0.0711252653927813</v>
      </c>
    </row>
    <row r="30" ht="15.6" spans="5:9">
      <c r="E30" s="7" t="s">
        <v>198</v>
      </c>
      <c r="F30" s="8" t="s">
        <v>199</v>
      </c>
      <c r="G30" s="9">
        <f>5*159</f>
        <v>795</v>
      </c>
      <c r="H30" s="10">
        <f>3*330</f>
        <v>990</v>
      </c>
      <c r="I30" s="14">
        <f t="shared" si="1"/>
        <v>0.196969696969697</v>
      </c>
    </row>
    <row r="31" ht="15.6" spans="5:9">
      <c r="E31" s="7" t="s">
        <v>200</v>
      </c>
      <c r="F31" s="8" t="s">
        <v>201</v>
      </c>
      <c r="G31" s="9">
        <f>5*73</f>
        <v>365</v>
      </c>
      <c r="H31" s="10">
        <f>3*141</f>
        <v>423</v>
      </c>
      <c r="I31" s="14">
        <f t="shared" si="1"/>
        <v>0.137115839243499</v>
      </c>
    </row>
    <row r="32" ht="15.6" spans="5:9">
      <c r="E32" s="7" t="s">
        <v>27</v>
      </c>
      <c r="F32" s="8" t="s">
        <v>85</v>
      </c>
      <c r="G32" s="9">
        <f>5*326</f>
        <v>1630</v>
      </c>
      <c r="H32" s="10">
        <f>3*599</f>
        <v>1797</v>
      </c>
      <c r="I32" s="14">
        <f t="shared" si="1"/>
        <v>0.0929326655537006</v>
      </c>
    </row>
    <row r="35" spans="5:9">
      <c r="E35" s="1" t="s">
        <v>203</v>
      </c>
      <c r="F35" s="1"/>
      <c r="G35" s="1"/>
      <c r="H35" s="1"/>
      <c r="I35" s="1"/>
    </row>
    <row r="37" spans="5:15">
      <c r="E37" s="6" t="s">
        <v>188</v>
      </c>
      <c r="F37" s="6" t="s">
        <v>189</v>
      </c>
      <c r="G37" s="6" t="s">
        <v>190</v>
      </c>
      <c r="H37" s="6" t="s">
        <v>191</v>
      </c>
      <c r="I37" s="6" t="s">
        <v>192</v>
      </c>
      <c r="L37" s="11" t="s">
        <v>89</v>
      </c>
      <c r="M37" s="11" t="s">
        <v>96</v>
      </c>
      <c r="N37" s="11" t="s">
        <v>97</v>
      </c>
      <c r="O37" s="11" t="s">
        <v>98</v>
      </c>
    </row>
    <row r="38" ht="15.6" spans="5:15">
      <c r="E38" s="7" t="s">
        <v>23</v>
      </c>
      <c r="F38" s="8" t="s">
        <v>78</v>
      </c>
      <c r="G38" s="9">
        <f>5*368</f>
        <v>1840</v>
      </c>
      <c r="H38" s="10">
        <v>2109</v>
      </c>
      <c r="I38" s="14">
        <f>1-G38/H38</f>
        <v>0.127548601232812</v>
      </c>
      <c r="L38" s="11" t="s">
        <v>201</v>
      </c>
      <c r="M38" s="11">
        <v>377</v>
      </c>
      <c r="N38" s="11">
        <v>27</v>
      </c>
      <c r="O38" s="11">
        <v>0</v>
      </c>
    </row>
    <row r="39" ht="15.6" spans="5:15">
      <c r="E39" s="7" t="s">
        <v>193</v>
      </c>
      <c r="F39" s="8" t="s">
        <v>194</v>
      </c>
      <c r="G39" s="9">
        <f>5*251</f>
        <v>1255</v>
      </c>
      <c r="H39" s="11">
        <v>1315</v>
      </c>
      <c r="I39" s="14">
        <f t="shared" ref="I39:I44" si="2">1-G39/H39</f>
        <v>0.0456273764258555</v>
      </c>
      <c r="L39" s="11" t="s">
        <v>199</v>
      </c>
      <c r="M39" s="11">
        <v>998</v>
      </c>
      <c r="N39" s="11">
        <v>1</v>
      </c>
      <c r="O39" s="11">
        <v>0</v>
      </c>
    </row>
    <row r="40" ht="15.6" spans="5:15">
      <c r="E40" s="7" t="s">
        <v>195</v>
      </c>
      <c r="F40" s="8" t="s">
        <v>196</v>
      </c>
      <c r="G40" s="9">
        <f>5*251</f>
        <v>1255</v>
      </c>
      <c r="H40" s="10">
        <v>1315</v>
      </c>
      <c r="I40" s="14">
        <f t="shared" si="2"/>
        <v>0.0456273764258555</v>
      </c>
      <c r="L40" s="11" t="s">
        <v>194</v>
      </c>
      <c r="M40" s="11" t="s">
        <v>204</v>
      </c>
      <c r="N40" s="11">
        <v>0</v>
      </c>
      <c r="O40" s="11">
        <v>0</v>
      </c>
    </row>
    <row r="41" ht="15.6" spans="5:15">
      <c r="E41" s="7" t="s">
        <v>31</v>
      </c>
      <c r="F41" s="8" t="s">
        <v>197</v>
      </c>
      <c r="G41" s="9">
        <f>5*175</f>
        <v>875</v>
      </c>
      <c r="H41" s="11">
        <v>924</v>
      </c>
      <c r="I41" s="15">
        <f t="shared" si="2"/>
        <v>0.053030303030303</v>
      </c>
      <c r="L41" s="11" t="s">
        <v>78</v>
      </c>
      <c r="M41" s="11" t="s">
        <v>205</v>
      </c>
      <c r="N41" s="11">
        <v>139</v>
      </c>
      <c r="O41" s="11">
        <v>0</v>
      </c>
    </row>
    <row r="42" ht="15.6" spans="5:15">
      <c r="E42" s="7" t="s">
        <v>198</v>
      </c>
      <c r="F42" s="8" t="s">
        <v>199</v>
      </c>
      <c r="G42" s="9">
        <f>5*159</f>
        <v>795</v>
      </c>
      <c r="H42" s="11">
        <v>998</v>
      </c>
      <c r="I42" s="14">
        <f t="shared" si="2"/>
        <v>0.203406813627255</v>
      </c>
      <c r="L42" s="11" t="s">
        <v>85</v>
      </c>
      <c r="M42" s="11" t="s">
        <v>206</v>
      </c>
      <c r="N42" s="11">
        <v>1</v>
      </c>
      <c r="O42" s="11">
        <v>0</v>
      </c>
    </row>
    <row r="43" ht="15.6" spans="5:15">
      <c r="E43" s="7" t="s">
        <v>200</v>
      </c>
      <c r="F43" s="8" t="s">
        <v>201</v>
      </c>
      <c r="G43" s="9">
        <f>5*73</f>
        <v>365</v>
      </c>
      <c r="H43" s="11">
        <v>404</v>
      </c>
      <c r="I43" s="14">
        <f t="shared" si="2"/>
        <v>0.0965346534653465</v>
      </c>
      <c r="L43" s="11" t="s">
        <v>197</v>
      </c>
      <c r="M43" s="11">
        <v>924</v>
      </c>
      <c r="N43" s="11">
        <v>0</v>
      </c>
      <c r="O43" s="11">
        <v>0</v>
      </c>
    </row>
    <row r="44" ht="15.6" spans="5:15">
      <c r="E44" s="7" t="s">
        <v>27</v>
      </c>
      <c r="F44" s="8" t="s">
        <v>85</v>
      </c>
      <c r="G44" s="9">
        <f>5*326</f>
        <v>1630</v>
      </c>
      <c r="H44" s="10">
        <v>1675</v>
      </c>
      <c r="I44" s="14">
        <f t="shared" si="2"/>
        <v>0.0268656716417911</v>
      </c>
      <c r="L44" s="11" t="s">
        <v>196</v>
      </c>
      <c r="M44" s="11" t="s">
        <v>204</v>
      </c>
      <c r="N44" s="11">
        <v>0</v>
      </c>
      <c r="O44" s="11">
        <v>0</v>
      </c>
    </row>
  </sheetData>
  <mergeCells count="3">
    <mergeCell ref="E9:I9"/>
    <mergeCell ref="E23:I23"/>
    <mergeCell ref="E35:I35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N2" rgbClr="56C39C"/>
    <comment s:ref="O2" rgbClr="56C39C"/>
    <comment s:ref="P2" rgbClr="56C39C"/>
    <comment s:ref="Q2" rgbClr="56C39C"/>
    <comment s:ref="R2" rgbClr="56C39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khpalv</cp:lastModifiedBy>
  <dcterms:created xsi:type="dcterms:W3CDTF">2015-06-05T18:19:00Z</dcterms:created>
  <dcterms:modified xsi:type="dcterms:W3CDTF">2023-05-06T12:40:40Z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B6D344DAEB5F4CD7ABDA9327E4861FB0</vt:lpwstr>
  </property>
  <property fmtid="{D5CDD505-2E9C-101B-9397-08002B2CF9AE}" pid="3" name="KSOProductBuildVer">
    <vt:lpwstr>1049-11.2.0.11537</vt:lpwstr>
  </property>
</Properties>
</file>