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OneDrive\Desktop\"/>
    </mc:Choice>
  </mc:AlternateContent>
  <xr:revisionPtr revIDLastSave="0" documentId="8_{1B4EA076-2DBF-4212-8E4E-49115D35DF28}" xr6:coauthVersionLast="47" xr6:coauthVersionMax="47" xr10:uidLastSave="{00000000-0000-0000-0000-000000000000}"/>
  <bookViews>
    <workbookView xWindow="-110" yWindow="-110" windowWidth="19420" windowHeight="12220" firstSheet="9" activeTab="4" xr2:uid="{C6D5766F-0D31-4256-B10A-CD6A8A290F5D}"/>
  </bookViews>
  <sheets>
    <sheet name="Wind Load" sheetId="6" r:id="rId1"/>
    <sheet name="Purlin" sheetId="1" r:id="rId2"/>
    <sheet name="Purlin connection (bolt)" sheetId="14" r:id="rId3"/>
    <sheet name="Truss " sheetId="4" r:id="rId4"/>
    <sheet name="Truss connections (Weld)" sheetId="9" r:id="rId5"/>
    <sheet name="Column (upper)" sheetId="5" r:id="rId6"/>
    <sheet name="Column (lower)" sheetId="7" r:id="rId7"/>
    <sheet name="Cover &amp; Filler plates weld" sheetId="12" r:id="rId8"/>
    <sheet name="Column Splice weld" sheetId="15" r:id="rId9"/>
    <sheet name="Base Plate" sheetId="3" r:id="rId10"/>
    <sheet name="Footing" sheetId="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9" l="1"/>
  <c r="B21" i="9"/>
  <c r="B17" i="9"/>
  <c r="B16" i="9"/>
  <c r="B14" i="9"/>
  <c r="B13" i="9"/>
  <c r="B12" i="9"/>
  <c r="B11" i="9"/>
  <c r="B10" i="9"/>
  <c r="B30" i="15"/>
  <c r="B40" i="12"/>
  <c r="B38" i="12"/>
  <c r="D19" i="6"/>
  <c r="D73" i="2"/>
  <c r="B20" i="6"/>
  <c r="B19" i="6"/>
  <c r="B18" i="6"/>
  <c r="B10" i="12"/>
  <c r="E39" i="2"/>
  <c r="D37" i="3"/>
  <c r="B29" i="7"/>
  <c r="C9" i="3"/>
  <c r="C24" i="3" s="1"/>
  <c r="B28" i="5"/>
  <c r="C26" i="5"/>
  <c r="F57" i="4"/>
  <c r="D60" i="4"/>
  <c r="D57" i="4"/>
  <c r="M43" i="4"/>
  <c r="K43" i="4"/>
  <c r="H43" i="4"/>
  <c r="E43" i="4"/>
  <c r="B43" i="4"/>
  <c r="B11" i="4"/>
  <c r="B12" i="4" s="1"/>
  <c r="B16" i="4" s="1"/>
  <c r="B10" i="1"/>
  <c r="B13" i="14"/>
  <c r="D13" i="14" s="1"/>
  <c r="F13" i="14" s="1"/>
  <c r="E22" i="14" s="1"/>
  <c r="B18" i="14"/>
  <c r="B16" i="12"/>
  <c r="B25" i="15"/>
  <c r="B26" i="15" s="1"/>
  <c r="B20" i="15"/>
  <c r="B19" i="15" s="1"/>
  <c r="I12" i="15"/>
  <c r="B12" i="15"/>
  <c r="K4" i="15"/>
  <c r="D4" i="15"/>
  <c r="B28" i="12"/>
  <c r="B27" i="12" s="1"/>
  <c r="B4" i="12"/>
  <c r="B6" i="12"/>
  <c r="B26" i="12"/>
  <c r="B33" i="12"/>
  <c r="B34" i="12" s="1"/>
  <c r="B4" i="9"/>
  <c r="B3" i="9"/>
  <c r="B2" i="9"/>
  <c r="I7" i="4"/>
  <c r="B20" i="14"/>
  <c r="B21" i="14" s="1"/>
  <c r="B9" i="14"/>
  <c r="B17" i="14"/>
  <c r="D70" i="2"/>
  <c r="C48" i="2"/>
  <c r="D4" i="14"/>
  <c r="E68" i="2"/>
  <c r="D72" i="2"/>
  <c r="C12" i="3"/>
  <c r="C11" i="3"/>
  <c r="C10" i="3"/>
  <c r="D33" i="3" s="1"/>
  <c r="C35" i="3" s="1"/>
  <c r="F73" i="2"/>
  <c r="C69" i="2"/>
  <c r="C65" i="2"/>
  <c r="C59" i="2"/>
  <c r="E51" i="2"/>
  <c r="C45" i="2"/>
  <c r="C31" i="2"/>
  <c r="B2" i="12"/>
  <c r="B9" i="12"/>
  <c r="K5" i="12"/>
  <c r="B12" i="2"/>
  <c r="F5" i="2"/>
  <c r="C41" i="3"/>
  <c r="G38" i="3"/>
  <c r="D30" i="3"/>
  <c r="D5" i="2" s="1"/>
  <c r="B30" i="3"/>
  <c r="B5" i="2" s="1"/>
  <c r="E28" i="3"/>
  <c r="C25" i="3"/>
  <c r="C21" i="3"/>
  <c r="C16" i="3"/>
  <c r="B9" i="9"/>
  <c r="B32" i="7"/>
  <c r="B33" i="7" s="1"/>
  <c r="B30" i="7"/>
  <c r="B28" i="7"/>
  <c r="B27" i="7"/>
  <c r="B26" i="7"/>
  <c r="B26" i="5"/>
  <c r="K5" i="9"/>
  <c r="H27" i="6"/>
  <c r="H26" i="6"/>
  <c r="H25" i="6"/>
  <c r="H24" i="6"/>
  <c r="K27" i="6"/>
  <c r="J27" i="6"/>
  <c r="K25" i="6"/>
  <c r="J25" i="6"/>
  <c r="K24" i="6"/>
  <c r="J24" i="6"/>
  <c r="I7" i="6"/>
  <c r="I4" i="6"/>
  <c r="I3" i="6"/>
  <c r="I5" i="6"/>
  <c r="E9" i="7"/>
  <c r="C17" i="7"/>
  <c r="B39" i="7"/>
  <c r="B38" i="7"/>
  <c r="B37" i="7"/>
  <c r="E8" i="5"/>
  <c r="B3" i="7" s="1"/>
  <c r="B43" i="5"/>
  <c r="B44" i="5" s="1"/>
  <c r="B45" i="5" s="1"/>
  <c r="B46" i="5" s="1"/>
  <c r="B50" i="5" s="1"/>
  <c r="B36" i="5"/>
  <c r="B37" i="5" s="1"/>
  <c r="B38" i="5" s="1"/>
  <c r="B39" i="5" s="1"/>
  <c r="B49" i="5" s="1"/>
  <c r="B21" i="5"/>
  <c r="B22" i="5"/>
  <c r="C16" i="5"/>
  <c r="B23" i="5" s="1"/>
  <c r="G42" i="6"/>
  <c r="D20" i="6"/>
  <c r="B11" i="6"/>
  <c r="B13" i="6"/>
  <c r="B3" i="6"/>
  <c r="B2" i="6"/>
  <c r="E26" i="4"/>
  <c r="B3" i="5" s="1"/>
  <c r="B60" i="4"/>
  <c r="B42" i="4"/>
  <c r="B14" i="4"/>
  <c r="B9" i="4"/>
  <c r="B10" i="4"/>
  <c r="B11" i="1"/>
  <c r="B97" i="1"/>
  <c r="B99" i="1"/>
  <c r="B96" i="1"/>
  <c r="C69" i="1"/>
  <c r="D78" i="1"/>
  <c r="F72" i="1"/>
  <c r="F69" i="1"/>
  <c r="C72" i="1"/>
  <c r="C66" i="1"/>
  <c r="C63" i="1"/>
  <c r="B53" i="1"/>
  <c r="B52" i="1"/>
  <c r="F49" i="1"/>
  <c r="I7" i="1"/>
  <c r="I3" i="1"/>
  <c r="C48" i="1"/>
  <c r="C39" i="1"/>
  <c r="B54" i="1"/>
  <c r="B8" i="6"/>
  <c r="B9" i="6"/>
  <c r="E15" i="6"/>
  <c r="B95" i="1"/>
  <c r="B100" i="1"/>
  <c r="B104" i="1" s="1"/>
  <c r="B101" i="1"/>
  <c r="C19" i="1"/>
  <c r="C16" i="1"/>
  <c r="B78" i="1"/>
  <c r="C78" i="1" s="1"/>
  <c r="E78" i="1"/>
  <c r="K54" i="1"/>
  <c r="H54" i="1"/>
  <c r="E54" i="1"/>
  <c r="M54" i="1"/>
  <c r="K53" i="1"/>
  <c r="H53" i="1"/>
  <c r="E53" i="1"/>
  <c r="M53" i="1" s="1"/>
  <c r="C64" i="1"/>
  <c r="C73" i="1"/>
  <c r="D72" i="1"/>
  <c r="C70" i="1"/>
  <c r="D69" i="1"/>
  <c r="C26" i="6"/>
  <c r="E32" i="6"/>
  <c r="B26" i="6"/>
  <c r="B32" i="6"/>
  <c r="C25" i="6"/>
  <c r="F32" i="6"/>
  <c r="B25" i="6"/>
  <c r="C32" i="6"/>
  <c r="A37" i="6"/>
  <c r="A45" i="6"/>
  <c r="C30" i="6"/>
  <c r="B30" i="6"/>
  <c r="F30" i="6"/>
  <c r="E30" i="6"/>
  <c r="C31" i="6"/>
  <c r="B31" i="6"/>
  <c r="F31" i="6"/>
  <c r="E31" i="6"/>
  <c r="B15" i="6"/>
  <c r="B16" i="6" s="1"/>
  <c r="A36" i="6"/>
  <c r="A44" i="6"/>
  <c r="A35" i="6"/>
  <c r="A43" i="6"/>
  <c r="E38" i="7" l="1"/>
  <c r="M38" i="7" s="1"/>
  <c r="H38" i="7"/>
  <c r="K38" i="7"/>
  <c r="E39" i="7"/>
  <c r="M39" i="7" s="1"/>
  <c r="H39" i="7"/>
  <c r="K39" i="7"/>
  <c r="B20" i="12"/>
  <c r="B19" i="12"/>
  <c r="C104" i="1"/>
  <c r="B106" i="1"/>
  <c r="B107" i="1" s="1"/>
  <c r="F104" i="1"/>
  <c r="D22" i="14"/>
  <c r="G22" i="14"/>
  <c r="E22" i="5"/>
  <c r="H22" i="5"/>
  <c r="K22" i="5"/>
  <c r="E23" i="5"/>
  <c r="M23" i="5" s="1"/>
  <c r="H23" i="5"/>
  <c r="K23" i="5"/>
  <c r="B51" i="4"/>
  <c r="B52" i="4"/>
  <c r="B53" i="4" s="1"/>
  <c r="B55" i="4" s="1"/>
  <c r="B56" i="4" s="1"/>
  <c r="B57" i="4" s="1"/>
  <c r="B2" i="5"/>
  <c r="B17" i="4"/>
  <c r="B19" i="4" s="1"/>
  <c r="C43" i="6"/>
  <c r="B44" i="6"/>
  <c r="B48" i="6" s="1"/>
  <c r="B12" i="14" s="1"/>
  <c r="C45" i="6"/>
  <c r="B43" i="6"/>
  <c r="B47" i="6" s="1"/>
  <c r="B9" i="1" s="1"/>
  <c r="B12" i="1" s="1"/>
  <c r="C44" i="6"/>
  <c r="B45" i="6"/>
  <c r="C15" i="1"/>
  <c r="C24" i="1" s="1"/>
  <c r="C18" i="1"/>
  <c r="D12" i="14"/>
  <c r="F12" i="14" s="1"/>
  <c r="E21" i="14" s="1"/>
  <c r="C17" i="1"/>
  <c r="B3" i="12"/>
  <c r="B5" i="9"/>
  <c r="E24" i="9" s="1"/>
  <c r="C60" i="2"/>
  <c r="E26" i="2"/>
  <c r="E73" i="2"/>
  <c r="G73" i="2" s="1"/>
  <c r="G25" i="3"/>
  <c r="G24" i="3"/>
  <c r="C41" i="2"/>
  <c r="G28" i="2"/>
  <c r="B51" i="5"/>
  <c r="B52" i="5" s="1"/>
  <c r="B31" i="7"/>
  <c r="B50" i="7" s="1"/>
  <c r="B51" i="7" s="1"/>
  <c r="B52" i="7" s="1"/>
  <c r="B53" i="7" s="1"/>
  <c r="B63" i="7" s="1"/>
  <c r="B34" i="7"/>
  <c r="B57" i="7" s="1"/>
  <c r="B58" i="7" s="1"/>
  <c r="B59" i="7" s="1"/>
  <c r="B60" i="7" s="1"/>
  <c r="B64" i="7" s="1"/>
  <c r="G21" i="14" l="1"/>
  <c r="D21" i="14"/>
  <c r="E107" i="1"/>
  <c r="B108" i="1" s="1"/>
  <c r="B109" i="1" s="1"/>
  <c r="C107" i="1"/>
  <c r="B29" i="12"/>
  <c r="M22" i="5"/>
  <c r="B39" i="4"/>
  <c r="E57" i="4" s="1"/>
  <c r="B38" i="4"/>
  <c r="E60" i="4" s="1"/>
  <c r="C25" i="1"/>
  <c r="F25" i="1" s="1"/>
  <c r="C82" i="1"/>
  <c r="C23" i="1"/>
  <c r="F24" i="1" s="1"/>
  <c r="C81" i="1"/>
  <c r="B4" i="5"/>
  <c r="B15" i="9"/>
  <c r="B65" i="7"/>
  <c r="B66" i="7" l="1"/>
  <c r="B5" i="12" s="1"/>
  <c r="B11" i="12" s="1"/>
  <c r="B12" i="12"/>
  <c r="B14" i="12" s="1"/>
  <c r="E22" i="12"/>
  <c r="E46" i="12"/>
  <c r="B35" i="12"/>
  <c r="B36" i="12" s="1"/>
  <c r="B41" i="12" s="1"/>
  <c r="C85" i="1"/>
  <c r="C87" i="1"/>
  <c r="C28" i="1"/>
  <c r="C58" i="1" s="1"/>
  <c r="F73" i="1" s="1"/>
  <c r="C30" i="1"/>
  <c r="C60" i="1" s="1"/>
  <c r="G66" i="1" s="1"/>
  <c r="C84" i="1"/>
  <c r="F109" i="1" s="1"/>
  <c r="C86" i="1"/>
  <c r="C27" i="1"/>
  <c r="C29" i="1"/>
  <c r="C59" i="1" s="1"/>
  <c r="G63" i="1" s="1"/>
  <c r="B2" i="7"/>
  <c r="B5" i="7" s="1"/>
  <c r="B6" i="7" s="1"/>
  <c r="B5" i="5"/>
  <c r="B18" i="9"/>
  <c r="B43" i="12" l="1"/>
  <c r="B44" i="12"/>
  <c r="B46" i="12" s="1"/>
  <c r="I66" i="1"/>
  <c r="E66" i="1"/>
  <c r="D73" i="1"/>
  <c r="H73" i="1"/>
  <c r="G64" i="1"/>
  <c r="I63" i="1"/>
  <c r="E63" i="1"/>
  <c r="C57" i="1"/>
  <c r="F70" i="1" s="1"/>
  <c r="C49" i="1"/>
  <c r="B112" i="1"/>
  <c r="G109" i="1"/>
  <c r="D109" i="1"/>
  <c r="B18" i="5"/>
  <c r="E52" i="5" s="1"/>
  <c r="B21" i="7"/>
  <c r="E16" i="15" s="1"/>
  <c r="B21" i="15" s="1"/>
  <c r="B22" i="12"/>
  <c r="B24" i="9"/>
  <c r="G24" i="9" l="1"/>
  <c r="D24" i="9"/>
  <c r="G22" i="12"/>
  <c r="D22" i="12"/>
  <c r="D52" i="5"/>
  <c r="F52" i="5"/>
  <c r="G46" i="12"/>
  <c r="D46" i="12"/>
  <c r="E38" i="15"/>
  <c r="B27" i="15"/>
  <c r="B28" i="15" s="1"/>
  <c r="B33" i="15" s="1"/>
  <c r="E112" i="1"/>
  <c r="C112" i="1"/>
  <c r="D49" i="1"/>
  <c r="G49" i="1"/>
  <c r="C75" i="1"/>
  <c r="H70" i="1"/>
  <c r="D70" i="1"/>
  <c r="I64" i="1"/>
  <c r="E64" i="1"/>
  <c r="D3" i="3"/>
  <c r="E66" i="7"/>
  <c r="D38" i="3" l="1"/>
  <c r="C27" i="3"/>
  <c r="C28" i="3" s="1"/>
  <c r="C17" i="3"/>
  <c r="D66" i="7"/>
  <c r="G66" i="7"/>
  <c r="B35" i="15"/>
  <c r="B36" i="15"/>
  <c r="F75" i="1"/>
  <c r="D75" i="1"/>
  <c r="D2" i="3"/>
  <c r="C7" i="2"/>
  <c r="C6" i="2" s="1"/>
  <c r="F38" i="3"/>
  <c r="H38" i="3" s="1"/>
  <c r="D28" i="3"/>
  <c r="F28" i="3" s="1"/>
  <c r="E21" i="3"/>
  <c r="C22" i="2" l="1"/>
  <c r="D15" i="2"/>
  <c r="B38" i="15"/>
  <c r="C16" i="2"/>
  <c r="C51" i="2"/>
  <c r="D51" i="2" s="1"/>
  <c r="F51" i="2" s="1"/>
  <c r="C55" i="2" l="1"/>
  <c r="C37" i="2"/>
  <c r="E41" i="2" s="1"/>
  <c r="C26" i="2"/>
  <c r="G38" i="15"/>
  <c r="D38" i="15"/>
  <c r="C56" i="2"/>
  <c r="C57" i="2" s="1"/>
  <c r="E60" i="2" s="1"/>
  <c r="F27" i="2" l="1"/>
  <c r="D27" i="2"/>
  <c r="C62" i="2"/>
  <c r="C64" i="2" s="1"/>
  <c r="C66" i="2" s="1"/>
  <c r="D60" i="2"/>
  <c r="C32" i="2" l="1"/>
  <c r="D57" i="9"/>
</calcChain>
</file>

<file path=xl/sharedStrings.xml><?xml version="1.0" encoding="utf-8"?>
<sst xmlns="http://schemas.openxmlformats.org/spreadsheetml/2006/main" count="1060" uniqueCount="444">
  <si>
    <t>Wind Load (IS 875 (Part 3): 2015)</t>
  </si>
  <si>
    <t xml:space="preserve">Vb </t>
  </si>
  <si>
    <t>m/s</t>
  </si>
  <si>
    <t>From Fig 1 (Location: Kolkata)</t>
  </si>
  <si>
    <t>Building:</t>
  </si>
  <si>
    <t>k1</t>
  </si>
  <si>
    <t>From Table 1</t>
  </si>
  <si>
    <t>Span Length</t>
  </si>
  <si>
    <t>m</t>
  </si>
  <si>
    <t>k2</t>
  </si>
  <si>
    <t>From Cl. 6.3.2</t>
  </si>
  <si>
    <t>Bay Length</t>
  </si>
  <si>
    <t>k3</t>
  </si>
  <si>
    <t>From Cl. 6.3.3</t>
  </si>
  <si>
    <t>No of bays</t>
  </si>
  <si>
    <t>k4</t>
  </si>
  <si>
    <t>From Cl. 6.3.4</t>
  </si>
  <si>
    <t>Roof Truss:</t>
  </si>
  <si>
    <t>Height</t>
  </si>
  <si>
    <t>Vz</t>
  </si>
  <si>
    <t>Min Side height</t>
  </si>
  <si>
    <t>Pz</t>
  </si>
  <si>
    <t>N/m</t>
  </si>
  <si>
    <t>kd</t>
  </si>
  <si>
    <t>From Cl. 7.2.1</t>
  </si>
  <si>
    <t>ka</t>
  </si>
  <si>
    <t>From Cl. 7.2.2 (Tributary Area &gt;= 100)</t>
  </si>
  <si>
    <t>kc</t>
  </si>
  <si>
    <t>Pd</t>
  </si>
  <si>
    <t>0.7 Pz</t>
  </si>
  <si>
    <t>Pd final</t>
  </si>
  <si>
    <t>alpha</t>
  </si>
  <si>
    <t>h/w</t>
  </si>
  <si>
    <t>L/w</t>
  </si>
  <si>
    <t>Use Table 9 (7.3.3.3 and Free Standing Double Sloped Roofs)</t>
  </si>
  <si>
    <t>Coefficients:</t>
  </si>
  <si>
    <t>Pressure coeff</t>
  </si>
  <si>
    <t>phi = 0</t>
  </si>
  <si>
    <t>phi = 1</t>
  </si>
  <si>
    <t>Pc (Max)</t>
  </si>
  <si>
    <t>Pc (Min)</t>
  </si>
  <si>
    <t>Side 1</t>
  </si>
  <si>
    <t>Side 2</t>
  </si>
  <si>
    <t>Case 1</t>
  </si>
  <si>
    <t>Case 2</t>
  </si>
  <si>
    <t>Case 3</t>
  </si>
  <si>
    <t>Case 4</t>
  </si>
  <si>
    <t>Case 5</t>
  </si>
  <si>
    <t>Case 6</t>
  </si>
  <si>
    <t>Choose the more critical out of similar cases:</t>
  </si>
  <si>
    <t>f</t>
  </si>
  <si>
    <t>From Cl. 7.3.3.3</t>
  </si>
  <si>
    <t>Forces:</t>
  </si>
  <si>
    <t>Area (Inc)</t>
  </si>
  <si>
    <t>m2</t>
  </si>
  <si>
    <t>N</t>
  </si>
  <si>
    <t>Compression</t>
  </si>
  <si>
    <t>kN/m^2</t>
  </si>
  <si>
    <t>Suction</t>
  </si>
  <si>
    <t>Support Conditions</t>
  </si>
  <si>
    <t>Span</t>
  </si>
  <si>
    <t>Steel</t>
  </si>
  <si>
    <t>Fe410</t>
  </si>
  <si>
    <t>Pulin c/c spacing</t>
  </si>
  <si>
    <t>t_max</t>
  </si>
  <si>
    <t>mm</t>
  </si>
  <si>
    <t>Roof Angle (Theta)</t>
  </si>
  <si>
    <t>degree</t>
  </si>
  <si>
    <t>f_y</t>
  </si>
  <si>
    <t>N/mm2</t>
  </si>
  <si>
    <t>f_u</t>
  </si>
  <si>
    <t>UDL Calculations</t>
  </si>
  <si>
    <t>Ym0</t>
  </si>
  <si>
    <t>Dead Load</t>
  </si>
  <si>
    <t>E</t>
  </si>
  <si>
    <t>Imposed Load</t>
  </si>
  <si>
    <t>Assumed</t>
  </si>
  <si>
    <t>Wind load</t>
  </si>
  <si>
    <t>UDL for DL</t>
  </si>
  <si>
    <t>kN/m</t>
  </si>
  <si>
    <t>UDL for IL</t>
  </si>
  <si>
    <t>UDL for WL</t>
  </si>
  <si>
    <t>Components of UDL</t>
  </si>
  <si>
    <t>z-plane bending loads</t>
  </si>
  <si>
    <t>w_dz</t>
  </si>
  <si>
    <t>w_iz</t>
  </si>
  <si>
    <t>w_wz</t>
  </si>
  <si>
    <t>y-plane bending loads</t>
  </si>
  <si>
    <t>w_dy</t>
  </si>
  <si>
    <t>w_iy</t>
  </si>
  <si>
    <t>w_wy</t>
  </si>
  <si>
    <t>Factored load combinations 1</t>
  </si>
  <si>
    <t xml:space="preserve">z-plane bending </t>
  </si>
  <si>
    <t>DL+IL+WL</t>
  </si>
  <si>
    <t>Final UDLs</t>
  </si>
  <si>
    <t>DL+IL</t>
  </si>
  <si>
    <t>w_z</t>
  </si>
  <si>
    <t>y-plane bending</t>
  </si>
  <si>
    <t>w_y</t>
  </si>
  <si>
    <t>M_z</t>
  </si>
  <si>
    <t>kN.m</t>
  </si>
  <si>
    <t>M_y</t>
  </si>
  <si>
    <t>F_z</t>
  </si>
  <si>
    <t>kN</t>
  </si>
  <si>
    <t>F_y</t>
  </si>
  <si>
    <t>Select Channel section for purlin</t>
  </si>
  <si>
    <t>Section type</t>
  </si>
  <si>
    <t>ROLLED</t>
  </si>
  <si>
    <t>ISMC 350 @</t>
  </si>
  <si>
    <t>D</t>
  </si>
  <si>
    <t>b</t>
  </si>
  <si>
    <t>t_f</t>
  </si>
  <si>
    <t>R1</t>
  </si>
  <si>
    <t>d</t>
  </si>
  <si>
    <t>t_w</t>
  </si>
  <si>
    <t>I_zz</t>
  </si>
  <si>
    <t>mm^4</t>
  </si>
  <si>
    <t>I_yy</t>
  </si>
  <si>
    <t>Elastic section modulus</t>
  </si>
  <si>
    <t>Z_ez</t>
  </si>
  <si>
    <t>mm^3</t>
  </si>
  <si>
    <t>Z_ey</t>
  </si>
  <si>
    <t>Plastic section modulus</t>
  </si>
  <si>
    <t>Z_pz</t>
  </si>
  <si>
    <t>Z_py</t>
  </si>
  <si>
    <t>(check once)</t>
  </si>
  <si>
    <t>D/b</t>
  </si>
  <si>
    <t>Required</t>
  </si>
  <si>
    <t>Our Z_pz</t>
  </si>
  <si>
    <t>Section Classification</t>
  </si>
  <si>
    <t>epsilon (e)</t>
  </si>
  <si>
    <t>b/t_f</t>
  </si>
  <si>
    <t>&lt;</t>
  </si>
  <si>
    <t>9.4e</t>
  </si>
  <si>
    <t>10.5e</t>
  </si>
  <si>
    <t>15.7e</t>
  </si>
  <si>
    <t>Flange classified as</t>
  </si>
  <si>
    <t>d/t_w</t>
  </si>
  <si>
    <t>84e</t>
  </si>
  <si>
    <t>105e</t>
  </si>
  <si>
    <t>126e</t>
  </si>
  <si>
    <t>Web classified as</t>
  </si>
  <si>
    <t>Section classified as</t>
  </si>
  <si>
    <t>Plastic</t>
  </si>
  <si>
    <t>Revised load effects</t>
  </si>
  <si>
    <t>Check for design shear force</t>
  </si>
  <si>
    <t>Shear capacity</t>
  </si>
  <si>
    <t>V_dz</t>
  </si>
  <si>
    <t>V_z</t>
  </si>
  <si>
    <t>0.6V_dz</t>
  </si>
  <si>
    <t>V_dy</t>
  </si>
  <si>
    <t>V_y</t>
  </si>
  <si>
    <t>Design moment capacity of beam</t>
  </si>
  <si>
    <t>Beta_b</t>
  </si>
  <si>
    <t>(Plastic section)</t>
  </si>
  <si>
    <t>M_dz</t>
  </si>
  <si>
    <t>(LIMIT)</t>
  </si>
  <si>
    <t>M_dy</t>
  </si>
  <si>
    <t>Check for overall member strength</t>
  </si>
  <si>
    <t>M_z/M_dz + M_y/M_dy</t>
  </si>
  <si>
    <t>Check for deflection</t>
  </si>
  <si>
    <t>delta</t>
  </si>
  <si>
    <t>Factored load combination 2</t>
  </si>
  <si>
    <t>z-plane bending</t>
  </si>
  <si>
    <t>DL+WL</t>
  </si>
  <si>
    <t>Load effects (inclusive of self load)</t>
  </si>
  <si>
    <t xml:space="preserve">kN </t>
  </si>
  <si>
    <t>Support conditions and L_LT</t>
  </si>
  <si>
    <t>Torsional Restraint</t>
  </si>
  <si>
    <t>Full</t>
  </si>
  <si>
    <t>(full/partial)</t>
  </si>
  <si>
    <t>Warping restraint</t>
  </si>
  <si>
    <t>(full/partial/no)</t>
  </si>
  <si>
    <t>K</t>
  </si>
  <si>
    <t>Table 15 of code</t>
  </si>
  <si>
    <t>Lateral Torsional Buckling Moment</t>
  </si>
  <si>
    <t>G</t>
  </si>
  <si>
    <t>N/mm^2</t>
  </si>
  <si>
    <t>I_t</t>
  </si>
  <si>
    <t>h_f</t>
  </si>
  <si>
    <t>Beta_f</t>
  </si>
  <si>
    <t>I_w</t>
  </si>
  <si>
    <t>mm^6</t>
  </si>
  <si>
    <t>M_cr</t>
  </si>
  <si>
    <t>Nmm</t>
  </si>
  <si>
    <t>kNm</t>
  </si>
  <si>
    <t>Check for design moment capacity</t>
  </si>
  <si>
    <t>Lamda_LT</t>
  </si>
  <si>
    <t>Treat as</t>
  </si>
  <si>
    <t>Alpha_LT</t>
  </si>
  <si>
    <t>rolled section</t>
  </si>
  <si>
    <t>Phi_LT</t>
  </si>
  <si>
    <t>Xi_LT</t>
  </si>
  <si>
    <t>(limit )</t>
  </si>
  <si>
    <t>f_bd</t>
  </si>
  <si>
    <t>M_z/M_dz +M_y/M_dy</t>
  </si>
  <si>
    <t>Assuming full load being transferred by flanges</t>
  </si>
  <si>
    <t>Purlin Section</t>
  </si>
  <si>
    <t>Ym1</t>
  </si>
  <si>
    <t>Tension</t>
  </si>
  <si>
    <t>Shear</t>
  </si>
  <si>
    <t>using 4.6 grade bolts</t>
  </si>
  <si>
    <t>fu</t>
  </si>
  <si>
    <t>Bolt dia</t>
  </si>
  <si>
    <t>hole dia</t>
  </si>
  <si>
    <t>Shear capcity of bolt</t>
  </si>
  <si>
    <t>Kb</t>
  </si>
  <si>
    <t>assume</t>
  </si>
  <si>
    <t>bearing capacity</t>
  </si>
  <si>
    <t>Bolt strength</t>
  </si>
  <si>
    <t>Hence provide 1 bolt</t>
  </si>
  <si>
    <t>Support conditions</t>
  </si>
  <si>
    <t>Bay length</t>
  </si>
  <si>
    <t>No. of bays</t>
  </si>
  <si>
    <t>For all the members</t>
  </si>
  <si>
    <t>Cladding weight</t>
  </si>
  <si>
    <t>dead load</t>
  </si>
  <si>
    <t>dead load weight</t>
  </si>
  <si>
    <t>dl for mid truss</t>
  </si>
  <si>
    <t>weight of purlin</t>
  </si>
  <si>
    <t>Purlin self weight</t>
  </si>
  <si>
    <t>Imposed load per m</t>
  </si>
  <si>
    <t>Imposed load</t>
  </si>
  <si>
    <t>Total load</t>
  </si>
  <si>
    <t>Factored load</t>
  </si>
  <si>
    <t xml:space="preserve">Divided Load </t>
  </si>
  <si>
    <t>Max tensile load (F_EG)</t>
  </si>
  <si>
    <t>11.534P + 23.115del_P</t>
  </si>
  <si>
    <t>Max compressive force (F_DF)</t>
  </si>
  <si>
    <t>11.65P + 23.32del_P</t>
  </si>
  <si>
    <t>Section classification (trial)</t>
  </si>
  <si>
    <t>section type</t>
  </si>
  <si>
    <t>Total length</t>
  </si>
  <si>
    <t>ISA 75x50x8 @</t>
  </si>
  <si>
    <t>Area</t>
  </si>
  <si>
    <t>mm^2</t>
  </si>
  <si>
    <t>t</t>
  </si>
  <si>
    <t>Cz</t>
  </si>
  <si>
    <t>Cy</t>
  </si>
  <si>
    <t>Izz</t>
  </si>
  <si>
    <t>Iyy</t>
  </si>
  <si>
    <t>rzz</t>
  </si>
  <si>
    <t>ryy</t>
  </si>
  <si>
    <t>Max tensile load</t>
  </si>
  <si>
    <t>Max comp load</t>
  </si>
  <si>
    <t>epsilon</t>
  </si>
  <si>
    <t>Compact</t>
  </si>
  <si>
    <t>Semi Compact</t>
  </si>
  <si>
    <t>d/t</t>
  </si>
  <si>
    <t xml:space="preserve">Classified as </t>
  </si>
  <si>
    <t>For compression</t>
  </si>
  <si>
    <t>Unrestrained length</t>
  </si>
  <si>
    <t>lamda_vv</t>
  </si>
  <si>
    <t>lamba_phi</t>
  </si>
  <si>
    <t>lamba_e</t>
  </si>
  <si>
    <t>alpha_LT</t>
  </si>
  <si>
    <t>rolled steel section</t>
  </si>
  <si>
    <t>phi</t>
  </si>
  <si>
    <t>fcd</t>
  </si>
  <si>
    <t>For tension</t>
  </si>
  <si>
    <t>OK</t>
  </si>
  <si>
    <t>For all the members of truss</t>
  </si>
  <si>
    <t xml:space="preserve">Area </t>
  </si>
  <si>
    <t>Tensile capacity</t>
  </si>
  <si>
    <t>Gusset plate thickness</t>
  </si>
  <si>
    <t>Assume</t>
  </si>
  <si>
    <t>Weld size</t>
  </si>
  <si>
    <t>Eff Throat thickness of weld</t>
  </si>
  <si>
    <t>Strength of weld</t>
  </si>
  <si>
    <t>N/mm</t>
  </si>
  <si>
    <t>P2</t>
  </si>
  <si>
    <t>P1</t>
  </si>
  <si>
    <t>P3</t>
  </si>
  <si>
    <t>Lw1</t>
  </si>
  <si>
    <t>Provide Lw1</t>
  </si>
  <si>
    <t>Lw2</t>
  </si>
  <si>
    <t>Lw3</t>
  </si>
  <si>
    <t>Provide Lw3</t>
  </si>
  <si>
    <t>Check for Block Shear</t>
  </si>
  <si>
    <t>T_db1</t>
  </si>
  <si>
    <t>T_db2</t>
  </si>
  <si>
    <t xml:space="preserve"> </t>
  </si>
  <si>
    <t>Check</t>
  </si>
  <si>
    <t>Upper Column</t>
  </si>
  <si>
    <t>Axial Load</t>
  </si>
  <si>
    <t>Self wt of truss</t>
  </si>
  <si>
    <t>Tot load</t>
  </si>
  <si>
    <t>Section Properties</t>
  </si>
  <si>
    <t xml:space="preserve">IS LB 75 @ </t>
  </si>
  <si>
    <t>area</t>
  </si>
  <si>
    <t>rz</t>
  </si>
  <si>
    <t>ry</t>
  </si>
  <si>
    <t>h</t>
  </si>
  <si>
    <t>tf</t>
  </si>
  <si>
    <t>tw</t>
  </si>
  <si>
    <t>Revised load</t>
  </si>
  <si>
    <t>secion classification</t>
  </si>
  <si>
    <t>epsilon e</t>
  </si>
  <si>
    <t>b/tf</t>
  </si>
  <si>
    <t>d/tw</t>
  </si>
  <si>
    <t>Buckling curve classification</t>
  </si>
  <si>
    <t>h/b</t>
  </si>
  <si>
    <t xml:space="preserve">buckiling about z-z </t>
  </si>
  <si>
    <t>class a</t>
  </si>
  <si>
    <t>buckiling about y-y</t>
  </si>
  <si>
    <t>class b</t>
  </si>
  <si>
    <t>Eff length</t>
  </si>
  <si>
    <t>non dimensional slenderness ratio</t>
  </si>
  <si>
    <t>about z-z</t>
  </si>
  <si>
    <t>KL/rz</t>
  </si>
  <si>
    <t>lamda z</t>
  </si>
  <si>
    <t>about y-y</t>
  </si>
  <si>
    <t>KL/ry</t>
  </si>
  <si>
    <t>Design stresses</t>
  </si>
  <si>
    <t>in z direction</t>
  </si>
  <si>
    <t>in y direction</t>
  </si>
  <si>
    <t>design axial compressive stress</t>
  </si>
  <si>
    <t>design strength</t>
  </si>
  <si>
    <t>Lower Column</t>
  </si>
  <si>
    <t>Self wt of upper column</t>
  </si>
  <si>
    <t>Gantry girder load</t>
  </si>
  <si>
    <t>Trial section</t>
  </si>
  <si>
    <t xml:space="preserve">IS MB 450 @ </t>
  </si>
  <si>
    <t>revised load</t>
  </si>
  <si>
    <t>Cover plate</t>
  </si>
  <si>
    <t>Width</t>
  </si>
  <si>
    <t>Thickness</t>
  </si>
  <si>
    <t>Area of compound section</t>
  </si>
  <si>
    <t>rz (0.4h)</t>
  </si>
  <si>
    <t>ry(0.21b)</t>
  </si>
  <si>
    <t>Izz for plates</t>
  </si>
  <si>
    <t>Tot Izz</t>
  </si>
  <si>
    <t xml:space="preserve">rz </t>
  </si>
  <si>
    <t>Iyy for plates</t>
  </si>
  <si>
    <t>Tot Iyy</t>
  </si>
  <si>
    <t>Buckling about z-z</t>
  </si>
  <si>
    <t>class c</t>
  </si>
  <si>
    <t>Buckling about y-y</t>
  </si>
  <si>
    <t>lamda y</t>
  </si>
  <si>
    <t>Lower column</t>
  </si>
  <si>
    <t>B</t>
  </si>
  <si>
    <t>Cover plate thickness</t>
  </si>
  <si>
    <t>length of weld reqd</t>
  </si>
  <si>
    <t>provide</t>
  </si>
  <si>
    <t>end return</t>
  </si>
  <si>
    <t>on all four sides</t>
  </si>
  <si>
    <t>total length of weld</t>
  </si>
  <si>
    <t>Provide Length</t>
  </si>
  <si>
    <t>Max length on either side</t>
  </si>
  <si>
    <t>Upper column</t>
  </si>
  <si>
    <t>Filler plate thickness</t>
  </si>
  <si>
    <t>provide weld Length</t>
  </si>
  <si>
    <t>Provide Max length</t>
  </si>
  <si>
    <t>Provide filler plate of 250 x 200 x 202.5</t>
  </si>
  <si>
    <t>Portion of load carried by each flange</t>
  </si>
  <si>
    <t>Splice Weld</t>
  </si>
  <si>
    <t>Splice thickness</t>
  </si>
  <si>
    <t>Final Dimensions of column splice</t>
  </si>
  <si>
    <t>250 x 150 x 10</t>
  </si>
  <si>
    <t>Load</t>
  </si>
  <si>
    <t>Factored Load</t>
  </si>
  <si>
    <t>fy</t>
  </si>
  <si>
    <t>Column Section Properties</t>
  </si>
  <si>
    <t>gamma_m0</t>
  </si>
  <si>
    <t>ISMB 450</t>
  </si>
  <si>
    <t>gamma_m1</t>
  </si>
  <si>
    <t>fck</t>
  </si>
  <si>
    <t>MPa</t>
  </si>
  <si>
    <t>Bearing strength</t>
  </si>
  <si>
    <t>Req Area</t>
  </si>
  <si>
    <t>mm2</t>
  </si>
  <si>
    <t>Use base plate of size</t>
  </si>
  <si>
    <t>*</t>
  </si>
  <si>
    <t>Projections</t>
  </si>
  <si>
    <t>z axis</t>
  </si>
  <si>
    <t>a</t>
  </si>
  <si>
    <t>y axis</t>
  </si>
  <si>
    <t>w</t>
  </si>
  <si>
    <t>ts</t>
  </si>
  <si>
    <t>Provide</t>
  </si>
  <si>
    <t>mm3</t>
  </si>
  <si>
    <t>plate</t>
  </si>
  <si>
    <t>Weld connecting base plate to column</t>
  </si>
  <si>
    <t>Total length for weld</t>
  </si>
  <si>
    <t xml:space="preserve">mm </t>
  </si>
  <si>
    <t>fillet</t>
  </si>
  <si>
    <t>Leff</t>
  </si>
  <si>
    <t>Weld capacity</t>
  </si>
  <si>
    <t>kN/mm</t>
  </si>
  <si>
    <t>Required Length</t>
  </si>
  <si>
    <t xml:space="preserve">Provide </t>
  </si>
  <si>
    <t>mm fillet weld around the column</t>
  </si>
  <si>
    <t>Base plate size</t>
  </si>
  <si>
    <t>Fe</t>
  </si>
  <si>
    <t>Unit weight of concrete</t>
  </si>
  <si>
    <t>kN/m3</t>
  </si>
  <si>
    <t>fac Load</t>
  </si>
  <si>
    <t>Unit weight of soil</t>
  </si>
  <si>
    <t>Soil bearing pressure</t>
  </si>
  <si>
    <t>kN/mm2</t>
  </si>
  <si>
    <t>at depth of</t>
  </si>
  <si>
    <t>f_ck</t>
  </si>
  <si>
    <t>Size of footing</t>
  </si>
  <si>
    <t>Base area req</t>
  </si>
  <si>
    <t>footing</t>
  </si>
  <si>
    <t>Thickness of footing</t>
  </si>
  <si>
    <t>q_u</t>
  </si>
  <si>
    <t>One way shear</t>
  </si>
  <si>
    <t>Vu1</t>
  </si>
  <si>
    <t>-</t>
  </si>
  <si>
    <t>=</t>
  </si>
  <si>
    <t>Asuuming</t>
  </si>
  <si>
    <t>pt=</t>
  </si>
  <si>
    <t>for</t>
  </si>
  <si>
    <t>fck=</t>
  </si>
  <si>
    <t>t_c</t>
  </si>
  <si>
    <t>Table 13</t>
  </si>
  <si>
    <t>Vc1</t>
  </si>
  <si>
    <t>d&gt;=</t>
  </si>
  <si>
    <t>Take d=</t>
  </si>
  <si>
    <t>Two way Shear</t>
  </si>
  <si>
    <t>Vu2</t>
  </si>
  <si>
    <t>for square base plate</t>
  </si>
  <si>
    <t>ks=</t>
  </si>
  <si>
    <t>Vc2</t>
  </si>
  <si>
    <t>Assuming cover of</t>
  </si>
  <si>
    <t>Dia of bar</t>
  </si>
  <si>
    <t>Take D</t>
  </si>
  <si>
    <t>q</t>
  </si>
  <si>
    <t>Flexural reinforcement</t>
  </si>
  <si>
    <t>Mu</t>
  </si>
  <si>
    <t>R</t>
  </si>
  <si>
    <t>pt</t>
  </si>
  <si>
    <t>Ast,min</t>
  </si>
  <si>
    <t>pt,min</t>
  </si>
  <si>
    <t>Ast,req</t>
  </si>
  <si>
    <t>A_bars</t>
  </si>
  <si>
    <t>n_bars</t>
  </si>
  <si>
    <t>bars of</t>
  </si>
  <si>
    <t>mm dia</t>
  </si>
  <si>
    <t>spacing</t>
  </si>
  <si>
    <t>Provide spacing of</t>
  </si>
  <si>
    <t>development length</t>
  </si>
  <si>
    <t>Available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</si>
</sst>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D2D2D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70D3-9A8B-4180-8287-24640EA5168E}">
  <dimension ref="A1:K48"/>
  <sheetViews>
    <sheetView workbookViewId="0">
      <selection activeCell="A2" sqref="A2"/>
    </sheetView>
  </sheetViews>
  <sheetFormatPr defaultRowHeight="14.5" x14ac:dyDescent="0.35"/>
  <cols>
    <col min="1" max="1" width="11.81640625" customWidth="1"/>
    <col min="8" max="8" width="14.1796875" customWidth="1"/>
  </cols>
  <sheetData>
    <row r="1" spans="1:10" x14ac:dyDescent="0.35">
      <c r="A1" s="1" t="s">
        <v>0</v>
      </c>
      <c r="B1" s="1"/>
      <c r="C1" s="1"/>
      <c r="D1" s="1"/>
    </row>
    <row r="2" spans="1:10" x14ac:dyDescent="0.35">
      <c r="A2" t="s">
        <v>1</v>
      </c>
      <c r="B2">
        <f>50</f>
        <v>50</v>
      </c>
      <c r="C2" t="s">
        <v>2</v>
      </c>
      <c r="D2" t="s">
        <v>3</v>
      </c>
      <c r="H2" t="s">
        <v>4</v>
      </c>
    </row>
    <row r="3" spans="1:10" x14ac:dyDescent="0.35">
      <c r="A3" s="1" t="s">
        <v>5</v>
      </c>
      <c r="B3" s="1">
        <f>1.08</f>
        <v>1.08</v>
      </c>
      <c r="D3" t="s">
        <v>6</v>
      </c>
      <c r="H3" t="s">
        <v>7</v>
      </c>
      <c r="I3">
        <f>15</f>
        <v>15</v>
      </c>
      <c r="J3" t="s">
        <v>8</v>
      </c>
    </row>
    <row r="4" spans="1:10" x14ac:dyDescent="0.35">
      <c r="A4" s="1" t="s">
        <v>9</v>
      </c>
      <c r="B4" s="1">
        <v>0.8</v>
      </c>
      <c r="D4" t="s">
        <v>10</v>
      </c>
      <c r="H4" t="s">
        <v>11</v>
      </c>
      <c r="I4">
        <f>12</f>
        <v>12</v>
      </c>
      <c r="J4" t="s">
        <v>8</v>
      </c>
    </row>
    <row r="5" spans="1:10" x14ac:dyDescent="0.35">
      <c r="A5" s="1" t="s">
        <v>12</v>
      </c>
      <c r="B5" s="1">
        <v>1</v>
      </c>
      <c r="D5" t="s">
        <v>13</v>
      </c>
      <c r="H5" t="s">
        <v>14</v>
      </c>
      <c r="I5">
        <f>2</f>
        <v>2</v>
      </c>
    </row>
    <row r="6" spans="1:10" x14ac:dyDescent="0.35">
      <c r="A6" s="1" t="s">
        <v>15</v>
      </c>
      <c r="B6" s="1">
        <v>1.1499999999999999</v>
      </c>
      <c r="D6" t="s">
        <v>16</v>
      </c>
      <c r="H6" t="s">
        <v>17</v>
      </c>
    </row>
    <row r="7" spans="1:10" x14ac:dyDescent="0.35">
      <c r="H7" t="s">
        <v>18</v>
      </c>
      <c r="I7">
        <f>1.5</f>
        <v>1.5</v>
      </c>
      <c r="J7" t="s">
        <v>8</v>
      </c>
    </row>
    <row r="8" spans="1:10" x14ac:dyDescent="0.35">
      <c r="A8" t="s">
        <v>19</v>
      </c>
      <c r="B8">
        <f>B3*B4*B5*B6*B2</f>
        <v>49.68</v>
      </c>
      <c r="C8" t="s">
        <v>2</v>
      </c>
      <c r="H8" t="s">
        <v>20</v>
      </c>
      <c r="I8">
        <v>0.45</v>
      </c>
      <c r="J8" t="s">
        <v>8</v>
      </c>
    </row>
    <row r="9" spans="1:10" x14ac:dyDescent="0.35">
      <c r="A9" t="s">
        <v>21</v>
      </c>
      <c r="B9">
        <f>0.6*B8*B8</f>
        <v>1480.8614399999999</v>
      </c>
      <c r="C9" t="s">
        <v>22</v>
      </c>
    </row>
    <row r="11" spans="1:10" x14ac:dyDescent="0.35">
      <c r="A11" t="s">
        <v>23</v>
      </c>
      <c r="B11">
        <f>1</f>
        <v>1</v>
      </c>
      <c r="D11" t="s">
        <v>24</v>
      </c>
    </row>
    <row r="12" spans="1:10" x14ac:dyDescent="0.35">
      <c r="A12" t="s">
        <v>25</v>
      </c>
      <c r="B12">
        <v>0.8</v>
      </c>
      <c r="D12" t="s">
        <v>26</v>
      </c>
    </row>
    <row r="13" spans="1:10" x14ac:dyDescent="0.35">
      <c r="A13" t="s">
        <v>27</v>
      </c>
      <c r="B13">
        <f>1</f>
        <v>1</v>
      </c>
    </row>
    <row r="15" spans="1:10" x14ac:dyDescent="0.35">
      <c r="A15" s="1" t="s">
        <v>28</v>
      </c>
      <c r="B15" s="1">
        <f>B11*B12*B13*B9</f>
        <v>1184.6891519999999</v>
      </c>
      <c r="D15" t="s">
        <v>29</v>
      </c>
      <c r="E15">
        <f>0.7*B9</f>
        <v>1036.6030079999998</v>
      </c>
    </row>
    <row r="16" spans="1:10" x14ac:dyDescent="0.35">
      <c r="A16" s="1" t="s">
        <v>30</v>
      </c>
      <c r="B16" s="25">
        <f>IF(B15&gt;E15,B15,E15)</f>
        <v>1184.6891519999999</v>
      </c>
    </row>
    <row r="18" spans="1:11" x14ac:dyDescent="0.35">
      <c r="A18" t="s">
        <v>31</v>
      </c>
      <c r="B18">
        <f>ATAN((I7-I8)/(I3/2))*180/PI()</f>
        <v>7.9696103943213599</v>
      </c>
    </row>
    <row r="19" spans="1:11" x14ac:dyDescent="0.35">
      <c r="A19" t="s">
        <v>32</v>
      </c>
      <c r="B19">
        <f>(I4+I8)/I3</f>
        <v>0.83</v>
      </c>
      <c r="D19" s="19" t="str">
        <f>IF(AND(B19&gt;=0.25,B19&lt;=1), "Yes", "No")</f>
        <v>Yes</v>
      </c>
    </row>
    <row r="20" spans="1:11" x14ac:dyDescent="0.35">
      <c r="A20" t="s">
        <v>33</v>
      </c>
      <c r="B20">
        <f>I5*I4/(I4+I8)</f>
        <v>1.9277108433734942</v>
      </c>
      <c r="D20" s="5" t="str">
        <f>IF(AND(B20&gt;=1,B20&lt;=3), "Yes", "No")</f>
        <v>Yes</v>
      </c>
    </row>
    <row r="21" spans="1:11" x14ac:dyDescent="0.35">
      <c r="A21" s="6" t="s">
        <v>34</v>
      </c>
    </row>
    <row r="22" spans="1:11" x14ac:dyDescent="0.35">
      <c r="A22" s="6"/>
    </row>
    <row r="23" spans="1:11" x14ac:dyDescent="0.35">
      <c r="A23" t="s">
        <v>35</v>
      </c>
      <c r="H23" s="8" t="s">
        <v>31</v>
      </c>
      <c r="I23" s="8" t="s">
        <v>36</v>
      </c>
      <c r="J23" s="8" t="s">
        <v>37</v>
      </c>
      <c r="K23" s="8" t="s">
        <v>38</v>
      </c>
    </row>
    <row r="24" spans="1:11" x14ac:dyDescent="0.35">
      <c r="A24" s="8"/>
      <c r="B24" s="8" t="s">
        <v>37</v>
      </c>
      <c r="C24" s="8" t="s">
        <v>38</v>
      </c>
      <c r="H24" s="8">
        <f>5</f>
        <v>5</v>
      </c>
      <c r="I24" s="7" t="s">
        <v>39</v>
      </c>
      <c r="J24" s="8">
        <f>0.3</f>
        <v>0.3</v>
      </c>
      <c r="K24" s="8">
        <f>0.3</f>
        <v>0.3</v>
      </c>
    </row>
    <row r="25" spans="1:11" x14ac:dyDescent="0.35">
      <c r="A25" s="7" t="s">
        <v>39</v>
      </c>
      <c r="B25" s="8">
        <f xml:space="preserve"> ((B18-H24)/(H26-H24)*(J26-J24)) + J24</f>
        <v>0.35939220788642723</v>
      </c>
      <c r="C25" s="8">
        <f xml:space="preserve"> ((B18-H24)/(H26-H24)*(K26-K24)) + K24</f>
        <v>0.35939220788642723</v>
      </c>
      <c r="H25" s="8">
        <f>5</f>
        <v>5</v>
      </c>
      <c r="I25" s="8" t="s">
        <v>40</v>
      </c>
      <c r="J25" s="8">
        <f>-0.6</f>
        <v>-0.6</v>
      </c>
      <c r="K25" s="8">
        <f>-0.9</f>
        <v>-0.9</v>
      </c>
    </row>
    <row r="26" spans="1:11" x14ac:dyDescent="0.35">
      <c r="A26" s="8" t="s">
        <v>40</v>
      </c>
      <c r="B26" s="8">
        <f xml:space="preserve">  ((B18-H25)/(H27-H25)*(J27-J25))+J25</f>
        <v>-0.65939220788642716</v>
      </c>
      <c r="C26" s="8">
        <f xml:space="preserve"> ((B18-H25)/(H27-H25)*(K27-K25))+K25</f>
        <v>-1.0187844157728545</v>
      </c>
      <c r="H26" s="8">
        <f>10</f>
        <v>10</v>
      </c>
      <c r="I26" s="7" t="s">
        <v>39</v>
      </c>
      <c r="J26" s="8">
        <v>0.4</v>
      </c>
      <c r="K26" s="8">
        <v>0.4</v>
      </c>
    </row>
    <row r="27" spans="1:11" x14ac:dyDescent="0.35">
      <c r="H27" s="8">
        <f>10</f>
        <v>10</v>
      </c>
      <c r="I27" s="8" t="s">
        <v>40</v>
      </c>
      <c r="J27" s="8">
        <f>-0.7</f>
        <v>-0.7</v>
      </c>
      <c r="K27" s="8">
        <f>-1.1</f>
        <v>-1.1000000000000001</v>
      </c>
    </row>
    <row r="28" spans="1:11" x14ac:dyDescent="0.35">
      <c r="B28" t="s">
        <v>37</v>
      </c>
      <c r="E28" t="s">
        <v>38</v>
      </c>
    </row>
    <row r="29" spans="1:11" x14ac:dyDescent="0.35">
      <c r="A29" s="9"/>
      <c r="B29" s="13" t="s">
        <v>41</v>
      </c>
      <c r="C29" s="18" t="s">
        <v>42</v>
      </c>
      <c r="D29" s="9"/>
      <c r="E29" s="13" t="s">
        <v>41</v>
      </c>
      <c r="F29" s="14" t="s">
        <v>42</v>
      </c>
    </row>
    <row r="30" spans="1:11" x14ac:dyDescent="0.35">
      <c r="A30" s="15" t="s">
        <v>43</v>
      </c>
      <c r="B30">
        <f>B25</f>
        <v>0.35939220788642723</v>
      </c>
      <c r="C30">
        <f>B25</f>
        <v>0.35939220788642723</v>
      </c>
      <c r="D30" s="15" t="s">
        <v>44</v>
      </c>
      <c r="E30">
        <f>C25</f>
        <v>0.35939220788642723</v>
      </c>
      <c r="F30" s="10">
        <f>C25</f>
        <v>0.35939220788642723</v>
      </c>
    </row>
    <row r="31" spans="1:11" x14ac:dyDescent="0.35">
      <c r="A31" s="16" t="s">
        <v>45</v>
      </c>
      <c r="B31">
        <f>B26</f>
        <v>-0.65939220788642716</v>
      </c>
      <c r="C31">
        <f>B26</f>
        <v>-0.65939220788642716</v>
      </c>
      <c r="D31" s="16" t="s">
        <v>46</v>
      </c>
      <c r="E31">
        <f>C26</f>
        <v>-1.0187844157728545</v>
      </c>
      <c r="F31" s="10">
        <f>C26</f>
        <v>-1.0187844157728545</v>
      </c>
    </row>
    <row r="32" spans="1:11" x14ac:dyDescent="0.35">
      <c r="A32" s="17" t="s">
        <v>47</v>
      </c>
      <c r="B32" s="11">
        <f>B26</f>
        <v>-0.65939220788642716</v>
      </c>
      <c r="C32" s="11">
        <f>B25</f>
        <v>0.35939220788642723</v>
      </c>
      <c r="D32" s="17" t="s">
        <v>48</v>
      </c>
      <c r="E32" s="11">
        <f>C26</f>
        <v>-1.0187844157728545</v>
      </c>
      <c r="F32" s="12">
        <f>C25</f>
        <v>0.35939220788642723</v>
      </c>
    </row>
    <row r="34" spans="1:8" x14ac:dyDescent="0.35">
      <c r="A34" t="s">
        <v>49</v>
      </c>
    </row>
    <row r="35" spans="1:8" x14ac:dyDescent="0.35">
      <c r="A35" t="str">
        <f>IF(AND(ABS(B30)&gt;=ABS(E30),ABS(C30)&gt;=ABS(F30)), A30, D30)</f>
        <v>Case 1</v>
      </c>
    </row>
    <row r="36" spans="1:8" x14ac:dyDescent="0.35">
      <c r="A36" t="str">
        <f t="shared" ref="A36:A37" si="0">IF(AND(ABS(B31)&gt;=ABS(E31),ABS(C31)&gt;=ABS(F31)), A31, D31)</f>
        <v>Case 4</v>
      </c>
    </row>
    <row r="37" spans="1:8" x14ac:dyDescent="0.35">
      <c r="A37" t="str">
        <f t="shared" si="0"/>
        <v>Case 6</v>
      </c>
    </row>
    <row r="39" spans="1:8" x14ac:dyDescent="0.35">
      <c r="A39" t="s">
        <v>50</v>
      </c>
      <c r="B39">
        <v>1.3</v>
      </c>
      <c r="D39" t="s">
        <v>51</v>
      </c>
    </row>
    <row r="41" spans="1:8" x14ac:dyDescent="0.35">
      <c r="A41" t="s">
        <v>52</v>
      </c>
    </row>
    <row r="42" spans="1:8" x14ac:dyDescent="0.35">
      <c r="A42" s="8"/>
      <c r="B42" s="8" t="s">
        <v>41</v>
      </c>
      <c r="C42" s="8" t="s">
        <v>42</v>
      </c>
      <c r="F42" t="s">
        <v>53</v>
      </c>
      <c r="G42" s="5">
        <f>7.57*24</f>
        <v>181.68</v>
      </c>
      <c r="H42" t="s">
        <v>54</v>
      </c>
    </row>
    <row r="43" spans="1:8" x14ac:dyDescent="0.35">
      <c r="A43" s="8" t="str">
        <f>A35</f>
        <v>Case 1</v>
      </c>
      <c r="B43" s="8">
        <f>IF($A30=$A43,($B$16*$G$42*B30),($B$16*$G$42*E30))</f>
        <v>77353.539323342178</v>
      </c>
      <c r="C43" s="8">
        <f>IF($A30=$A43,($B$16*$G$42*C30),($B$16*$G$42*F30))</f>
        <v>77353.539323342178</v>
      </c>
      <c r="D43" t="s">
        <v>55</v>
      </c>
    </row>
    <row r="44" spans="1:8" x14ac:dyDescent="0.35">
      <c r="A44" s="8" t="str">
        <f>A36</f>
        <v>Case 4</v>
      </c>
      <c r="B44" s="8">
        <f t="shared" ref="B44:C44" si="1">IF($A31=$A44,($B$16*$G$42*B31),($B$16*$G$42*E31))</f>
        <v>-219277.37618729236</v>
      </c>
      <c r="C44" s="8">
        <f t="shared" si="1"/>
        <v>-219277.37618729236</v>
      </c>
      <c r="D44" t="s">
        <v>55</v>
      </c>
    </row>
    <row r="45" spans="1:8" x14ac:dyDescent="0.35">
      <c r="A45" s="8" t="str">
        <f>A37</f>
        <v>Case 6</v>
      </c>
      <c r="B45" s="8">
        <f t="shared" ref="B45:C45" si="2">IF($A32=$A45,($B$16*$G$42*B32),($B$16*$G$42*E32))</f>
        <v>-219277.37618729236</v>
      </c>
      <c r="C45" s="8">
        <f t="shared" si="2"/>
        <v>77353.539323342178</v>
      </c>
      <c r="D45" t="s">
        <v>55</v>
      </c>
    </row>
    <row r="47" spans="1:8" x14ac:dyDescent="0.35">
      <c r="A47" s="25" t="s">
        <v>56</v>
      </c>
      <c r="B47" s="25">
        <f>B43/(G42*1000)</f>
        <v>0.42576804999637924</v>
      </c>
      <c r="C47" s="25" t="s">
        <v>57</v>
      </c>
    </row>
    <row r="48" spans="1:8" x14ac:dyDescent="0.35">
      <c r="A48" s="25" t="s">
        <v>58</v>
      </c>
      <c r="B48" s="25">
        <f>B44/(G42*1000)</f>
        <v>-1.2069428455927584</v>
      </c>
      <c r="C48" s="25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DAF-5B3F-4A91-B4CD-7D0587A51646}">
  <dimension ref="A2:K41"/>
  <sheetViews>
    <sheetView topLeftCell="A3" workbookViewId="0">
      <selection activeCell="C10" sqref="C10"/>
    </sheetView>
  </sheetViews>
  <sheetFormatPr defaultRowHeight="14.5" x14ac:dyDescent="0.35"/>
  <cols>
    <col min="2" max="2" width="10.7265625" customWidth="1"/>
  </cols>
  <sheetData>
    <row r="2" spans="1:11" x14ac:dyDescent="0.35">
      <c r="B2" s="1" t="s">
        <v>359</v>
      </c>
      <c r="C2" s="1"/>
      <c r="D2" s="1">
        <f>D3/1.5</f>
        <v>401.68649123692285</v>
      </c>
      <c r="E2" s="1" t="s">
        <v>103</v>
      </c>
    </row>
    <row r="3" spans="1:11" x14ac:dyDescent="0.35">
      <c r="B3" s="1" t="s">
        <v>360</v>
      </c>
      <c r="C3" s="1"/>
      <c r="D3" s="1">
        <f>'Column (lower)'!B21</f>
        <v>602.52973685538427</v>
      </c>
      <c r="E3" s="1" t="s">
        <v>103</v>
      </c>
    </row>
    <row r="4" spans="1:11" x14ac:dyDescent="0.35">
      <c r="I4" s="9" t="s">
        <v>361</v>
      </c>
      <c r="J4" s="21">
        <v>250</v>
      </c>
      <c r="K4" s="22"/>
    </row>
    <row r="5" spans="1:11" x14ac:dyDescent="0.35">
      <c r="I5" s="23" t="s">
        <v>202</v>
      </c>
      <c r="J5">
        <v>410</v>
      </c>
      <c r="K5" s="10"/>
    </row>
    <row r="6" spans="1:11" x14ac:dyDescent="0.35">
      <c r="A6" s="1" t="s">
        <v>362</v>
      </c>
      <c r="I6" s="23"/>
      <c r="K6" s="10"/>
    </row>
    <row r="7" spans="1:11" x14ac:dyDescent="0.35">
      <c r="I7" s="23" t="s">
        <v>363</v>
      </c>
      <c r="K7" s="10">
        <v>1.1000000000000001</v>
      </c>
    </row>
    <row r="8" spans="1:11" x14ac:dyDescent="0.35">
      <c r="B8" t="s">
        <v>364</v>
      </c>
      <c r="I8" s="24" t="s">
        <v>365</v>
      </c>
      <c r="J8" s="11"/>
      <c r="K8" s="12">
        <v>1.25</v>
      </c>
    </row>
    <row r="9" spans="1:11" x14ac:dyDescent="0.35">
      <c r="B9" t="s">
        <v>292</v>
      </c>
      <c r="C9">
        <f>'Column (lower)'!C13+2*'Column (lower)'!B25</f>
        <v>480</v>
      </c>
    </row>
    <row r="10" spans="1:11" x14ac:dyDescent="0.35">
      <c r="B10" t="s">
        <v>340</v>
      </c>
      <c r="C10">
        <f>'Column (lower)'!B24</f>
        <v>250</v>
      </c>
    </row>
    <row r="11" spans="1:11" x14ac:dyDescent="0.35">
      <c r="B11" t="s">
        <v>293</v>
      </c>
      <c r="C11">
        <f>'Column (lower)'!C15+'Column (lower)'!B25</f>
        <v>32.4</v>
      </c>
    </row>
    <row r="12" spans="1:11" x14ac:dyDescent="0.35">
      <c r="B12" t="s">
        <v>294</v>
      </c>
      <c r="C12">
        <f>'Column (lower)'!C18</f>
        <v>9.4</v>
      </c>
    </row>
    <row r="14" spans="1:11" x14ac:dyDescent="0.35">
      <c r="A14" t="s">
        <v>366</v>
      </c>
      <c r="B14">
        <v>20</v>
      </c>
      <c r="C14" t="s">
        <v>367</v>
      </c>
    </row>
    <row r="16" spans="1:11" x14ac:dyDescent="0.35">
      <c r="A16" t="s">
        <v>368</v>
      </c>
      <c r="C16">
        <f>0.45*B14</f>
        <v>9</v>
      </c>
      <c r="D16" t="s">
        <v>69</v>
      </c>
    </row>
    <row r="17" spans="1:8" x14ac:dyDescent="0.35">
      <c r="A17" t="s">
        <v>369</v>
      </c>
      <c r="C17">
        <f>D3*1000/C16</f>
        <v>66947.748539487147</v>
      </c>
      <c r="D17" t="s">
        <v>370</v>
      </c>
    </row>
    <row r="19" spans="1:8" x14ac:dyDescent="0.35">
      <c r="A19" s="1" t="s">
        <v>371</v>
      </c>
      <c r="B19" s="1"/>
      <c r="C19" s="1">
        <v>500</v>
      </c>
      <c r="D19" s="1" t="s">
        <v>372</v>
      </c>
      <c r="E19" s="1">
        <v>500</v>
      </c>
      <c r="F19" s="1" t="s">
        <v>370</v>
      </c>
    </row>
    <row r="21" spans="1:8" x14ac:dyDescent="0.35">
      <c r="B21" t="s">
        <v>234</v>
      </c>
      <c r="C21">
        <f>C19*E19</f>
        <v>250000</v>
      </c>
      <c r="D21" t="s">
        <v>370</v>
      </c>
      <c r="E21" s="25" t="str">
        <f>IF(C21&gt;C17,"OK","Revise")</f>
        <v>OK</v>
      </c>
    </row>
    <row r="23" spans="1:8" x14ac:dyDescent="0.35">
      <c r="A23" t="s">
        <v>373</v>
      </c>
    </row>
    <row r="24" spans="1:8" x14ac:dyDescent="0.35">
      <c r="B24" t="s">
        <v>374</v>
      </c>
      <c r="C24">
        <f>(C19-C9)/2</f>
        <v>10</v>
      </c>
      <c r="D24" t="s">
        <v>65</v>
      </c>
      <c r="F24" t="s">
        <v>375</v>
      </c>
      <c r="G24">
        <f>MAX(C24,C25)</f>
        <v>125</v>
      </c>
    </row>
    <row r="25" spans="1:8" x14ac:dyDescent="0.35">
      <c r="B25" t="s">
        <v>376</v>
      </c>
      <c r="C25">
        <f>(E19-C10)/2</f>
        <v>125</v>
      </c>
      <c r="D25" t="s">
        <v>65</v>
      </c>
      <c r="F25" t="s">
        <v>110</v>
      </c>
      <c r="G25">
        <f>MIN(C24,C25)</f>
        <v>10</v>
      </c>
    </row>
    <row r="27" spans="1:8" x14ac:dyDescent="0.35">
      <c r="B27" t="s">
        <v>377</v>
      </c>
      <c r="C27">
        <f>D3*1000/C21</f>
        <v>2.4101189474215374</v>
      </c>
      <c r="D27" t="s">
        <v>367</v>
      </c>
    </row>
    <row r="28" spans="1:8" x14ac:dyDescent="0.35">
      <c r="B28" t="s">
        <v>378</v>
      </c>
      <c r="C28">
        <f>SQRT(2.5*C27*((G24*G24)-(0.3*G25*G25))*K7/J4)</f>
        <v>20.333318834745786</v>
      </c>
      <c r="D28" s="20" t="str">
        <f>IF(C28&gt;E28,"&gt;","&lt;")</f>
        <v>&lt;</v>
      </c>
      <c r="E28">
        <f>C11</f>
        <v>32.4</v>
      </c>
      <c r="F28" s="25" t="str">
        <f>IF(D28="&gt;","OK","Provide thickness =tf")</f>
        <v>Provide thickness =tf</v>
      </c>
      <c r="G28" s="5"/>
    </row>
    <row r="30" spans="1:8" x14ac:dyDescent="0.35">
      <c r="A30" t="s">
        <v>379</v>
      </c>
      <c r="B30" s="25">
        <f>C19</f>
        <v>500</v>
      </c>
      <c r="C30" s="25" t="s">
        <v>372</v>
      </c>
      <c r="D30" s="25">
        <f>E19</f>
        <v>500</v>
      </c>
      <c r="E30" s="25" t="s">
        <v>372</v>
      </c>
      <c r="F30" s="25">
        <v>34</v>
      </c>
      <c r="G30" s="1" t="s">
        <v>380</v>
      </c>
      <c r="H30" t="s">
        <v>381</v>
      </c>
    </row>
    <row r="32" spans="1:8" x14ac:dyDescent="0.35">
      <c r="A32" s="1" t="s">
        <v>382</v>
      </c>
    </row>
    <row r="33" spans="2:8" x14ac:dyDescent="0.35">
      <c r="B33" t="s">
        <v>383</v>
      </c>
      <c r="D33">
        <f>(C10+C10-C12-C11+C9)*2</f>
        <v>1876.4</v>
      </c>
      <c r="E33" t="s">
        <v>384</v>
      </c>
    </row>
    <row r="34" spans="2:8" x14ac:dyDescent="0.35">
      <c r="B34" t="s">
        <v>385</v>
      </c>
      <c r="C34">
        <v>6</v>
      </c>
      <c r="D34" t="s">
        <v>65</v>
      </c>
    </row>
    <row r="35" spans="2:8" x14ac:dyDescent="0.35">
      <c r="B35" t="s">
        <v>386</v>
      </c>
      <c r="C35">
        <f>D33-2*(4+2)*2*6</f>
        <v>1732.4</v>
      </c>
    </row>
    <row r="37" spans="2:8" x14ac:dyDescent="0.35">
      <c r="B37" t="s">
        <v>387</v>
      </c>
      <c r="D37">
        <f>0.7*C34*J5/(K8*SQRT(3)*1000)</f>
        <v>0.79535773083562833</v>
      </c>
      <c r="E37" t="s">
        <v>388</v>
      </c>
    </row>
    <row r="38" spans="2:8" x14ac:dyDescent="0.35">
      <c r="B38" t="s">
        <v>389</v>
      </c>
      <c r="D38">
        <f>D3/D37</f>
        <v>757.55815716073721</v>
      </c>
      <c r="E38" t="s">
        <v>65</v>
      </c>
      <c r="F38" s="20" t="str">
        <f>IF(D38&lt;G38,"&lt;","&gt;")</f>
        <v>&lt;</v>
      </c>
      <c r="G38">
        <f>C35</f>
        <v>1732.4</v>
      </c>
      <c r="H38" s="25" t="str">
        <f>IF(F38="&lt;","OK","Revise")</f>
        <v>OK</v>
      </c>
    </row>
    <row r="41" spans="2:8" x14ac:dyDescent="0.35">
      <c r="B41" s="1" t="s">
        <v>390</v>
      </c>
      <c r="C41" s="25">
        <f>C34</f>
        <v>6</v>
      </c>
      <c r="D41" s="1" t="s">
        <v>391</v>
      </c>
      <c r="E41" s="1"/>
      <c r="F41" s="1"/>
      <c r="G4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6FB0-9111-4B4D-B219-558598AE1FB6}">
  <dimension ref="A4:O73"/>
  <sheetViews>
    <sheetView workbookViewId="0">
      <selection activeCell="G73" sqref="G73"/>
    </sheetView>
  </sheetViews>
  <sheetFormatPr defaultRowHeight="14.5" x14ac:dyDescent="0.35"/>
  <cols>
    <col min="3" max="3" width="11.1796875" customWidth="1"/>
    <col min="6" max="6" width="10.26953125" customWidth="1"/>
  </cols>
  <sheetData>
    <row r="4" spans="1:15" x14ac:dyDescent="0.35">
      <c r="A4" s="1" t="s">
        <v>392</v>
      </c>
    </row>
    <row r="5" spans="1:15" x14ac:dyDescent="0.35">
      <c r="B5" s="1">
        <f>'Base Plate'!B30</f>
        <v>500</v>
      </c>
      <c r="C5" s="1" t="s">
        <v>372</v>
      </c>
      <c r="D5" s="1">
        <f>'Base Plate'!D30</f>
        <v>500</v>
      </c>
      <c r="E5" s="1" t="s">
        <v>372</v>
      </c>
      <c r="F5" s="1">
        <f>'Base Plate'!F30</f>
        <v>34</v>
      </c>
      <c r="G5" s="1" t="s">
        <v>380</v>
      </c>
      <c r="K5" s="9" t="s">
        <v>393</v>
      </c>
      <c r="L5" s="21">
        <v>415</v>
      </c>
      <c r="M5" s="21"/>
      <c r="N5" s="21"/>
      <c r="O5" s="22"/>
    </row>
    <row r="6" spans="1:15" x14ac:dyDescent="0.35">
      <c r="B6" t="s">
        <v>359</v>
      </c>
      <c r="C6">
        <f>C7/1.5</f>
        <v>401.68649123692285</v>
      </c>
      <c r="K6" s="23" t="s">
        <v>394</v>
      </c>
      <c r="N6">
        <v>24</v>
      </c>
      <c r="O6" s="10" t="s">
        <v>395</v>
      </c>
    </row>
    <row r="7" spans="1:15" x14ac:dyDescent="0.35">
      <c r="B7" t="s">
        <v>396</v>
      </c>
      <c r="C7">
        <f>'Base Plate'!D3</f>
        <v>602.52973685538427</v>
      </c>
      <c r="D7" t="s">
        <v>103</v>
      </c>
      <c r="K7" s="24" t="s">
        <v>397</v>
      </c>
      <c r="L7" s="11"/>
      <c r="M7" s="11"/>
      <c r="N7" s="11">
        <v>18</v>
      </c>
      <c r="O7" s="12" t="s">
        <v>395</v>
      </c>
    </row>
    <row r="8" spans="1:15" x14ac:dyDescent="0.35">
      <c r="B8" t="s">
        <v>398</v>
      </c>
      <c r="D8">
        <v>300</v>
      </c>
      <c r="E8" t="s">
        <v>399</v>
      </c>
      <c r="F8" t="s">
        <v>400</v>
      </c>
      <c r="G8">
        <v>1.5</v>
      </c>
      <c r="H8" t="s">
        <v>8</v>
      </c>
    </row>
    <row r="12" spans="1:15" x14ac:dyDescent="0.35">
      <c r="A12" t="s">
        <v>401</v>
      </c>
      <c r="B12">
        <f>'Base Plate'!B14</f>
        <v>20</v>
      </c>
    </row>
    <row r="14" spans="1:15" x14ac:dyDescent="0.35">
      <c r="A14" s="1" t="s">
        <v>402</v>
      </c>
    </row>
    <row r="15" spans="1:15" x14ac:dyDescent="0.35">
      <c r="B15" t="s">
        <v>403</v>
      </c>
      <c r="D15">
        <f>C6*1.1/D8</f>
        <v>1.4728504678687173</v>
      </c>
      <c r="E15" t="s">
        <v>54</v>
      </c>
    </row>
    <row r="16" spans="1:15" x14ac:dyDescent="0.35">
      <c r="B16" t="s">
        <v>375</v>
      </c>
      <c r="C16">
        <f>SQRT(D15)</f>
        <v>1.2136105091291511</v>
      </c>
    </row>
    <row r="18" spans="1:8" x14ac:dyDescent="0.35">
      <c r="B18" s="25" t="s">
        <v>379</v>
      </c>
      <c r="C18" s="25">
        <v>1.5</v>
      </c>
      <c r="D18" s="25" t="s">
        <v>372</v>
      </c>
      <c r="E18" s="25">
        <v>1.5</v>
      </c>
      <c r="F18" s="25" t="s">
        <v>54</v>
      </c>
      <c r="G18" t="s">
        <v>404</v>
      </c>
    </row>
    <row r="21" spans="1:8" x14ac:dyDescent="0.35">
      <c r="A21" s="1" t="s">
        <v>405</v>
      </c>
    </row>
    <row r="22" spans="1:8" x14ac:dyDescent="0.35">
      <c r="B22" t="s">
        <v>406</v>
      </c>
      <c r="C22">
        <f>C6*1.5/(C18*E18*1000)</f>
        <v>0.26779099415794855</v>
      </c>
      <c r="D22" t="s">
        <v>69</v>
      </c>
    </row>
    <row r="24" spans="1:8" x14ac:dyDescent="0.35">
      <c r="B24" s="1" t="s">
        <v>407</v>
      </c>
    </row>
    <row r="26" spans="1:8" x14ac:dyDescent="0.35">
      <c r="B26" t="s">
        <v>408</v>
      </c>
      <c r="C26">
        <f>C22*C18*1000</f>
        <v>401.68649123692279</v>
      </c>
      <c r="D26" t="s">
        <v>372</v>
      </c>
      <c r="E26">
        <f>(C18*1000-B5)/2</f>
        <v>500</v>
      </c>
      <c r="F26" t="s">
        <v>409</v>
      </c>
      <c r="G26" t="s">
        <v>113</v>
      </c>
    </row>
    <row r="27" spans="1:8" x14ac:dyDescent="0.35">
      <c r="C27" t="s">
        <v>410</v>
      </c>
      <c r="D27">
        <f>C26*E26</f>
        <v>200843.2456184614</v>
      </c>
      <c r="E27" t="s">
        <v>409</v>
      </c>
      <c r="F27">
        <f>C26</f>
        <v>401.68649123692279</v>
      </c>
      <c r="G27" t="s">
        <v>113</v>
      </c>
      <c r="H27" t="s">
        <v>55</v>
      </c>
    </row>
    <row r="28" spans="1:8" x14ac:dyDescent="0.35">
      <c r="B28" t="s">
        <v>411</v>
      </c>
      <c r="C28" t="s">
        <v>412</v>
      </c>
      <c r="D28">
        <v>0.25</v>
      </c>
      <c r="E28" t="s">
        <v>413</v>
      </c>
      <c r="F28" t="s">
        <v>414</v>
      </c>
      <c r="G28">
        <f>B12</f>
        <v>20</v>
      </c>
    </row>
    <row r="29" spans="1:8" x14ac:dyDescent="0.35">
      <c r="D29" t="s">
        <v>415</v>
      </c>
      <c r="E29">
        <v>0.36</v>
      </c>
      <c r="F29" t="s">
        <v>367</v>
      </c>
      <c r="H29" t="s">
        <v>416</v>
      </c>
    </row>
    <row r="31" spans="1:8" x14ac:dyDescent="0.35">
      <c r="B31" t="s">
        <v>417</v>
      </c>
      <c r="C31">
        <f>E29*C18*1000</f>
        <v>540</v>
      </c>
      <c r="D31" t="s">
        <v>113</v>
      </c>
    </row>
    <row r="32" spans="1:8" x14ac:dyDescent="0.35">
      <c r="B32" t="s">
        <v>418</v>
      </c>
      <c r="C32">
        <f>D27/(F27+C31)</f>
        <v>213.28037248856575</v>
      </c>
      <c r="D32" t="s">
        <v>65</v>
      </c>
    </row>
    <row r="33" spans="2:5" x14ac:dyDescent="0.35">
      <c r="B33" s="1" t="s">
        <v>419</v>
      </c>
      <c r="C33" s="25">
        <v>215</v>
      </c>
      <c r="D33" s="1" t="s">
        <v>65</v>
      </c>
    </row>
    <row r="34" spans="2:5" x14ac:dyDescent="0.35">
      <c r="B34" s="1"/>
      <c r="C34" s="1"/>
      <c r="D34" s="1"/>
    </row>
    <row r="35" spans="2:5" x14ac:dyDescent="0.35">
      <c r="B35" s="1" t="s">
        <v>420</v>
      </c>
    </row>
    <row r="37" spans="2:5" x14ac:dyDescent="0.35">
      <c r="B37" t="s">
        <v>421</v>
      </c>
      <c r="C37">
        <f>C22*((C18*C18*1000000)-((B5+C33)*(C33+B5)))</f>
        <v>465628.28586698696</v>
      </c>
      <c r="D37" t="s">
        <v>55</v>
      </c>
    </row>
    <row r="38" spans="2:5" x14ac:dyDescent="0.35">
      <c r="B38" t="s">
        <v>422</v>
      </c>
      <c r="D38" t="s">
        <v>423</v>
      </c>
      <c r="E38">
        <v>1</v>
      </c>
    </row>
    <row r="39" spans="2:5" x14ac:dyDescent="0.35">
      <c r="D39" t="s">
        <v>415</v>
      </c>
      <c r="E39">
        <f>0.25*SQRT(B12)</f>
        <v>1.1180339887498949</v>
      </c>
    </row>
    <row r="41" spans="2:5" x14ac:dyDescent="0.35">
      <c r="B41" t="s">
        <v>424</v>
      </c>
      <c r="C41">
        <f>E38*E39*4*C33*(B5+C33)</f>
        <v>687479.09968231036</v>
      </c>
      <c r="E41" t="str">
        <f>IF(C37&lt;=C41,"OK","Revise")</f>
        <v>OK</v>
      </c>
    </row>
    <row r="43" spans="2:5" x14ac:dyDescent="0.35">
      <c r="B43" t="s">
        <v>425</v>
      </c>
      <c r="D43">
        <v>75</v>
      </c>
      <c r="E43" t="s">
        <v>65</v>
      </c>
    </row>
    <row r="44" spans="2:5" x14ac:dyDescent="0.35">
      <c r="B44" t="s">
        <v>426</v>
      </c>
      <c r="D44">
        <v>8</v>
      </c>
      <c r="E44" t="s">
        <v>65</v>
      </c>
    </row>
    <row r="45" spans="2:5" x14ac:dyDescent="0.35">
      <c r="B45" t="s">
        <v>109</v>
      </c>
      <c r="C45">
        <f>C33+D43+D44</f>
        <v>298</v>
      </c>
      <c r="D45" t="s">
        <v>65</v>
      </c>
    </row>
    <row r="47" spans="2:5" x14ac:dyDescent="0.35">
      <c r="B47" s="1" t="s">
        <v>427</v>
      </c>
      <c r="C47" s="25">
        <v>300</v>
      </c>
      <c r="D47" s="1" t="s">
        <v>65</v>
      </c>
    </row>
    <row r="48" spans="2:5" x14ac:dyDescent="0.35">
      <c r="B48" s="1" t="s">
        <v>113</v>
      </c>
      <c r="C48" s="1">
        <f>C47-D43-D44</f>
        <v>217</v>
      </c>
      <c r="D48" s="1" t="s">
        <v>65</v>
      </c>
    </row>
    <row r="51" spans="1:6" x14ac:dyDescent="0.35">
      <c r="B51" s="1" t="s">
        <v>428</v>
      </c>
      <c r="C51" s="1">
        <f>C6/(C18*E18)+N6*C47/1000+N7*C47/1000</f>
        <v>191.12732943863236</v>
      </c>
      <c r="D51" s="28" t="str">
        <f>IF(C51&lt;E51,"&lt;","&gt;")</f>
        <v>&lt;</v>
      </c>
      <c r="E51" s="1">
        <f>D8</f>
        <v>300</v>
      </c>
      <c r="F51" s="25" t="str">
        <f>IF(D51="&lt;","OK","Revise")</f>
        <v>OK</v>
      </c>
    </row>
    <row r="53" spans="1:6" x14ac:dyDescent="0.35">
      <c r="A53" s="1" t="s">
        <v>429</v>
      </c>
    </row>
    <row r="55" spans="1:6" x14ac:dyDescent="0.35">
      <c r="B55" t="s">
        <v>430</v>
      </c>
      <c r="C55">
        <f>C22*C18*1000*((C18*1000-B5)/2)*((C18*1000-B5)/2)/2</f>
        <v>50210811.40461535</v>
      </c>
      <c r="D55" t="s">
        <v>184</v>
      </c>
    </row>
    <row r="56" spans="1:6" x14ac:dyDescent="0.35">
      <c r="B56" t="s">
        <v>431</v>
      </c>
      <c r="C56">
        <f>C55/(C18*1000*C48*C48)</f>
        <v>0.71086398670057904</v>
      </c>
      <c r="D56" t="s">
        <v>367</v>
      </c>
    </row>
    <row r="57" spans="1:6" x14ac:dyDescent="0.35">
      <c r="B57" t="s">
        <v>432</v>
      </c>
      <c r="C57">
        <f>B12*100*(1-SQRT(1-(4.598*C56/B12)))/(2*L5)</f>
        <v>0.2056787909356724</v>
      </c>
      <c r="E57" t="s">
        <v>432</v>
      </c>
    </row>
    <row r="59" spans="1:6" x14ac:dyDescent="0.35">
      <c r="B59" t="s">
        <v>433</v>
      </c>
      <c r="C59">
        <f>0.0012*C18*1000*C47</f>
        <v>540</v>
      </c>
      <c r="D59" t="s">
        <v>370</v>
      </c>
    </row>
    <row r="60" spans="1:6" x14ac:dyDescent="0.35">
      <c r="B60" t="s">
        <v>434</v>
      </c>
      <c r="C60">
        <f>100*C59/(C48*1000*C18)</f>
        <v>0.16589861751152074</v>
      </c>
      <c r="D60" s="20" t="str">
        <f>IF(C60&lt;E60,"&lt;","&gt;")</f>
        <v>&lt;</v>
      </c>
      <c r="E60">
        <f>C57</f>
        <v>0.2056787909356724</v>
      </c>
    </row>
    <row r="62" spans="1:6" x14ac:dyDescent="0.35">
      <c r="B62" t="s">
        <v>379</v>
      </c>
      <c r="C62">
        <f>MAX(C60,E60,D28)</f>
        <v>0.25</v>
      </c>
    </row>
    <row r="64" spans="1:6" x14ac:dyDescent="0.35">
      <c r="B64" t="s">
        <v>435</v>
      </c>
      <c r="C64">
        <f>C62*C18*1000*C48/100</f>
        <v>813.75</v>
      </c>
    </row>
    <row r="65" spans="2:7" x14ac:dyDescent="0.35">
      <c r="B65" t="s">
        <v>436</v>
      </c>
      <c r="C65">
        <f>PI()*D44*D44/4</f>
        <v>50.26548245743669</v>
      </c>
    </row>
    <row r="66" spans="2:7" x14ac:dyDescent="0.35">
      <c r="B66" t="s">
        <v>437</v>
      </c>
      <c r="C66">
        <f>C64/C65</f>
        <v>16.189041867628728</v>
      </c>
    </row>
    <row r="68" spans="2:7" x14ac:dyDescent="0.35">
      <c r="B68" s="1" t="s">
        <v>379</v>
      </c>
      <c r="C68" s="1">
        <v>17</v>
      </c>
      <c r="D68" s="1" t="s">
        <v>438</v>
      </c>
      <c r="E68" s="1">
        <f>D44</f>
        <v>8</v>
      </c>
      <c r="F68" s="1" t="s">
        <v>439</v>
      </c>
    </row>
    <row r="69" spans="2:7" x14ac:dyDescent="0.35">
      <c r="B69" s="1" t="s">
        <v>440</v>
      </c>
      <c r="C69" s="1">
        <f>(C18*1000-(D43*2)-D44)/(C68-1)</f>
        <v>83.875</v>
      </c>
      <c r="D69" s="1" t="s">
        <v>65</v>
      </c>
      <c r="E69" s="1"/>
      <c r="F69" s="1"/>
    </row>
    <row r="70" spans="2:7" x14ac:dyDescent="0.35">
      <c r="B70" s="1" t="s">
        <v>441</v>
      </c>
      <c r="C70" s="1"/>
      <c r="D70" s="1">
        <f>C69</f>
        <v>83.875</v>
      </c>
      <c r="E70" s="1" t="s">
        <v>65</v>
      </c>
      <c r="F70" s="1"/>
    </row>
    <row r="72" spans="2:7" x14ac:dyDescent="0.35">
      <c r="B72" t="s">
        <v>442</v>
      </c>
      <c r="D72">
        <f>47*E68</f>
        <v>376</v>
      </c>
      <c r="E72" t="s">
        <v>65</v>
      </c>
    </row>
    <row r="73" spans="2:7" x14ac:dyDescent="0.35">
      <c r="B73" s="1" t="s">
        <v>443</v>
      </c>
      <c r="C73" s="1"/>
      <c r="D73" s="1">
        <f>(C18*1000-B5)/2-D43</f>
        <v>425</v>
      </c>
      <c r="E73" s="28" t="str">
        <f>IF(D73&gt;F73,"&gt;","&lt;")</f>
        <v>&gt;</v>
      </c>
      <c r="F73" s="1">
        <f>D72</f>
        <v>376</v>
      </c>
      <c r="G73" s="25" t="str">
        <f>IF(E73="&gt;","OK","Provide development length")</f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A9D5-B3C2-465D-8217-6402450DDA83}">
  <dimension ref="A1:M112"/>
  <sheetViews>
    <sheetView topLeftCell="A87" workbookViewId="0">
      <selection activeCell="C104" sqref="C104"/>
    </sheetView>
  </sheetViews>
  <sheetFormatPr defaultRowHeight="14.5" x14ac:dyDescent="0.35"/>
  <cols>
    <col min="1" max="1" width="31.26953125" bestFit="1" customWidth="1"/>
    <col min="2" max="2" width="24.1796875" customWidth="1"/>
    <col min="3" max="3" width="35.1796875" bestFit="1" customWidth="1"/>
    <col min="4" max="4" width="18.453125" bestFit="1" customWidth="1"/>
    <col min="5" max="5" width="11.81640625" bestFit="1" customWidth="1"/>
    <col min="6" max="6" width="25.453125" customWidth="1"/>
    <col min="8" max="8" width="21.453125" bestFit="1" customWidth="1"/>
    <col min="9" max="10" width="9.1796875" bestFit="1" customWidth="1"/>
    <col min="12" max="12" width="17.26953125" bestFit="1" customWidth="1"/>
    <col min="13" max="13" width="36.54296875" bestFit="1" customWidth="1"/>
  </cols>
  <sheetData>
    <row r="1" spans="1:10" x14ac:dyDescent="0.35">
      <c r="A1" s="1" t="s">
        <v>59</v>
      </c>
    </row>
    <row r="2" spans="1:10" x14ac:dyDescent="0.35">
      <c r="A2" s="3" t="s">
        <v>60</v>
      </c>
      <c r="B2">
        <v>12</v>
      </c>
      <c r="C2" t="s">
        <v>8</v>
      </c>
      <c r="H2" s="9" t="s">
        <v>61</v>
      </c>
      <c r="I2" s="21" t="s">
        <v>62</v>
      </c>
      <c r="J2" s="22"/>
    </row>
    <row r="3" spans="1:10" x14ac:dyDescent="0.35">
      <c r="A3" s="3" t="s">
        <v>63</v>
      </c>
      <c r="B3">
        <v>2.15</v>
      </c>
      <c r="C3" t="s">
        <v>8</v>
      </c>
      <c r="H3" s="23" t="s">
        <v>64</v>
      </c>
      <c r="I3">
        <f>C37</f>
        <v>13.5</v>
      </c>
      <c r="J3" s="10" t="s">
        <v>65</v>
      </c>
    </row>
    <row r="4" spans="1:10" x14ac:dyDescent="0.35">
      <c r="A4" s="3" t="s">
        <v>66</v>
      </c>
      <c r="B4">
        <v>8</v>
      </c>
      <c r="C4" t="s">
        <v>67</v>
      </c>
      <c r="H4" s="23" t="s">
        <v>68</v>
      </c>
      <c r="I4">
        <v>250</v>
      </c>
      <c r="J4" s="10" t="s">
        <v>69</v>
      </c>
    </row>
    <row r="5" spans="1:10" x14ac:dyDescent="0.35">
      <c r="H5" s="23" t="s">
        <v>70</v>
      </c>
      <c r="I5">
        <v>410</v>
      </c>
      <c r="J5" s="10" t="s">
        <v>69</v>
      </c>
    </row>
    <row r="6" spans="1:10" x14ac:dyDescent="0.35">
      <c r="A6" s="1" t="s">
        <v>71</v>
      </c>
      <c r="H6" s="23" t="s">
        <v>72</v>
      </c>
      <c r="I6">
        <v>1.1000000000000001</v>
      </c>
      <c r="J6" s="10"/>
    </row>
    <row r="7" spans="1:10" x14ac:dyDescent="0.35">
      <c r="A7" s="3" t="s">
        <v>73</v>
      </c>
      <c r="B7">
        <v>0.2</v>
      </c>
      <c r="C7" t="s">
        <v>57</v>
      </c>
      <c r="H7" s="24" t="s">
        <v>74</v>
      </c>
      <c r="I7" s="11">
        <f>2*10^5</f>
        <v>200000</v>
      </c>
      <c r="J7" s="12" t="s">
        <v>69</v>
      </c>
    </row>
    <row r="8" spans="1:10" x14ac:dyDescent="0.35">
      <c r="A8" s="3" t="s">
        <v>75</v>
      </c>
      <c r="B8">
        <v>0.75</v>
      </c>
      <c r="C8" t="s">
        <v>57</v>
      </c>
      <c r="D8" t="s">
        <v>76</v>
      </c>
    </row>
    <row r="9" spans="1:10" x14ac:dyDescent="0.35">
      <c r="A9" s="3" t="s">
        <v>77</v>
      </c>
      <c r="B9">
        <f>'Wind Load'!B47</f>
        <v>0.42576804999637924</v>
      </c>
      <c r="C9" t="s">
        <v>57</v>
      </c>
    </row>
    <row r="10" spans="1:10" x14ac:dyDescent="0.35">
      <c r="A10" s="3" t="s">
        <v>78</v>
      </c>
      <c r="B10">
        <f>B7*B$3</f>
        <v>0.43</v>
      </c>
      <c r="C10" t="s">
        <v>79</v>
      </c>
      <c r="E10" s="8"/>
    </row>
    <row r="11" spans="1:10" x14ac:dyDescent="0.35">
      <c r="A11" s="3" t="s">
        <v>80</v>
      </c>
      <c r="B11">
        <f>B8*B$3</f>
        <v>1.6124999999999998</v>
      </c>
      <c r="C11" t="s">
        <v>79</v>
      </c>
    </row>
    <row r="12" spans="1:10" x14ac:dyDescent="0.35">
      <c r="A12" s="3" t="s">
        <v>81</v>
      </c>
      <c r="B12">
        <f>B9*B$3</f>
        <v>0.91540130749221538</v>
      </c>
      <c r="C12" t="s">
        <v>79</v>
      </c>
    </row>
    <row r="14" spans="1:10" x14ac:dyDescent="0.35">
      <c r="A14" s="1" t="s">
        <v>82</v>
      </c>
    </row>
    <row r="15" spans="1:10" x14ac:dyDescent="0.35">
      <c r="A15" s="37" t="s">
        <v>83</v>
      </c>
      <c r="B15" s="3" t="s">
        <v>84</v>
      </c>
      <c r="C15">
        <f>B10*COS(B$4*PI()/180)</f>
        <v>0.42581526955887528</v>
      </c>
      <c r="D15" t="s">
        <v>79</v>
      </c>
    </row>
    <row r="16" spans="1:10" ht="14.5" customHeight="1" x14ac:dyDescent="0.35">
      <c r="A16" s="37"/>
      <c r="B16" s="3" t="s">
        <v>85</v>
      </c>
      <c r="C16">
        <f>B11*COS(B$4*PI()/180)</f>
        <v>1.596807260845782</v>
      </c>
      <c r="D16" t="s">
        <v>79</v>
      </c>
    </row>
    <row r="17" spans="1:7" ht="14.5" customHeight="1" x14ac:dyDescent="0.35">
      <c r="A17" s="37"/>
      <c r="B17" s="3" t="s">
        <v>86</v>
      </c>
      <c r="C17">
        <f>B12</f>
        <v>0.91540130749221538</v>
      </c>
      <c r="D17" t="s">
        <v>79</v>
      </c>
    </row>
    <row r="18" spans="1:7" x14ac:dyDescent="0.35">
      <c r="A18" s="37" t="s">
        <v>87</v>
      </c>
      <c r="B18" s="3" t="s">
        <v>88</v>
      </c>
      <c r="C18">
        <f>B10*SIN(B$4*PI()/180)</f>
        <v>5.9844433412828135E-2</v>
      </c>
      <c r="D18" t="s">
        <v>79</v>
      </c>
    </row>
    <row r="19" spans="1:7" ht="14.5" customHeight="1" x14ac:dyDescent="0.35">
      <c r="A19" s="37"/>
      <c r="B19" s="3" t="s">
        <v>89</v>
      </c>
      <c r="C19">
        <f>B11*SIN(B$4*PI()/180)</f>
        <v>0.22441662529810549</v>
      </c>
      <c r="D19" t="s">
        <v>79</v>
      </c>
    </row>
    <row r="20" spans="1:7" ht="14.5" customHeight="1" x14ac:dyDescent="0.35">
      <c r="A20" s="37"/>
      <c r="B20" s="3" t="s">
        <v>90</v>
      </c>
      <c r="C20">
        <v>0</v>
      </c>
      <c r="D20" t="s">
        <v>79</v>
      </c>
    </row>
    <row r="21" spans="1:7" x14ac:dyDescent="0.35">
      <c r="B21" s="3"/>
    </row>
    <row r="22" spans="1:7" x14ac:dyDescent="0.35">
      <c r="A22" s="1" t="s">
        <v>91</v>
      </c>
      <c r="B22" s="3"/>
    </row>
    <row r="23" spans="1:7" ht="14.5" customHeight="1" x14ac:dyDescent="0.35">
      <c r="A23" s="37" t="s">
        <v>92</v>
      </c>
      <c r="B23" s="3" t="s">
        <v>93</v>
      </c>
      <c r="C23">
        <f>1.2*(C15+C16+C17)</f>
        <v>3.5256286054762471</v>
      </c>
      <c r="D23" t="s">
        <v>79</v>
      </c>
      <c r="E23" s="1" t="s">
        <v>94</v>
      </c>
    </row>
    <row r="24" spans="1:7" ht="14.5" customHeight="1" x14ac:dyDescent="0.35">
      <c r="A24" s="37"/>
      <c r="B24" s="3" t="s">
        <v>95</v>
      </c>
      <c r="C24">
        <f>1.5*(C15+C16)</f>
        <v>3.0339337956069858</v>
      </c>
      <c r="D24" t="s">
        <v>79</v>
      </c>
      <c r="E24" t="s">
        <v>96</v>
      </c>
      <c r="F24">
        <f>MAX(C23,C24)</f>
        <v>3.5256286054762471</v>
      </c>
      <c r="G24" t="s">
        <v>79</v>
      </c>
    </row>
    <row r="25" spans="1:7" x14ac:dyDescent="0.35">
      <c r="A25" s="2" t="s">
        <v>97</v>
      </c>
      <c r="B25" s="3" t="s">
        <v>95</v>
      </c>
      <c r="C25">
        <f>1.5*(C18+C19)</f>
        <v>0.42639158806640048</v>
      </c>
      <c r="D25" t="s">
        <v>79</v>
      </c>
      <c r="E25" t="s">
        <v>98</v>
      </c>
      <c r="F25">
        <f>C25</f>
        <v>0.42639158806640048</v>
      </c>
      <c r="G25" t="s">
        <v>79</v>
      </c>
    </row>
    <row r="26" spans="1:7" x14ac:dyDescent="0.35">
      <c r="B26" s="3"/>
    </row>
    <row r="27" spans="1:7" x14ac:dyDescent="0.35">
      <c r="B27" s="3" t="s">
        <v>99</v>
      </c>
      <c r="C27">
        <f>F24*B2*B2/8</f>
        <v>63.461314898572454</v>
      </c>
      <c r="D27" t="s">
        <v>100</v>
      </c>
    </row>
    <row r="28" spans="1:7" x14ac:dyDescent="0.35">
      <c r="B28" s="3" t="s">
        <v>101</v>
      </c>
      <c r="C28">
        <f>F25*B2*B2/8</f>
        <v>7.675048585195209</v>
      </c>
      <c r="D28" t="s">
        <v>100</v>
      </c>
    </row>
    <row r="29" spans="1:7" x14ac:dyDescent="0.35">
      <c r="B29" s="3" t="s">
        <v>102</v>
      </c>
      <c r="C29">
        <f>F24*B2/2</f>
        <v>21.153771632857485</v>
      </c>
      <c r="D29" t="s">
        <v>103</v>
      </c>
    </row>
    <row r="30" spans="1:7" x14ac:dyDescent="0.35">
      <c r="B30" s="3" t="s">
        <v>104</v>
      </c>
      <c r="C30">
        <f>F25*B2/2</f>
        <v>2.558349528398403</v>
      </c>
      <c r="D30" t="s">
        <v>103</v>
      </c>
    </row>
    <row r="31" spans="1:7" x14ac:dyDescent="0.35">
      <c r="B31" s="3"/>
    </row>
    <row r="32" spans="1:7" x14ac:dyDescent="0.35">
      <c r="A32" s="1" t="s">
        <v>105</v>
      </c>
      <c r="B32" s="3"/>
    </row>
    <row r="33" spans="1:5" x14ac:dyDescent="0.35">
      <c r="A33" t="s">
        <v>106</v>
      </c>
      <c r="B33" s="3" t="s">
        <v>107</v>
      </c>
    </row>
    <row r="34" spans="1:5" x14ac:dyDescent="0.35">
      <c r="B34" s="3" t="s">
        <v>108</v>
      </c>
      <c r="C34">
        <v>0.42</v>
      </c>
      <c r="D34" t="s">
        <v>79</v>
      </c>
    </row>
    <row r="35" spans="1:5" x14ac:dyDescent="0.35">
      <c r="B35" s="3" t="s">
        <v>109</v>
      </c>
      <c r="C35">
        <v>350</v>
      </c>
      <c r="D35" t="s">
        <v>65</v>
      </c>
    </row>
    <row r="36" spans="1:5" x14ac:dyDescent="0.35">
      <c r="B36" s="3" t="s">
        <v>110</v>
      </c>
      <c r="C36">
        <v>100</v>
      </c>
      <c r="D36" t="s">
        <v>65</v>
      </c>
    </row>
    <row r="37" spans="1:5" x14ac:dyDescent="0.35">
      <c r="B37" s="3" t="s">
        <v>111</v>
      </c>
      <c r="C37">
        <v>13.5</v>
      </c>
      <c r="D37" t="s">
        <v>65</v>
      </c>
    </row>
    <row r="38" spans="1:5" x14ac:dyDescent="0.35">
      <c r="B38" s="3" t="s">
        <v>112</v>
      </c>
      <c r="C38">
        <v>14</v>
      </c>
      <c r="D38" t="s">
        <v>65</v>
      </c>
    </row>
    <row r="39" spans="1:5" x14ac:dyDescent="0.35">
      <c r="B39" s="3" t="s">
        <v>113</v>
      </c>
      <c r="C39">
        <f>C35-(2*C37)-(2*C38)</f>
        <v>295</v>
      </c>
      <c r="D39" t="s">
        <v>65</v>
      </c>
    </row>
    <row r="40" spans="1:5" x14ac:dyDescent="0.35">
      <c r="B40" s="3" t="s">
        <v>114</v>
      </c>
      <c r="C40">
        <v>8.3000000000000007</v>
      </c>
      <c r="D40" t="s">
        <v>65</v>
      </c>
    </row>
    <row r="41" spans="1:5" x14ac:dyDescent="0.35">
      <c r="B41" s="3" t="s">
        <v>115</v>
      </c>
      <c r="C41">
        <v>100000000</v>
      </c>
      <c r="D41" t="s">
        <v>116</v>
      </c>
    </row>
    <row r="42" spans="1:5" x14ac:dyDescent="0.35">
      <c r="B42" s="3" t="s">
        <v>117</v>
      </c>
      <c r="C42">
        <v>4290000</v>
      </c>
      <c r="D42" t="s">
        <v>116</v>
      </c>
    </row>
    <row r="43" spans="1:5" ht="14.5" customHeight="1" x14ac:dyDescent="0.35">
      <c r="A43" s="38" t="s">
        <v>118</v>
      </c>
      <c r="B43" s="3" t="s">
        <v>119</v>
      </c>
      <c r="C43">
        <v>575000</v>
      </c>
      <c r="D43" t="s">
        <v>120</v>
      </c>
    </row>
    <row r="44" spans="1:5" ht="14.5" customHeight="1" x14ac:dyDescent="0.35">
      <c r="A44" s="38"/>
      <c r="B44" s="3" t="s">
        <v>121</v>
      </c>
      <c r="C44">
        <v>56800</v>
      </c>
      <c r="D44" t="s">
        <v>120</v>
      </c>
    </row>
    <row r="45" spans="1:5" x14ac:dyDescent="0.35">
      <c r="A45" s="38" t="s">
        <v>122</v>
      </c>
      <c r="B45" s="3" t="s">
        <v>123</v>
      </c>
      <c r="C45">
        <v>677000</v>
      </c>
      <c r="D45" t="s">
        <v>120</v>
      </c>
    </row>
    <row r="46" spans="1:5" ht="14.5" customHeight="1" x14ac:dyDescent="0.35">
      <c r="A46" s="38"/>
      <c r="B46" s="3" t="s">
        <v>124</v>
      </c>
      <c r="C46">
        <v>112000</v>
      </c>
      <c r="D46" t="s">
        <v>120</v>
      </c>
      <c r="E46" t="s">
        <v>125</v>
      </c>
    </row>
    <row r="47" spans="1:5" x14ac:dyDescent="0.35">
      <c r="B47" s="3"/>
    </row>
    <row r="48" spans="1:5" x14ac:dyDescent="0.35">
      <c r="B48" s="3" t="s">
        <v>126</v>
      </c>
      <c r="C48" s="1">
        <f>C35/C36</f>
        <v>3.5</v>
      </c>
    </row>
    <row r="49" spans="1:13" x14ac:dyDescent="0.35">
      <c r="A49" s="3" t="s">
        <v>127</v>
      </c>
      <c r="B49" s="3" t="s">
        <v>123</v>
      </c>
      <c r="C49" s="1">
        <f>(C27*10^6/(I4/I6))+(2.5*C48*(C28*10^6/(I4/I6)))</f>
        <v>574719.15608373436</v>
      </c>
      <c r="D49" s="20" t="str">
        <f>IF(C49&lt;C45,"&lt;","&gt;")</f>
        <v>&lt;</v>
      </c>
      <c r="E49" t="s">
        <v>128</v>
      </c>
      <c r="F49" s="1">
        <f>C45</f>
        <v>677000</v>
      </c>
      <c r="G49" s="1" t="str">
        <f>IF(C45&gt;C49,"OK","Revise the section")</f>
        <v>OK</v>
      </c>
    </row>
    <row r="51" spans="1:13" x14ac:dyDescent="0.35">
      <c r="A51" s="1" t="s">
        <v>129</v>
      </c>
    </row>
    <row r="52" spans="1:13" x14ac:dyDescent="0.35">
      <c r="A52" s="3" t="s">
        <v>130</v>
      </c>
      <c r="B52">
        <f>(250/I4)^0.5</f>
        <v>1</v>
      </c>
    </row>
    <row r="53" spans="1:13" ht="17.25" customHeight="1" x14ac:dyDescent="0.35">
      <c r="A53" s="3" t="s">
        <v>131</v>
      </c>
      <c r="B53">
        <f>C36/C37</f>
        <v>7.4074074074074074</v>
      </c>
      <c r="C53" t="s">
        <v>132</v>
      </c>
      <c r="D53" t="s">
        <v>133</v>
      </c>
      <c r="E53">
        <f>9.4*B52</f>
        <v>9.4</v>
      </c>
      <c r="G53" t="s">
        <v>134</v>
      </c>
      <c r="H53">
        <f>10.5*B52</f>
        <v>10.5</v>
      </c>
      <c r="J53" t="s">
        <v>135</v>
      </c>
      <c r="K53">
        <f>15.7*B52</f>
        <v>15.7</v>
      </c>
      <c r="L53" t="s">
        <v>136</v>
      </c>
      <c r="M53" s="4" t="str">
        <f>IF(B53&lt;E53,"Plastic",IF(AND( H53&gt;B53,B53&gt;E53),"Compact",IF(AND(K53&gt;B53,B53&gt;H53),"Semi compact","Slender")))</f>
        <v>Plastic</v>
      </c>
    </row>
    <row r="54" spans="1:13" x14ac:dyDescent="0.35">
      <c r="A54" s="3" t="s">
        <v>137</v>
      </c>
      <c r="B54">
        <f>C39/C40</f>
        <v>35.542168674698793</v>
      </c>
      <c r="C54" t="s">
        <v>132</v>
      </c>
      <c r="D54" t="s">
        <v>138</v>
      </c>
      <c r="E54">
        <f>84*B52</f>
        <v>84</v>
      </c>
      <c r="G54" t="s">
        <v>139</v>
      </c>
      <c r="H54">
        <f>105*B52</f>
        <v>105</v>
      </c>
      <c r="J54" t="s">
        <v>140</v>
      </c>
      <c r="K54">
        <f>126*B52</f>
        <v>126</v>
      </c>
      <c r="L54" t="s">
        <v>141</v>
      </c>
      <c r="M54" s="4" t="str">
        <f>IF(B54&lt;E54,"Plastic",IF(AND( H54&gt;B54,B54&gt;E54),"Compact",IF(AND(K54&gt;B54,B54&gt;H54),"Semi compact","Slender")))</f>
        <v>Plastic</v>
      </c>
    </row>
    <row r="55" spans="1:13" x14ac:dyDescent="0.35">
      <c r="A55" t="s">
        <v>142</v>
      </c>
      <c r="B55" t="s">
        <v>143</v>
      </c>
    </row>
    <row r="57" spans="1:13" x14ac:dyDescent="0.35">
      <c r="A57" s="37" t="s">
        <v>144</v>
      </c>
      <c r="B57" s="26" t="s">
        <v>99</v>
      </c>
      <c r="C57" s="1">
        <f>C27+C$34*B$3*1</f>
        <v>64.364314898572459</v>
      </c>
      <c r="D57" t="s">
        <v>100</v>
      </c>
    </row>
    <row r="58" spans="1:13" ht="14.5" customHeight="1" x14ac:dyDescent="0.35">
      <c r="A58" s="37"/>
      <c r="B58" s="26" t="s">
        <v>101</v>
      </c>
      <c r="C58" s="1">
        <f t="shared" ref="C58" si="0">C28+C$34*B$3*1</f>
        <v>8.5780485851952086</v>
      </c>
      <c r="D58" t="s">
        <v>100</v>
      </c>
    </row>
    <row r="59" spans="1:13" ht="14.5" customHeight="1" x14ac:dyDescent="0.35">
      <c r="A59" s="37"/>
      <c r="B59" s="26" t="s">
        <v>102</v>
      </c>
      <c r="C59" s="1">
        <f>C29+C$34*B$3</f>
        <v>22.056771632857483</v>
      </c>
      <c r="D59" t="s">
        <v>103</v>
      </c>
    </row>
    <row r="60" spans="1:13" ht="14.5" customHeight="1" x14ac:dyDescent="0.35">
      <c r="A60" s="37"/>
      <c r="B60" s="26" t="s">
        <v>104</v>
      </c>
      <c r="C60" s="1">
        <f>C30+C$34*B$3</f>
        <v>3.461349528398403</v>
      </c>
      <c r="D60" t="s">
        <v>103</v>
      </c>
    </row>
    <row r="62" spans="1:13" x14ac:dyDescent="0.35">
      <c r="A62" s="1" t="s">
        <v>145</v>
      </c>
    </row>
    <row r="63" spans="1:13" x14ac:dyDescent="0.35">
      <c r="A63" t="s">
        <v>146</v>
      </c>
      <c r="B63" s="3" t="s">
        <v>147</v>
      </c>
      <c r="C63">
        <f>(C35*C40*I4/(I6*SQRT(3)))/1000</f>
        <v>381.18239363542347</v>
      </c>
      <c r="D63" t="s">
        <v>103</v>
      </c>
      <c r="E63" s="20" t="str">
        <f>IF(C63&gt;G63,"&gt;","&lt;")</f>
        <v>&gt;</v>
      </c>
      <c r="F63" t="s">
        <v>148</v>
      </c>
      <c r="G63">
        <f>C59</f>
        <v>22.056771632857483</v>
      </c>
      <c r="H63" t="s">
        <v>103</v>
      </c>
      <c r="I63" t="str">
        <f>IF(C63&gt;G63,"Ok","recheck")</f>
        <v>Ok</v>
      </c>
    </row>
    <row r="64" spans="1:13" x14ac:dyDescent="0.35">
      <c r="B64" s="3" t="s">
        <v>149</v>
      </c>
      <c r="C64">
        <f>C63*0.6</f>
        <v>228.70943618125406</v>
      </c>
      <c r="D64" t="s">
        <v>103</v>
      </c>
      <c r="E64" s="20" t="str">
        <f>IF(C64&gt;G64,"&gt;","&lt;")</f>
        <v>&gt;</v>
      </c>
      <c r="F64" t="s">
        <v>148</v>
      </c>
      <c r="G64">
        <f>G63</f>
        <v>22.056771632857483</v>
      </c>
      <c r="H64" t="s">
        <v>103</v>
      </c>
      <c r="I64" t="str">
        <f>IF(C64&gt;G64,"Ok","recheck")</f>
        <v>Ok</v>
      </c>
    </row>
    <row r="65" spans="1:9" x14ac:dyDescent="0.35">
      <c r="B65" s="3"/>
      <c r="E65" s="20"/>
    </row>
    <row r="66" spans="1:9" x14ac:dyDescent="0.35">
      <c r="A66" t="s">
        <v>146</v>
      </c>
      <c r="B66" s="3" t="s">
        <v>150</v>
      </c>
      <c r="C66">
        <f>2*C36*C37*(I4/(I6*SQRT(3)))/1000</f>
        <v>354.28311972999762</v>
      </c>
      <c r="D66" t="s">
        <v>103</v>
      </c>
      <c r="E66" s="20" t="str">
        <f>IF(C66&gt;G66,"&gt;","&lt;")</f>
        <v>&gt;</v>
      </c>
      <c r="F66" t="s">
        <v>151</v>
      </c>
      <c r="G66">
        <f>C60</f>
        <v>3.461349528398403</v>
      </c>
      <c r="H66" t="s">
        <v>103</v>
      </c>
      <c r="I66" t="str">
        <f>IF(C66&gt;G66,"Ok","recheck")</f>
        <v>Ok</v>
      </c>
    </row>
    <row r="67" spans="1:9" x14ac:dyDescent="0.35">
      <c r="B67" s="3"/>
    </row>
    <row r="68" spans="1:9" x14ac:dyDescent="0.35">
      <c r="A68" s="1" t="s">
        <v>152</v>
      </c>
      <c r="B68" s="3" t="s">
        <v>153</v>
      </c>
      <c r="C68">
        <v>1</v>
      </c>
      <c r="D68" t="s">
        <v>154</v>
      </c>
    </row>
    <row r="69" spans="1:9" x14ac:dyDescent="0.35">
      <c r="A69" s="1"/>
      <c r="B69" s="33" t="s">
        <v>155</v>
      </c>
      <c r="C69" s="34">
        <f>C68*(C45*I4/I6)/1000000</f>
        <v>153.86363636363635</v>
      </c>
      <c r="D69" s="35" t="str">
        <f>IF(C69&lt;F69,"&lt;","&gt;")</f>
        <v>&lt;</v>
      </c>
      <c r="E69" s="34" t="s">
        <v>156</v>
      </c>
      <c r="F69" s="34">
        <f>1.2*C43*I4/(I6*1000000)</f>
        <v>156.81818181818181</v>
      </c>
      <c r="G69" s="34" t="s">
        <v>100</v>
      </c>
      <c r="H69" s="34"/>
    </row>
    <row r="70" spans="1:9" x14ac:dyDescent="0.35">
      <c r="B70" s="33"/>
      <c r="C70" s="34">
        <f>IF(C69&gt;F69,F69,C69)</f>
        <v>153.86363636363635</v>
      </c>
      <c r="D70" s="35" t="str">
        <f>IF(C70&lt;F70,"&lt;","&gt;")</f>
        <v>&gt;</v>
      </c>
      <c r="E70" s="34" t="s">
        <v>99</v>
      </c>
      <c r="F70" s="34">
        <f>C57</f>
        <v>64.364314898572459</v>
      </c>
      <c r="G70" s="34" t="s">
        <v>100</v>
      </c>
      <c r="H70" s="25" t="str">
        <f>IF(C70&gt;F70,"OK","Recheck")</f>
        <v>OK</v>
      </c>
    </row>
    <row r="71" spans="1:9" x14ac:dyDescent="0.35">
      <c r="B71" s="3"/>
    </row>
    <row r="72" spans="1:9" x14ac:dyDescent="0.35">
      <c r="B72" s="33" t="s">
        <v>157</v>
      </c>
      <c r="C72" s="34">
        <f>(C46*I4/I6)/1000000</f>
        <v>25.454545454545453</v>
      </c>
      <c r="D72" s="35" t="str">
        <f>IF(C72&lt;F72,"&lt;","&gt;")</f>
        <v>&gt;</v>
      </c>
      <c r="E72" s="34" t="s">
        <v>156</v>
      </c>
      <c r="F72" s="34">
        <f>1.5*C44*I4/(I6*1000000)</f>
        <v>19.363636363636363</v>
      </c>
      <c r="G72" s="34" t="s">
        <v>100</v>
      </c>
      <c r="H72" s="25"/>
    </row>
    <row r="73" spans="1:9" x14ac:dyDescent="0.35">
      <c r="B73" s="34"/>
      <c r="C73" s="34">
        <f>IF(C72&gt;F72,F72,C72)</f>
        <v>19.363636363636363</v>
      </c>
      <c r="D73" s="35" t="str">
        <f>IF(C73&lt;F73,"&lt;","&gt;")</f>
        <v>&gt;</v>
      </c>
      <c r="E73" s="34" t="s">
        <v>101</v>
      </c>
      <c r="F73" s="34">
        <f>C58</f>
        <v>8.5780485851952086</v>
      </c>
      <c r="G73" s="34" t="s">
        <v>100</v>
      </c>
      <c r="H73" s="25" t="str">
        <f>IF(C73&gt;F73,"OK","recheck")</f>
        <v>OK</v>
      </c>
    </row>
    <row r="74" spans="1:9" x14ac:dyDescent="0.35">
      <c r="A74" s="1" t="s">
        <v>158</v>
      </c>
    </row>
    <row r="75" spans="1:9" ht="24" customHeight="1" x14ac:dyDescent="0.35">
      <c r="B75" s="31" t="s">
        <v>159</v>
      </c>
      <c r="C75" s="25">
        <f>(F70/C70)+(F73/C73)</f>
        <v>0.86131832467799008</v>
      </c>
      <c r="D75" s="32" t="str">
        <f>IF(C75&lt;E75,"&lt;","&gt;")</f>
        <v>&lt;</v>
      </c>
      <c r="E75" s="25">
        <v>1</v>
      </c>
      <c r="F75" s="32" t="str">
        <f>IF(C75&lt;E75,"OK","recheck")</f>
        <v>OK</v>
      </c>
    </row>
    <row r="77" spans="1:9" x14ac:dyDescent="0.35">
      <c r="A77" s="1" t="s">
        <v>160</v>
      </c>
    </row>
    <row r="78" spans="1:9" x14ac:dyDescent="0.35">
      <c r="A78" s="29" t="s">
        <v>161</v>
      </c>
      <c r="B78" s="25">
        <f>(5*C16*(B2*1000)^4)/(384*I7*C41)</f>
        <v>21.556898021418057</v>
      </c>
      <c r="C78" s="30" t="str">
        <f>IF(OR(B78&lt;D78,B78=D78),"=&lt;","&gt;")</f>
        <v>=&lt;</v>
      </c>
      <c r="D78" s="25">
        <f>B2*1000/180</f>
        <v>66.666666666666671</v>
      </c>
      <c r="E78" s="25" t="str">
        <f>IF(B78&lt;D78,"OK","Recheck")</f>
        <v>OK</v>
      </c>
    </row>
    <row r="80" spans="1:9" x14ac:dyDescent="0.35">
      <c r="A80" s="1" t="s">
        <v>162</v>
      </c>
    </row>
    <row r="81" spans="1:4" x14ac:dyDescent="0.35">
      <c r="A81" s="1" t="s">
        <v>163</v>
      </c>
      <c r="B81" s="3" t="s">
        <v>164</v>
      </c>
      <c r="C81">
        <f>0.9*C15-1.5*C17</f>
        <v>-0.98986821863533536</v>
      </c>
      <c r="D81" t="s">
        <v>79</v>
      </c>
    </row>
    <row r="82" spans="1:4" x14ac:dyDescent="0.35">
      <c r="A82" s="1" t="s">
        <v>97</v>
      </c>
      <c r="B82" s="3" t="s">
        <v>95</v>
      </c>
      <c r="C82">
        <f>0.9*C18</f>
        <v>5.3859990071545322E-2</v>
      </c>
      <c r="D82" t="s">
        <v>79</v>
      </c>
    </row>
    <row r="83" spans="1:4" x14ac:dyDescent="0.35">
      <c r="B83" s="3"/>
    </row>
    <row r="84" spans="1:4" x14ac:dyDescent="0.35">
      <c r="A84" t="s">
        <v>165</v>
      </c>
      <c r="B84" s="3" t="s">
        <v>99</v>
      </c>
      <c r="C84">
        <f>C81*B2*B2/8</f>
        <v>-17.817627935436036</v>
      </c>
      <c r="D84" t="s">
        <v>100</v>
      </c>
    </row>
    <row r="85" spans="1:4" x14ac:dyDescent="0.35">
      <c r="B85" s="3" t="s">
        <v>101</v>
      </c>
      <c r="C85">
        <f>C82*B2*B2/8</f>
        <v>0.96947982128781574</v>
      </c>
      <c r="D85" t="s">
        <v>100</v>
      </c>
    </row>
    <row r="86" spans="1:4" x14ac:dyDescent="0.35">
      <c r="B86" s="3" t="s">
        <v>102</v>
      </c>
      <c r="C86">
        <f>C81*B2/2</f>
        <v>-5.9392093118120126</v>
      </c>
      <c r="D86" t="s">
        <v>103</v>
      </c>
    </row>
    <row r="87" spans="1:4" x14ac:dyDescent="0.35">
      <c r="B87" s="3" t="s">
        <v>104</v>
      </c>
      <c r="C87">
        <f>C82*B2/2</f>
        <v>0.32315994042927193</v>
      </c>
      <c r="D87" t="s">
        <v>166</v>
      </c>
    </row>
    <row r="89" spans="1:4" x14ac:dyDescent="0.35">
      <c r="A89" s="1" t="s">
        <v>167</v>
      </c>
    </row>
    <row r="90" spans="1:4" x14ac:dyDescent="0.35">
      <c r="A90" t="s">
        <v>168</v>
      </c>
      <c r="B90" t="s">
        <v>169</v>
      </c>
      <c r="C90" t="s">
        <v>170</v>
      </c>
    </row>
    <row r="91" spans="1:4" x14ac:dyDescent="0.35">
      <c r="A91" t="s">
        <v>171</v>
      </c>
      <c r="B91" t="s">
        <v>169</v>
      </c>
      <c r="C91" t="s">
        <v>172</v>
      </c>
    </row>
    <row r="92" spans="1:4" x14ac:dyDescent="0.35">
      <c r="A92" t="s">
        <v>173</v>
      </c>
      <c r="B92">
        <v>1</v>
      </c>
      <c r="C92" t="s">
        <v>174</v>
      </c>
    </row>
    <row r="94" spans="1:4" x14ac:dyDescent="0.35">
      <c r="A94" s="1" t="s">
        <v>175</v>
      </c>
    </row>
    <row r="95" spans="1:4" x14ac:dyDescent="0.35">
      <c r="A95" s="3" t="s">
        <v>176</v>
      </c>
      <c r="B95">
        <f>I7/(2*(1+0.3))</f>
        <v>76923.076923076922</v>
      </c>
      <c r="C95" t="s">
        <v>177</v>
      </c>
    </row>
    <row r="96" spans="1:4" x14ac:dyDescent="0.35">
      <c r="A96" s="3" t="s">
        <v>178</v>
      </c>
      <c r="B96">
        <f>((2*C36*C37^3)+((C35-C37)*C40^3))/3</f>
        <v>228160.44183333335</v>
      </c>
      <c r="C96" t="s">
        <v>116</v>
      </c>
    </row>
    <row r="97" spans="1:7" x14ac:dyDescent="0.35">
      <c r="A97" s="3" t="s">
        <v>179</v>
      </c>
      <c r="B97">
        <f>C35-C37</f>
        <v>336.5</v>
      </c>
      <c r="C97" t="s">
        <v>65</v>
      </c>
    </row>
    <row r="98" spans="1:7" x14ac:dyDescent="0.35">
      <c r="A98" s="3" t="s">
        <v>180</v>
      </c>
      <c r="B98">
        <v>0.5</v>
      </c>
    </row>
    <row r="99" spans="1:7" x14ac:dyDescent="0.35">
      <c r="A99" s="3" t="s">
        <v>181</v>
      </c>
      <c r="B99">
        <f>(1-B98)*B98*C42*B97*B97</f>
        <v>121441588125</v>
      </c>
      <c r="C99" t="s">
        <v>182</v>
      </c>
    </row>
    <row r="100" spans="1:7" x14ac:dyDescent="0.35">
      <c r="A100" s="3" t="s">
        <v>183</v>
      </c>
      <c r="B100">
        <f>SQRT((PI()*PI()*I7*C42*(B95*B96+(PI()*PI()*I7*B99/(B92*B2*1000)^2))/(B92*B2*1000)^2))</f>
        <v>33615385.472188011</v>
      </c>
      <c r="C100" t="s">
        <v>184</v>
      </c>
    </row>
    <row r="101" spans="1:7" x14ac:dyDescent="0.35">
      <c r="A101" s="3" t="s">
        <v>183</v>
      </c>
      <c r="B101">
        <f>B100/10^6</f>
        <v>33.615385472188009</v>
      </c>
      <c r="C101" t="s">
        <v>185</v>
      </c>
    </row>
    <row r="102" spans="1:7" x14ac:dyDescent="0.35">
      <c r="A102" s="3"/>
    </row>
    <row r="103" spans="1:7" x14ac:dyDescent="0.35">
      <c r="A103" s="1" t="s">
        <v>186</v>
      </c>
    </row>
    <row r="104" spans="1:7" x14ac:dyDescent="0.35">
      <c r="A104" s="3" t="s">
        <v>187</v>
      </c>
      <c r="B104">
        <f>SQRT(C68*C45*I4/B100)</f>
        <v>2.2438575928164437</v>
      </c>
      <c r="C104" s="20" t="str">
        <f>IF(B104&gt;D104,"&gt;","&lt;")</f>
        <v>&gt;</v>
      </c>
      <c r="D104">
        <v>0.4</v>
      </c>
      <c r="E104" t="s">
        <v>188</v>
      </c>
      <c r="F104" t="str">
        <f>IF(B104&gt;D104,"Laterally unsupported beam","Laterally supported beam")</f>
        <v>Laterally unsupported beam</v>
      </c>
    </row>
    <row r="105" spans="1:7" x14ac:dyDescent="0.35">
      <c r="A105" s="3" t="s">
        <v>189</v>
      </c>
      <c r="B105">
        <v>0.21</v>
      </c>
      <c r="C105" t="s">
        <v>190</v>
      </c>
    </row>
    <row r="106" spans="1:7" x14ac:dyDescent="0.35">
      <c r="A106" s="3" t="s">
        <v>191</v>
      </c>
      <c r="B106">
        <f>0.5*(1+B105*(B104-0.2)+B104*B104)</f>
        <v>3.2320534956657294</v>
      </c>
    </row>
    <row r="107" spans="1:7" x14ac:dyDescent="0.35">
      <c r="A107" s="3" t="s">
        <v>192</v>
      </c>
      <c r="B107">
        <f>1/(B106+SQRT(B106*B106-B104*B104))</f>
        <v>0.1799121667708786</v>
      </c>
      <c r="C107" s="20" t="str">
        <f>IF(OR(B107&lt;1,B107=1),"=&lt;","&gt;")</f>
        <v>=&lt;</v>
      </c>
      <c r="D107">
        <v>1</v>
      </c>
      <c r="E107">
        <f>IF(B107&gt;D107,D107,B107)</f>
        <v>0.1799121667708786</v>
      </c>
      <c r="F107" t="s">
        <v>193</v>
      </c>
    </row>
    <row r="108" spans="1:7" x14ac:dyDescent="0.35">
      <c r="A108" s="3" t="s">
        <v>194</v>
      </c>
      <c r="B108">
        <f>E107*I4/I6</f>
        <v>40.889128811563317</v>
      </c>
      <c r="C108" t="s">
        <v>177</v>
      </c>
    </row>
    <row r="109" spans="1:7" x14ac:dyDescent="0.35">
      <c r="A109" s="3" t="s">
        <v>155</v>
      </c>
      <c r="B109">
        <f>C45*B108/10^6</f>
        <v>27.681940205428365</v>
      </c>
      <c r="C109" t="s">
        <v>185</v>
      </c>
      <c r="D109" s="20" t="str">
        <f>IF(B109&gt;F109,"&gt;","&lt;")</f>
        <v>&gt;</v>
      </c>
      <c r="E109" t="s">
        <v>99</v>
      </c>
      <c r="F109">
        <f>ABS(C84)</f>
        <v>17.817627935436036</v>
      </c>
      <c r="G109" t="str">
        <f>IF(B109&gt;F109,"OK","Recheck")</f>
        <v>OK</v>
      </c>
    </row>
    <row r="111" spans="1:7" x14ac:dyDescent="0.35">
      <c r="A111" s="1" t="s">
        <v>158</v>
      </c>
    </row>
    <row r="112" spans="1:7" x14ac:dyDescent="0.35">
      <c r="A112" s="5" t="s">
        <v>195</v>
      </c>
      <c r="B112" s="5">
        <f>(F109/B109)+(C85/C73)</f>
        <v>0.69372234776053909</v>
      </c>
      <c r="C112" s="27" t="str">
        <f>IF(B112&lt;1,"&lt;","&gt;")</f>
        <v>&lt;</v>
      </c>
      <c r="D112" s="5">
        <v>1</v>
      </c>
      <c r="E112" s="25" t="str">
        <f>IF(B112&lt;D112,"OK","Recheck")</f>
        <v>OK</v>
      </c>
    </row>
  </sheetData>
  <mergeCells count="6">
    <mergeCell ref="A57:A60"/>
    <mergeCell ref="A23:A24"/>
    <mergeCell ref="A15:A17"/>
    <mergeCell ref="A18:A20"/>
    <mergeCell ref="A43:A44"/>
    <mergeCell ref="A45:A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2EC-52C0-4F08-AA16-338E4BE6B5B0}">
  <dimension ref="A1:S44"/>
  <sheetViews>
    <sheetView topLeftCell="A16" workbookViewId="0">
      <selection activeCell="G21" sqref="G21"/>
    </sheetView>
  </sheetViews>
  <sheetFormatPr defaultRowHeight="14.5" x14ac:dyDescent="0.35"/>
  <cols>
    <col min="1" max="1" width="29.81640625" customWidth="1"/>
    <col min="2" max="2" width="13.7265625" customWidth="1"/>
    <col min="3" max="7" width="9.1796875" bestFit="1" customWidth="1"/>
    <col min="8" max="8" width="14" customWidth="1"/>
    <col min="17" max="19" width="9.1796875" bestFit="1" customWidth="1"/>
  </cols>
  <sheetData>
    <row r="1" spans="1:19" x14ac:dyDescent="0.35">
      <c r="A1" s="1" t="s">
        <v>196</v>
      </c>
      <c r="B1" s="1"/>
      <c r="C1" s="1"/>
      <c r="D1" s="1"/>
      <c r="E1" s="1"/>
      <c r="Q1" s="9" t="s">
        <v>61</v>
      </c>
      <c r="R1" s="21" t="s">
        <v>62</v>
      </c>
      <c r="S1" s="22"/>
    </row>
    <row r="2" spans="1:19" x14ac:dyDescent="0.35">
      <c r="A2" s="1" t="s">
        <v>197</v>
      </c>
      <c r="H2" s="1"/>
      <c r="Q2" s="23" t="s">
        <v>68</v>
      </c>
      <c r="R2">
        <v>250</v>
      </c>
      <c r="S2" s="10" t="s">
        <v>69</v>
      </c>
    </row>
    <row r="3" spans="1:19" x14ac:dyDescent="0.35">
      <c r="A3" s="3" t="s">
        <v>107</v>
      </c>
      <c r="Q3" s="23" t="s">
        <v>198</v>
      </c>
      <c r="R3">
        <v>1.25</v>
      </c>
      <c r="S3" s="10"/>
    </row>
    <row r="4" spans="1:19" x14ac:dyDescent="0.35">
      <c r="A4" s="3" t="s">
        <v>108</v>
      </c>
      <c r="B4">
        <v>0.42</v>
      </c>
      <c r="C4" t="s">
        <v>79</v>
      </c>
      <c r="D4">
        <f>B4*10.5</f>
        <v>4.41</v>
      </c>
      <c r="E4" t="s">
        <v>103</v>
      </c>
      <c r="Q4" s="23" t="s">
        <v>72</v>
      </c>
      <c r="R4">
        <v>1.1000000000000001</v>
      </c>
      <c r="S4" s="10"/>
    </row>
    <row r="5" spans="1:19" x14ac:dyDescent="0.35">
      <c r="A5" s="3" t="s">
        <v>109</v>
      </c>
      <c r="B5">
        <v>350</v>
      </c>
      <c r="C5" t="s">
        <v>65</v>
      </c>
      <c r="Q5" s="23" t="s">
        <v>74</v>
      </c>
      <c r="R5">
        <v>200000</v>
      </c>
      <c r="S5" s="10" t="s">
        <v>69</v>
      </c>
    </row>
    <row r="6" spans="1:19" x14ac:dyDescent="0.35">
      <c r="A6" s="3" t="s">
        <v>110</v>
      </c>
      <c r="B6">
        <v>100</v>
      </c>
      <c r="C6" t="s">
        <v>65</v>
      </c>
      <c r="Q6" s="24" t="s">
        <v>70</v>
      </c>
      <c r="R6" s="11">
        <v>410</v>
      </c>
      <c r="S6" s="12" t="s">
        <v>69</v>
      </c>
    </row>
    <row r="7" spans="1:19" x14ac:dyDescent="0.35">
      <c r="A7" s="3" t="s">
        <v>111</v>
      </c>
      <c r="B7">
        <v>13.5</v>
      </c>
      <c r="C7" t="s">
        <v>65</v>
      </c>
    </row>
    <row r="8" spans="1:19" x14ac:dyDescent="0.35">
      <c r="A8" s="3" t="s">
        <v>112</v>
      </c>
      <c r="B8">
        <v>14</v>
      </c>
      <c r="C8" t="s">
        <v>65</v>
      </c>
    </row>
    <row r="9" spans="1:19" x14ac:dyDescent="0.35">
      <c r="A9" s="3" t="s">
        <v>113</v>
      </c>
      <c r="B9">
        <f>B5-(2*B7)-(2*B8)</f>
        <v>295</v>
      </c>
      <c r="C9" t="s">
        <v>65</v>
      </c>
    </row>
    <row r="10" spans="1:19" x14ac:dyDescent="0.35">
      <c r="A10" s="3" t="s">
        <v>114</v>
      </c>
      <c r="B10">
        <v>8.3000000000000007</v>
      </c>
      <c r="C10" t="s">
        <v>65</v>
      </c>
    </row>
    <row r="12" spans="1:19" x14ac:dyDescent="0.35">
      <c r="A12" t="s">
        <v>199</v>
      </c>
      <c r="B12">
        <f>(-'Wind Load'!B48)-Purlin!B10*COS(Purlin!B4*PI()/180)</f>
        <v>0.78112757603388316</v>
      </c>
      <c r="C12" t="s">
        <v>79</v>
      </c>
      <c r="D12">
        <f>B12*24</f>
        <v>18.747061824813194</v>
      </c>
      <c r="E12" t="s">
        <v>103</v>
      </c>
      <c r="F12">
        <f>D12/3</f>
        <v>6.2490206082710644</v>
      </c>
      <c r="G12" t="s">
        <v>103</v>
      </c>
    </row>
    <row r="13" spans="1:19" x14ac:dyDescent="0.35">
      <c r="A13" t="s">
        <v>200</v>
      </c>
      <c r="B13">
        <f>Purlin!B10*SIN(Purlin!B4*PI()/180)</f>
        <v>5.9844433412828135E-2</v>
      </c>
      <c r="C13" t="s">
        <v>79</v>
      </c>
      <c r="D13">
        <f>B13*24</f>
        <v>1.4362664019078752</v>
      </c>
      <c r="E13" t="s">
        <v>103</v>
      </c>
      <c r="F13">
        <f>D13/3</f>
        <v>0.47875546730262508</v>
      </c>
      <c r="G13" t="s">
        <v>103</v>
      </c>
    </row>
    <row r="15" spans="1:19" x14ac:dyDescent="0.35">
      <c r="A15" s="1" t="s">
        <v>201</v>
      </c>
      <c r="B15" t="s">
        <v>202</v>
      </c>
      <c r="C15">
        <v>400</v>
      </c>
      <c r="D15" t="s">
        <v>177</v>
      </c>
    </row>
    <row r="16" spans="1:19" x14ac:dyDescent="0.35">
      <c r="A16" s="1" t="s">
        <v>203</v>
      </c>
      <c r="B16" s="1">
        <v>16</v>
      </c>
      <c r="C16" s="1" t="s">
        <v>65</v>
      </c>
    </row>
    <row r="17" spans="1:7" x14ac:dyDescent="0.35">
      <c r="A17" s="1" t="s">
        <v>204</v>
      </c>
      <c r="B17" s="1">
        <f>B16+2</f>
        <v>18</v>
      </c>
      <c r="C17" s="1" t="s">
        <v>65</v>
      </c>
    </row>
    <row r="18" spans="1:7" x14ac:dyDescent="0.35">
      <c r="A18" t="s">
        <v>205</v>
      </c>
      <c r="B18">
        <f>(C15/SQRT(3))*(1*0.78*PI()*B16*B16/4)/(R3*1000)</f>
        <v>28.97435656402309</v>
      </c>
    </row>
    <row r="19" spans="1:7" x14ac:dyDescent="0.35">
      <c r="A19" t="s">
        <v>206</v>
      </c>
      <c r="B19">
        <v>0.5</v>
      </c>
      <c r="C19" t="s">
        <v>207</v>
      </c>
    </row>
    <row r="20" spans="1:7" x14ac:dyDescent="0.35">
      <c r="A20" t="s">
        <v>208</v>
      </c>
      <c r="B20">
        <f>2.5*B19*R6*B16*B7/(R3*1000)</f>
        <v>88.56</v>
      </c>
      <c r="C20" t="s">
        <v>103</v>
      </c>
    </row>
    <row r="21" spans="1:7" x14ac:dyDescent="0.35">
      <c r="A21" s="1" t="s">
        <v>209</v>
      </c>
      <c r="B21" s="1">
        <f>MIN(B18,B20)</f>
        <v>28.97435656402309</v>
      </c>
      <c r="C21" t="s">
        <v>103</v>
      </c>
      <c r="D21" s="20" t="str">
        <f>IF(B21&gt;E21,"&gt;","&lt;")</f>
        <v>&gt;</v>
      </c>
      <c r="E21">
        <f>F12</f>
        <v>6.2490206082710644</v>
      </c>
      <c r="F21" t="s">
        <v>103</v>
      </c>
      <c r="G21" s="25" t="str">
        <f>IF(B21&gt;E21,"OK","Recheck")</f>
        <v>OK</v>
      </c>
    </row>
    <row r="22" spans="1:7" x14ac:dyDescent="0.35">
      <c r="A22" s="1"/>
      <c r="B22" s="1"/>
      <c r="D22" s="20" t="str">
        <f>IF(B21&gt;E22,"&gt;","&lt;")</f>
        <v>&gt;</v>
      </c>
      <c r="E22">
        <f>F13</f>
        <v>0.47875546730262508</v>
      </c>
      <c r="F22" t="s">
        <v>103</v>
      </c>
      <c r="G22" s="25" t="str">
        <f>IF(B21&gt;E22,"OK","Recheck")</f>
        <v>OK</v>
      </c>
    </row>
    <row r="24" spans="1:7" x14ac:dyDescent="0.35">
      <c r="A24" s="25" t="s">
        <v>210</v>
      </c>
    </row>
    <row r="39" spans="1:3" x14ac:dyDescent="0.35">
      <c r="A39" s="1"/>
      <c r="B39" s="1"/>
    </row>
    <row r="40" spans="1:3" x14ac:dyDescent="0.35">
      <c r="A40" s="1"/>
      <c r="B40" s="1"/>
    </row>
    <row r="44" spans="1:3" x14ac:dyDescent="0.35">
      <c r="A44" s="1"/>
      <c r="B44" s="1"/>
      <c r="C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03E0-FA76-4E94-8527-1C2190A3E37F}">
  <dimension ref="A1:M116"/>
  <sheetViews>
    <sheetView topLeftCell="A41" workbookViewId="0">
      <selection activeCell="D58" sqref="D58"/>
    </sheetView>
  </sheetViews>
  <sheetFormatPr defaultRowHeight="14.5" x14ac:dyDescent="0.35"/>
  <cols>
    <col min="1" max="1" width="27.1796875" bestFit="1" customWidth="1"/>
    <col min="2" max="2" width="20.81640625" bestFit="1" customWidth="1"/>
    <col min="3" max="3" width="17.26953125" bestFit="1" customWidth="1"/>
    <col min="4" max="4" width="15.453125" customWidth="1"/>
    <col min="5" max="5" width="20.81640625" bestFit="1" customWidth="1"/>
    <col min="6" max="6" width="12.81640625" bestFit="1" customWidth="1"/>
    <col min="10" max="10" width="13.453125" customWidth="1"/>
    <col min="12" max="12" width="13.453125" customWidth="1"/>
  </cols>
  <sheetData>
    <row r="1" spans="1:10" x14ac:dyDescent="0.35">
      <c r="A1" s="1" t="s">
        <v>211</v>
      </c>
    </row>
    <row r="2" spans="1:10" x14ac:dyDescent="0.35">
      <c r="A2" t="s">
        <v>60</v>
      </c>
      <c r="B2">
        <v>15</v>
      </c>
      <c r="C2" t="s">
        <v>8</v>
      </c>
    </row>
    <row r="3" spans="1:10" x14ac:dyDescent="0.35">
      <c r="A3" t="s">
        <v>212</v>
      </c>
      <c r="B3">
        <v>12</v>
      </c>
      <c r="C3" t="s">
        <v>8</v>
      </c>
      <c r="H3" s="9" t="s">
        <v>61</v>
      </c>
      <c r="I3" s="21" t="s">
        <v>62</v>
      </c>
      <c r="J3" s="22"/>
    </row>
    <row r="4" spans="1:10" x14ac:dyDescent="0.35">
      <c r="A4" t="s">
        <v>213</v>
      </c>
      <c r="B4">
        <v>2</v>
      </c>
      <c r="H4" s="23" t="s">
        <v>68</v>
      </c>
      <c r="I4">
        <v>250</v>
      </c>
      <c r="J4" s="10" t="s">
        <v>69</v>
      </c>
    </row>
    <row r="5" spans="1:10" x14ac:dyDescent="0.35">
      <c r="H5" s="23" t="s">
        <v>70</v>
      </c>
      <c r="I5">
        <v>410</v>
      </c>
      <c r="J5" s="10" t="s">
        <v>69</v>
      </c>
    </row>
    <row r="6" spans="1:10" x14ac:dyDescent="0.35">
      <c r="A6" s="1" t="s">
        <v>214</v>
      </c>
      <c r="H6" s="23" t="s">
        <v>72</v>
      </c>
      <c r="I6">
        <v>1.1000000000000001</v>
      </c>
      <c r="J6" s="10"/>
    </row>
    <row r="7" spans="1:10" x14ac:dyDescent="0.35">
      <c r="A7" t="s">
        <v>215</v>
      </c>
      <c r="B7">
        <v>0.2</v>
      </c>
      <c r="C7" t="s">
        <v>57</v>
      </c>
      <c r="H7" s="24" t="s">
        <v>74</v>
      </c>
      <c r="I7" s="11">
        <f>2*10^5</f>
        <v>200000</v>
      </c>
      <c r="J7" s="12" t="s">
        <v>69</v>
      </c>
    </row>
    <row r="8" spans="1:10" x14ac:dyDescent="0.35">
      <c r="A8" t="s">
        <v>216</v>
      </c>
      <c r="B8">
        <v>0.43</v>
      </c>
      <c r="C8" t="s">
        <v>79</v>
      </c>
    </row>
    <row r="9" spans="1:10" x14ac:dyDescent="0.35">
      <c r="A9" t="s">
        <v>217</v>
      </c>
      <c r="B9">
        <f>B8*B4*B3</f>
        <v>10.32</v>
      </c>
      <c r="C9" t="s">
        <v>103</v>
      </c>
    </row>
    <row r="10" spans="1:10" x14ac:dyDescent="0.35">
      <c r="A10" t="s">
        <v>218</v>
      </c>
      <c r="B10">
        <f>B9/2</f>
        <v>5.16</v>
      </c>
      <c r="C10" t="s">
        <v>103</v>
      </c>
    </row>
    <row r="11" spans="1:10" x14ac:dyDescent="0.35">
      <c r="A11" t="s">
        <v>219</v>
      </c>
      <c r="B11">
        <f>Purlin!C34</f>
        <v>0.42</v>
      </c>
      <c r="C11" t="s">
        <v>79</v>
      </c>
    </row>
    <row r="12" spans="1:10" x14ac:dyDescent="0.35">
      <c r="A12" t="s">
        <v>220</v>
      </c>
      <c r="B12">
        <f>B11*B4*B3/2</f>
        <v>5.04</v>
      </c>
      <c r="C12" t="s">
        <v>103</v>
      </c>
    </row>
    <row r="13" spans="1:10" x14ac:dyDescent="0.35">
      <c r="A13" t="s">
        <v>221</v>
      </c>
      <c r="B13">
        <v>1.1625000000000001</v>
      </c>
      <c r="C13" t="s">
        <v>79</v>
      </c>
    </row>
    <row r="14" spans="1:10" x14ac:dyDescent="0.35">
      <c r="A14" t="s">
        <v>222</v>
      </c>
      <c r="B14">
        <f>B13*B4*B3/2</f>
        <v>13.950000000000001</v>
      </c>
      <c r="C14" t="s">
        <v>103</v>
      </c>
    </row>
    <row r="16" spans="1:10" x14ac:dyDescent="0.35">
      <c r="A16" s="1" t="s">
        <v>223</v>
      </c>
      <c r="B16" s="1">
        <f>(B12+B14+B10)*COS(PI()*7.96/180)</f>
        <v>23.917314473845789</v>
      </c>
      <c r="C16" s="1" t="s">
        <v>103</v>
      </c>
    </row>
    <row r="17" spans="1:7" x14ac:dyDescent="0.35">
      <c r="A17" s="1" t="s">
        <v>224</v>
      </c>
      <c r="B17" s="1">
        <f>1.5*B16</f>
        <v>35.875971710768681</v>
      </c>
      <c r="C17" s="1" t="s">
        <v>103</v>
      </c>
    </row>
    <row r="19" spans="1:7" x14ac:dyDescent="0.35">
      <c r="A19" s="1" t="s">
        <v>225</v>
      </c>
      <c r="B19" s="1">
        <f>B17/9</f>
        <v>3.9862190789742979</v>
      </c>
      <c r="C19" s="1" t="s">
        <v>103</v>
      </c>
    </row>
    <row r="20" spans="1:7" x14ac:dyDescent="0.35">
      <c r="A20" s="1"/>
      <c r="B20" s="1"/>
      <c r="C20" s="1"/>
    </row>
    <row r="21" spans="1:7" x14ac:dyDescent="0.35">
      <c r="A21" t="s">
        <v>226</v>
      </c>
      <c r="B21" t="s">
        <v>227</v>
      </c>
    </row>
    <row r="22" spans="1:7" x14ac:dyDescent="0.35">
      <c r="A22" t="s">
        <v>228</v>
      </c>
      <c r="B22" t="s">
        <v>229</v>
      </c>
    </row>
    <row r="24" spans="1:7" x14ac:dyDescent="0.35">
      <c r="A24" s="1" t="s">
        <v>230</v>
      </c>
    </row>
    <row r="25" spans="1:7" x14ac:dyDescent="0.35">
      <c r="A25" t="s">
        <v>231</v>
      </c>
      <c r="B25" t="s">
        <v>107</v>
      </c>
      <c r="E25" t="s">
        <v>232</v>
      </c>
      <c r="F25">
        <v>54.981999999999999</v>
      </c>
      <c r="G25" t="s">
        <v>8</v>
      </c>
    </row>
    <row r="26" spans="1:7" x14ac:dyDescent="0.35">
      <c r="B26" t="s">
        <v>233</v>
      </c>
      <c r="C26">
        <v>7.3999999999999996E-2</v>
      </c>
      <c r="D26" t="s">
        <v>79</v>
      </c>
      <c r="E26">
        <f>C26*F25</f>
        <v>4.0686679999999997</v>
      </c>
      <c r="F26" t="s">
        <v>103</v>
      </c>
    </row>
    <row r="27" spans="1:7" x14ac:dyDescent="0.35">
      <c r="B27" t="s">
        <v>234</v>
      </c>
      <c r="C27">
        <v>938</v>
      </c>
      <c r="D27" t="s">
        <v>235</v>
      </c>
    </row>
    <row r="28" spans="1:7" x14ac:dyDescent="0.35">
      <c r="B28" t="s">
        <v>109</v>
      </c>
      <c r="C28">
        <v>75</v>
      </c>
      <c r="D28" t="s">
        <v>65</v>
      </c>
    </row>
    <row r="29" spans="1:7" x14ac:dyDescent="0.35">
      <c r="B29" t="s">
        <v>236</v>
      </c>
      <c r="C29">
        <v>8</v>
      </c>
      <c r="D29" t="s">
        <v>65</v>
      </c>
    </row>
    <row r="30" spans="1:7" x14ac:dyDescent="0.35">
      <c r="B30" t="s">
        <v>112</v>
      </c>
      <c r="C30">
        <v>6.5</v>
      </c>
      <c r="D30" t="s">
        <v>65</v>
      </c>
    </row>
    <row r="31" spans="1:7" x14ac:dyDescent="0.35">
      <c r="B31" t="s">
        <v>237</v>
      </c>
      <c r="C31">
        <v>25.2</v>
      </c>
      <c r="D31" t="s">
        <v>65</v>
      </c>
    </row>
    <row r="32" spans="1:7" x14ac:dyDescent="0.35">
      <c r="B32" t="s">
        <v>238</v>
      </c>
      <c r="C32">
        <v>12.8</v>
      </c>
      <c r="D32" t="s">
        <v>65</v>
      </c>
    </row>
    <row r="33" spans="1:13" x14ac:dyDescent="0.35">
      <c r="B33" t="s">
        <v>239</v>
      </c>
      <c r="C33">
        <v>518000</v>
      </c>
      <c r="D33" t="s">
        <v>116</v>
      </c>
    </row>
    <row r="34" spans="1:13" x14ac:dyDescent="0.35">
      <c r="B34" t="s">
        <v>240</v>
      </c>
      <c r="C34">
        <v>183000</v>
      </c>
      <c r="D34" t="s">
        <v>116</v>
      </c>
    </row>
    <row r="35" spans="1:13" x14ac:dyDescent="0.35">
      <c r="B35" t="s">
        <v>241</v>
      </c>
      <c r="C35">
        <v>28.5</v>
      </c>
      <c r="D35" t="s">
        <v>65</v>
      </c>
    </row>
    <row r="36" spans="1:13" x14ac:dyDescent="0.35">
      <c r="B36" t="s">
        <v>242</v>
      </c>
      <c r="C36">
        <v>14</v>
      </c>
      <c r="D36" t="s">
        <v>65</v>
      </c>
    </row>
    <row r="38" spans="1:13" x14ac:dyDescent="0.35">
      <c r="A38" s="1" t="s">
        <v>243</v>
      </c>
      <c r="B38" s="1">
        <f>11.534*B19+23.115*(E26/18)</f>
        <v>51.201898680222889</v>
      </c>
      <c r="C38" s="1" t="s">
        <v>103</v>
      </c>
    </row>
    <row r="39" spans="1:13" x14ac:dyDescent="0.35">
      <c r="A39" s="1" t="s">
        <v>244</v>
      </c>
      <c r="B39" s="1">
        <f>11.65*B19+23.32*(E26/18)</f>
        <v>51.710637701161687</v>
      </c>
      <c r="C39" s="1" t="s">
        <v>103</v>
      </c>
    </row>
    <row r="41" spans="1:13" x14ac:dyDescent="0.35">
      <c r="A41" t="s">
        <v>129</v>
      </c>
    </row>
    <row r="42" spans="1:13" x14ac:dyDescent="0.35">
      <c r="A42" t="s">
        <v>245</v>
      </c>
      <c r="B42">
        <f>SQRT(250/I4)</f>
        <v>1</v>
      </c>
      <c r="D42" t="s">
        <v>143</v>
      </c>
      <c r="G42" t="s">
        <v>246</v>
      </c>
      <c r="J42" t="s">
        <v>247</v>
      </c>
    </row>
    <row r="43" spans="1:13" x14ac:dyDescent="0.35">
      <c r="A43" t="s">
        <v>248</v>
      </c>
      <c r="B43">
        <f>C28/C29</f>
        <v>9.375</v>
      </c>
      <c r="C43" s="20" t="s">
        <v>132</v>
      </c>
      <c r="D43" t="s">
        <v>133</v>
      </c>
      <c r="E43">
        <f>9.4*B42</f>
        <v>9.4</v>
      </c>
      <c r="G43" t="s">
        <v>134</v>
      </c>
      <c r="H43">
        <f>10.5*B42</f>
        <v>10.5</v>
      </c>
      <c r="J43" t="s">
        <v>135</v>
      </c>
      <c r="K43">
        <f>15.7*B42</f>
        <v>15.7</v>
      </c>
      <c r="L43" t="s">
        <v>249</v>
      </c>
      <c r="M43" s="25" t="str">
        <f>IF(B43&lt;E43,"Plastic",IF(AND( H43&gt;B43,B43&gt;E43),"Compact",IF(AND(K43&gt;B43,B43&gt;H43),"Semi compact","Slender")))</f>
        <v>Plastic</v>
      </c>
    </row>
    <row r="45" spans="1:13" x14ac:dyDescent="0.35">
      <c r="A45" s="1" t="s">
        <v>250</v>
      </c>
    </row>
    <row r="46" spans="1:13" x14ac:dyDescent="0.35">
      <c r="A46" t="s">
        <v>251</v>
      </c>
      <c r="B46">
        <v>2683</v>
      </c>
      <c r="C46" t="s">
        <v>65</v>
      </c>
    </row>
    <row r="48" spans="1:13" x14ac:dyDescent="0.35">
      <c r="A48" t="s">
        <v>5</v>
      </c>
      <c r="B48">
        <v>0.7</v>
      </c>
    </row>
    <row r="49" spans="1:6" x14ac:dyDescent="0.35">
      <c r="A49" t="s">
        <v>9</v>
      </c>
      <c r="B49">
        <v>0.6</v>
      </c>
    </row>
    <row r="50" spans="1:6" x14ac:dyDescent="0.35">
      <c r="A50" t="s">
        <v>12</v>
      </c>
      <c r="B50">
        <v>5</v>
      </c>
    </row>
    <row r="51" spans="1:6" x14ac:dyDescent="0.35">
      <c r="A51" t="s">
        <v>252</v>
      </c>
      <c r="B51">
        <f>(B46/C36)/(B42*SQRT(PI()*PI()*I7/250))</f>
        <v>2.1567398895084962</v>
      </c>
    </row>
    <row r="52" spans="1:6" x14ac:dyDescent="0.35">
      <c r="A52" t="s">
        <v>253</v>
      </c>
      <c r="B52">
        <f>((C28+C28)/(2*C29))/(B42*SQRT(PI()*PI()*I7/250))</f>
        <v>0.10550581829966087</v>
      </c>
    </row>
    <row r="53" spans="1:6" x14ac:dyDescent="0.35">
      <c r="A53" t="s">
        <v>254</v>
      </c>
      <c r="B53">
        <f>SQRT(B48+(B49*B51^2)+(B50*B52^2))</f>
        <v>1.8832348656165214</v>
      </c>
    </row>
    <row r="54" spans="1:6" x14ac:dyDescent="0.35">
      <c r="A54" t="s">
        <v>255</v>
      </c>
      <c r="B54">
        <v>0.21</v>
      </c>
      <c r="C54" t="s">
        <v>256</v>
      </c>
    </row>
    <row r="55" spans="1:6" x14ac:dyDescent="0.35">
      <c r="A55" t="s">
        <v>257</v>
      </c>
      <c r="B55">
        <f>0.5*(1+B54*(B53-0.2)+B53^2)</f>
        <v>2.4500264404265737</v>
      </c>
    </row>
    <row r="56" spans="1:6" x14ac:dyDescent="0.35">
      <c r="A56" t="s">
        <v>258</v>
      </c>
      <c r="B56">
        <f>(I4/I6)/(B55+SQRT(B55*B55-B53*B53))</f>
        <v>56.574806211581603</v>
      </c>
      <c r="C56" t="s">
        <v>177</v>
      </c>
    </row>
    <row r="57" spans="1:6" x14ac:dyDescent="0.35">
      <c r="A57" s="25" t="s">
        <v>28</v>
      </c>
      <c r="B57" s="25">
        <f>B56*C27/1000</f>
        <v>53.067168226463544</v>
      </c>
      <c r="C57" s="25" t="s">
        <v>103</v>
      </c>
      <c r="D57" s="30" t="str">
        <f>IF(B57&gt;D58,"&gt;","&lt;")</f>
        <v>&gt;</v>
      </c>
      <c r="E57" s="25">
        <f>B39</f>
        <v>51.710637701161687</v>
      </c>
      <c r="F57" s="25" t="str">
        <f>IF(B57&gt;E57,"OK","Recheck")</f>
        <v>OK</v>
      </c>
    </row>
    <row r="59" spans="1:6" x14ac:dyDescent="0.35">
      <c r="A59" s="1" t="s">
        <v>259</v>
      </c>
    </row>
    <row r="60" spans="1:6" x14ac:dyDescent="0.35">
      <c r="A60" s="25" t="s">
        <v>28</v>
      </c>
      <c r="B60" s="25">
        <f>C27*I4/1.1/1000</f>
        <v>213.18181818181819</v>
      </c>
      <c r="C60" s="25" t="s">
        <v>103</v>
      </c>
      <c r="D60" s="30" t="str">
        <f>IF(B60&gt;E60,"&gt;","&lt;")</f>
        <v>&gt;</v>
      </c>
      <c r="E60" s="25">
        <f>B38</f>
        <v>51.201898680222889</v>
      </c>
      <c r="F60" s="25" t="s">
        <v>260</v>
      </c>
    </row>
    <row r="63" spans="1:6" x14ac:dyDescent="0.35">
      <c r="A63" s="1"/>
    </row>
    <row r="76" spans="1:1" x14ac:dyDescent="0.35">
      <c r="A76" s="1"/>
    </row>
    <row r="81" spans="1:1" x14ac:dyDescent="0.35">
      <c r="A81" s="1"/>
    </row>
    <row r="98" spans="1:1" x14ac:dyDescent="0.35">
      <c r="A98" s="1"/>
    </row>
    <row r="102" spans="1:1" x14ac:dyDescent="0.35">
      <c r="A102" s="1"/>
    </row>
    <row r="116" spans="1:1" x14ac:dyDescent="0.35">
      <c r="A1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0E31-FF29-4761-A33C-E3715147AFBC}">
  <dimension ref="A1:L57"/>
  <sheetViews>
    <sheetView tabSelected="1" topLeftCell="A3" workbookViewId="0">
      <selection activeCell="B23" sqref="B23"/>
    </sheetView>
  </sheetViews>
  <sheetFormatPr defaultRowHeight="14.5" x14ac:dyDescent="0.35"/>
  <cols>
    <col min="1" max="1" width="35.26953125" customWidth="1"/>
  </cols>
  <sheetData>
    <row r="1" spans="1:12" x14ac:dyDescent="0.35">
      <c r="A1" s="1" t="s">
        <v>261</v>
      </c>
      <c r="J1" s="9" t="s">
        <v>61</v>
      </c>
      <c r="K1" s="21" t="s">
        <v>62</v>
      </c>
      <c r="L1" s="22"/>
    </row>
    <row r="2" spans="1:12" x14ac:dyDescent="0.35">
      <c r="A2" t="s">
        <v>262</v>
      </c>
      <c r="B2">
        <f>'Truss '!C27</f>
        <v>938</v>
      </c>
      <c r="C2" t="s">
        <v>235</v>
      </c>
      <c r="J2" s="23" t="s">
        <v>68</v>
      </c>
      <c r="K2">
        <v>250</v>
      </c>
      <c r="L2" s="10" t="s">
        <v>69</v>
      </c>
    </row>
    <row r="3" spans="1:12" x14ac:dyDescent="0.35">
      <c r="A3" t="s">
        <v>237</v>
      </c>
      <c r="B3">
        <f>'Truss '!C31</f>
        <v>25.2</v>
      </c>
      <c r="C3" t="s">
        <v>65</v>
      </c>
      <c r="J3" s="23" t="s">
        <v>70</v>
      </c>
      <c r="K3">
        <v>410</v>
      </c>
      <c r="L3" s="10" t="s">
        <v>69</v>
      </c>
    </row>
    <row r="4" spans="1:12" x14ac:dyDescent="0.35">
      <c r="A4" t="s">
        <v>109</v>
      </c>
      <c r="B4">
        <f>'Truss '!C28</f>
        <v>75</v>
      </c>
      <c r="C4" t="s">
        <v>65</v>
      </c>
      <c r="J4" s="23" t="s">
        <v>72</v>
      </c>
      <c r="K4">
        <v>1.1000000000000001</v>
      </c>
      <c r="L4" s="10"/>
    </row>
    <row r="5" spans="1:12" x14ac:dyDescent="0.35">
      <c r="A5" t="s">
        <v>263</v>
      </c>
      <c r="B5">
        <f>'Truss '!B60</f>
        <v>213.18181818181819</v>
      </c>
      <c r="C5" t="s">
        <v>103</v>
      </c>
      <c r="J5" s="23" t="s">
        <v>74</v>
      </c>
      <c r="K5">
        <f>2*10^5</f>
        <v>200000</v>
      </c>
      <c r="L5" s="10" t="s">
        <v>69</v>
      </c>
    </row>
    <row r="6" spans="1:12" x14ac:dyDescent="0.35">
      <c r="A6" s="1" t="s">
        <v>264</v>
      </c>
      <c r="B6" s="1">
        <v>14</v>
      </c>
      <c r="C6" s="1" t="s">
        <v>65</v>
      </c>
      <c r="D6" t="s">
        <v>265</v>
      </c>
      <c r="J6" s="24" t="s">
        <v>198</v>
      </c>
      <c r="K6" s="11">
        <v>1.25</v>
      </c>
      <c r="L6" s="12"/>
    </row>
    <row r="8" spans="1:12" x14ac:dyDescent="0.35">
      <c r="A8" s="1" t="s">
        <v>266</v>
      </c>
      <c r="B8" s="1">
        <v>6</v>
      </c>
      <c r="C8" s="1" t="s">
        <v>65</v>
      </c>
      <c r="D8" t="s">
        <v>265</v>
      </c>
    </row>
    <row r="9" spans="1:12" x14ac:dyDescent="0.35">
      <c r="A9" t="s">
        <v>267</v>
      </c>
      <c r="B9">
        <f>0.7*B8</f>
        <v>4.1999999999999993</v>
      </c>
      <c r="C9" t="s">
        <v>65</v>
      </c>
    </row>
    <row r="10" spans="1:12" x14ac:dyDescent="0.35">
      <c r="A10" t="s">
        <v>268</v>
      </c>
      <c r="B10">
        <f>B9*K3/(SQRT(3)*K6)</f>
        <v>795.35773083562844</v>
      </c>
      <c r="C10" t="s">
        <v>269</v>
      </c>
    </row>
    <row r="11" spans="1:12" x14ac:dyDescent="0.35">
      <c r="A11" t="s">
        <v>270</v>
      </c>
      <c r="B11">
        <f>B10*B4/1000</f>
        <v>59.651829812672133</v>
      </c>
      <c r="C11" t="s">
        <v>103</v>
      </c>
    </row>
    <row r="12" spans="1:12" x14ac:dyDescent="0.35">
      <c r="A12" t="s">
        <v>271</v>
      </c>
      <c r="B12">
        <f>B5*B3/B4-(B11/2)</f>
        <v>41.803176002754839</v>
      </c>
      <c r="C12" t="s">
        <v>103</v>
      </c>
    </row>
    <row r="13" spans="1:12" x14ac:dyDescent="0.35">
      <c r="A13" t="s">
        <v>272</v>
      </c>
      <c r="B13">
        <f>B5-B11-B12</f>
        <v>111.72681236639121</v>
      </c>
      <c r="C13" t="s">
        <v>103</v>
      </c>
    </row>
    <row r="14" spans="1:12" x14ac:dyDescent="0.35">
      <c r="A14" t="s">
        <v>273</v>
      </c>
      <c r="B14">
        <f>B12*1000/B10</f>
        <v>52.558961058736521</v>
      </c>
      <c r="C14" t="s">
        <v>65</v>
      </c>
    </row>
    <row r="15" spans="1:12" x14ac:dyDescent="0.35">
      <c r="A15" s="25" t="s">
        <v>274</v>
      </c>
      <c r="B15" s="25">
        <f>ROUND(B14,0)+1</f>
        <v>54</v>
      </c>
      <c r="C15" t="s">
        <v>65</v>
      </c>
    </row>
    <row r="16" spans="1:12" x14ac:dyDescent="0.35">
      <c r="A16" s="25" t="s">
        <v>275</v>
      </c>
      <c r="B16" s="25">
        <f>B4</f>
        <v>75</v>
      </c>
      <c r="C16" t="s">
        <v>65</v>
      </c>
    </row>
    <row r="17" spans="1:7" x14ac:dyDescent="0.35">
      <c r="A17" t="s">
        <v>276</v>
      </c>
      <c r="B17">
        <f>B13*1000/B10</f>
        <v>140.47366113988409</v>
      </c>
      <c r="C17" t="s">
        <v>65</v>
      </c>
    </row>
    <row r="18" spans="1:7" x14ac:dyDescent="0.35">
      <c r="A18" s="25" t="s">
        <v>277</v>
      </c>
      <c r="B18" s="25">
        <f>ROUND(B17,0)+1</f>
        <v>141</v>
      </c>
      <c r="C18" t="s">
        <v>65</v>
      </c>
    </row>
    <row r="20" spans="1:7" x14ac:dyDescent="0.35">
      <c r="A20" t="s">
        <v>278</v>
      </c>
    </row>
    <row r="21" spans="1:7" x14ac:dyDescent="0.35">
      <c r="A21" t="s">
        <v>279</v>
      </c>
      <c r="B21">
        <f>((B6*(B18*2)*K2/(SQRT(3)*K4))+(0.9*K3*B6*B4/K6))/1000</f>
        <v>828.00065062741862</v>
      </c>
      <c r="C21" t="s">
        <v>103</v>
      </c>
    </row>
    <row r="22" spans="1:7" x14ac:dyDescent="0.35">
      <c r="A22" t="s">
        <v>280</v>
      </c>
      <c r="B22">
        <f>((0.9*K3*B18*2/(SQRT(3)*K6))+(K2*B6*B4/K4))/1000</f>
        <v>286.69869508543087</v>
      </c>
      <c r="C22" t="s">
        <v>103</v>
      </c>
    </row>
    <row r="23" spans="1:7" x14ac:dyDescent="0.35">
      <c r="A23" t="s">
        <v>281</v>
      </c>
    </row>
    <row r="24" spans="1:7" x14ac:dyDescent="0.35">
      <c r="A24" s="1" t="s">
        <v>282</v>
      </c>
      <c r="B24" s="1">
        <f>MIN(B21:B22)</f>
        <v>286.69869508543087</v>
      </c>
      <c r="C24" s="1" t="s">
        <v>103</v>
      </c>
      <c r="D24" s="28" t="str">
        <f>IF(B24&gt;E24,"&gt;","&lt;")</f>
        <v>&gt;</v>
      </c>
      <c r="E24" s="1">
        <f>B5</f>
        <v>213.18181818181819</v>
      </c>
      <c r="F24" s="1" t="s">
        <v>103</v>
      </c>
      <c r="G24" s="25" t="str">
        <f>IF(B24&gt;E24,"OK","Recheck")</f>
        <v>OK</v>
      </c>
    </row>
    <row r="26" spans="1:7" x14ac:dyDescent="0.35">
      <c r="A26" s="1"/>
    </row>
    <row r="31" spans="1:7" x14ac:dyDescent="0.35">
      <c r="A31" s="1"/>
      <c r="B31" s="1"/>
      <c r="C31" s="1"/>
    </row>
    <row r="33" spans="1:3" x14ac:dyDescent="0.35">
      <c r="A33" s="1"/>
      <c r="B33" s="1"/>
      <c r="C33" s="1"/>
    </row>
    <row r="40" spans="1:3" x14ac:dyDescent="0.35">
      <c r="A40" s="1"/>
      <c r="B40" s="1"/>
    </row>
    <row r="41" spans="1:3" x14ac:dyDescent="0.35">
      <c r="A41" s="1"/>
      <c r="B41" s="1"/>
    </row>
    <row r="43" spans="1:3" x14ac:dyDescent="0.35">
      <c r="A43" s="1"/>
      <c r="B43" s="1"/>
    </row>
    <row r="57" spans="4:4" x14ac:dyDescent="0.35">
      <c r="D57" t="str">
        <f>'Truss connections (Weld)'!D24</f>
        <v>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362D-167F-4039-B606-D7DD01ECD1A2}">
  <dimension ref="A1:N52"/>
  <sheetViews>
    <sheetView topLeftCell="A39" workbookViewId="0">
      <selection activeCell="E55" sqref="E55"/>
    </sheetView>
  </sheetViews>
  <sheetFormatPr defaultRowHeight="14.5" x14ac:dyDescent="0.35"/>
  <cols>
    <col min="1" max="1" width="29.54296875" customWidth="1"/>
    <col min="2" max="2" width="14.7265625" customWidth="1"/>
    <col min="12" max="12" width="18" customWidth="1"/>
    <col min="13" max="14" width="9.1796875" bestFit="1" customWidth="1"/>
  </cols>
  <sheetData>
    <row r="1" spans="1:14" x14ac:dyDescent="0.35">
      <c r="A1" s="1" t="s">
        <v>283</v>
      </c>
      <c r="L1" s="9" t="s">
        <v>61</v>
      </c>
      <c r="M1" s="21" t="s">
        <v>62</v>
      </c>
      <c r="N1" s="22"/>
    </row>
    <row r="2" spans="1:14" x14ac:dyDescent="0.35">
      <c r="A2" t="s">
        <v>284</v>
      </c>
      <c r="B2">
        <f>'Truss '!B16</f>
        <v>23.917314473845789</v>
      </c>
      <c r="C2" t="s">
        <v>103</v>
      </c>
      <c r="L2" s="23" t="s">
        <v>68</v>
      </c>
      <c r="M2">
        <v>250</v>
      </c>
      <c r="N2" s="10" t="s">
        <v>69</v>
      </c>
    </row>
    <row r="3" spans="1:14" x14ac:dyDescent="0.35">
      <c r="A3" t="s">
        <v>285</v>
      </c>
      <c r="B3">
        <f>'Truss '!E26</f>
        <v>4.0686679999999997</v>
      </c>
      <c r="C3" t="s">
        <v>103</v>
      </c>
      <c r="L3" s="23" t="s">
        <v>70</v>
      </c>
      <c r="M3">
        <v>410</v>
      </c>
      <c r="N3" s="10" t="s">
        <v>69</v>
      </c>
    </row>
    <row r="4" spans="1:14" x14ac:dyDescent="0.35">
      <c r="A4" t="s">
        <v>286</v>
      </c>
      <c r="B4">
        <f>(B2+B3)/2</f>
        <v>13.992991236922894</v>
      </c>
      <c r="C4" t="s">
        <v>103</v>
      </c>
      <c r="L4" s="23" t="s">
        <v>72</v>
      </c>
      <c r="M4">
        <v>1.1000000000000001</v>
      </c>
      <c r="N4" s="10"/>
    </row>
    <row r="5" spans="1:14" x14ac:dyDescent="0.35">
      <c r="A5" t="s">
        <v>224</v>
      </c>
      <c r="B5">
        <f>1.5*B4</f>
        <v>20.989486855384342</v>
      </c>
      <c r="C5" t="s">
        <v>103</v>
      </c>
      <c r="L5" s="24" t="s">
        <v>74</v>
      </c>
      <c r="M5" s="11">
        <v>200000</v>
      </c>
      <c r="N5" s="12" t="s">
        <v>69</v>
      </c>
    </row>
    <row r="7" spans="1:14" x14ac:dyDescent="0.35">
      <c r="A7" s="1" t="s">
        <v>287</v>
      </c>
      <c r="B7" t="s">
        <v>107</v>
      </c>
    </row>
    <row r="8" spans="1:14" x14ac:dyDescent="0.35">
      <c r="B8" t="s">
        <v>288</v>
      </c>
      <c r="C8">
        <v>6.0999999999999999E-2</v>
      </c>
      <c r="D8" t="s">
        <v>79</v>
      </c>
      <c r="E8">
        <f>C8*1.5</f>
        <v>9.1499999999999998E-2</v>
      </c>
      <c r="F8" t="s">
        <v>103</v>
      </c>
    </row>
    <row r="9" spans="1:14" x14ac:dyDescent="0.35">
      <c r="B9" t="s">
        <v>289</v>
      </c>
      <c r="C9">
        <v>771</v>
      </c>
      <c r="D9" t="s">
        <v>235</v>
      </c>
    </row>
    <row r="10" spans="1:14" x14ac:dyDescent="0.35">
      <c r="B10" t="s">
        <v>290</v>
      </c>
      <c r="C10">
        <v>30.7</v>
      </c>
      <c r="D10" t="s">
        <v>65</v>
      </c>
    </row>
    <row r="11" spans="1:14" x14ac:dyDescent="0.35">
      <c r="B11" t="s">
        <v>291</v>
      </c>
      <c r="C11">
        <v>11.4</v>
      </c>
      <c r="D11" t="s">
        <v>65</v>
      </c>
    </row>
    <row r="12" spans="1:14" x14ac:dyDescent="0.35">
      <c r="B12" t="s">
        <v>292</v>
      </c>
      <c r="C12">
        <v>75</v>
      </c>
      <c r="D12" t="s">
        <v>65</v>
      </c>
    </row>
    <row r="13" spans="1:14" x14ac:dyDescent="0.35">
      <c r="B13" t="s">
        <v>110</v>
      </c>
      <c r="C13">
        <v>50</v>
      </c>
      <c r="D13" t="s">
        <v>65</v>
      </c>
    </row>
    <row r="14" spans="1:14" x14ac:dyDescent="0.35">
      <c r="B14" t="s">
        <v>293</v>
      </c>
      <c r="C14">
        <v>5</v>
      </c>
      <c r="D14" t="s">
        <v>65</v>
      </c>
    </row>
    <row r="15" spans="1:14" x14ac:dyDescent="0.35">
      <c r="B15" t="s">
        <v>112</v>
      </c>
      <c r="C15">
        <v>6.5</v>
      </c>
      <c r="D15" t="s">
        <v>65</v>
      </c>
    </row>
    <row r="16" spans="1:14" x14ac:dyDescent="0.35">
      <c r="B16" t="s">
        <v>113</v>
      </c>
      <c r="C16">
        <f>C12-2*C14-2*C15</f>
        <v>52</v>
      </c>
      <c r="D16" t="s">
        <v>65</v>
      </c>
    </row>
    <row r="17" spans="1:13" x14ac:dyDescent="0.35">
      <c r="B17" t="s">
        <v>294</v>
      </c>
      <c r="C17">
        <v>3.7</v>
      </c>
      <c r="D17" t="s">
        <v>65</v>
      </c>
    </row>
    <row r="18" spans="1:13" x14ac:dyDescent="0.35">
      <c r="A18" s="25" t="s">
        <v>295</v>
      </c>
      <c r="B18" s="25">
        <f>B5+E8*1.5</f>
        <v>21.126736855384344</v>
      </c>
      <c r="C18" s="25" t="s">
        <v>103</v>
      </c>
    </row>
    <row r="20" spans="1:13" x14ac:dyDescent="0.35">
      <c r="A20" t="s">
        <v>296</v>
      </c>
    </row>
    <row r="21" spans="1:13" x14ac:dyDescent="0.35">
      <c r="A21" t="s">
        <v>297</v>
      </c>
      <c r="B21">
        <f>SQRT(250/M2)</f>
        <v>1</v>
      </c>
      <c r="D21" t="s">
        <v>143</v>
      </c>
      <c r="G21" t="s">
        <v>246</v>
      </c>
      <c r="J21" t="s">
        <v>247</v>
      </c>
    </row>
    <row r="22" spans="1:13" x14ac:dyDescent="0.35">
      <c r="A22" t="s">
        <v>298</v>
      </c>
      <c r="B22">
        <f>C13/C14</f>
        <v>10</v>
      </c>
      <c r="D22" t="s">
        <v>133</v>
      </c>
      <c r="E22">
        <f>9.4*B21</f>
        <v>9.4</v>
      </c>
      <c r="G22" t="s">
        <v>134</v>
      </c>
      <c r="H22">
        <f>10.5*B21</f>
        <v>10.5</v>
      </c>
      <c r="J22" t="s">
        <v>135</v>
      </c>
      <c r="K22">
        <f>15.7*B21</f>
        <v>15.7</v>
      </c>
      <c r="L22" t="s">
        <v>136</v>
      </c>
      <c r="M22" s="25" t="str">
        <f>IF(B22&lt;E22,"Plastic",IF(AND( H22&gt;B22,B22&gt;E22),"Compact",IF(AND(K22&gt;B22,B22&gt;H22),"Semi compact","Slender")))</f>
        <v>Compact</v>
      </c>
    </row>
    <row r="23" spans="1:13" x14ac:dyDescent="0.35">
      <c r="A23" t="s">
        <v>299</v>
      </c>
      <c r="B23">
        <f>C16/C17</f>
        <v>14.054054054054053</v>
      </c>
      <c r="D23" t="s">
        <v>138</v>
      </c>
      <c r="E23">
        <f>84*B21</f>
        <v>84</v>
      </c>
      <c r="G23" t="s">
        <v>139</v>
      </c>
      <c r="H23">
        <f>105*B21</f>
        <v>105</v>
      </c>
      <c r="J23" t="s">
        <v>140</v>
      </c>
      <c r="K23">
        <f>126*B21</f>
        <v>126</v>
      </c>
      <c r="L23" t="s">
        <v>141</v>
      </c>
      <c r="M23" s="25" t="str">
        <f>IF(B23&lt;E23,"Plastic",IF(AND( H23&gt;B23,B23&gt;E23),"Compact",IF(AND(K23&gt;B23,B23&gt;H23),"Semi compact","Slender")))</f>
        <v>Plastic</v>
      </c>
    </row>
    <row r="25" spans="1:13" x14ac:dyDescent="0.35">
      <c r="A25" t="s">
        <v>300</v>
      </c>
    </row>
    <row r="26" spans="1:13" x14ac:dyDescent="0.35">
      <c r="A26" t="s">
        <v>301</v>
      </c>
      <c r="B26">
        <f>C12/C13</f>
        <v>1.5</v>
      </c>
      <c r="C26" s="20" t="str">
        <f>IF(B26&lt;D26,"&lt;","&gt;")</f>
        <v>&gt;</v>
      </c>
      <c r="D26">
        <v>1.2</v>
      </c>
    </row>
    <row r="27" spans="1:13" x14ac:dyDescent="0.35">
      <c r="A27" t="s">
        <v>302</v>
      </c>
      <c r="B27" t="s">
        <v>303</v>
      </c>
    </row>
    <row r="28" spans="1:13" x14ac:dyDescent="0.35">
      <c r="A28" t="s">
        <v>293</v>
      </c>
      <c r="B28" s="20" t="str">
        <f>IF(C14&lt;40,"&lt;","&gt;")</f>
        <v>&lt;</v>
      </c>
      <c r="C28">
        <v>40</v>
      </c>
    </row>
    <row r="29" spans="1:13" x14ac:dyDescent="0.35">
      <c r="A29" t="s">
        <v>304</v>
      </c>
      <c r="B29" t="s">
        <v>305</v>
      </c>
    </row>
    <row r="31" spans="1:13" x14ac:dyDescent="0.35">
      <c r="A31" t="s">
        <v>306</v>
      </c>
      <c r="B31">
        <v>1500</v>
      </c>
      <c r="C31" t="s">
        <v>65</v>
      </c>
    </row>
    <row r="32" spans="1:13" x14ac:dyDescent="0.35">
      <c r="A32" t="s">
        <v>173</v>
      </c>
      <c r="B32">
        <v>1</v>
      </c>
    </row>
    <row r="33" spans="1:3" x14ac:dyDescent="0.35">
      <c r="A33" t="s">
        <v>307</v>
      </c>
    </row>
    <row r="34" spans="1:3" x14ac:dyDescent="0.35">
      <c r="A34" s="1" t="s">
        <v>308</v>
      </c>
    </row>
    <row r="35" spans="1:3" x14ac:dyDescent="0.35">
      <c r="A35" t="s">
        <v>31</v>
      </c>
      <c r="B35">
        <v>0.21</v>
      </c>
    </row>
    <row r="36" spans="1:3" x14ac:dyDescent="0.35">
      <c r="A36" t="s">
        <v>309</v>
      </c>
      <c r="B36">
        <f>B32*B31/C10</f>
        <v>48.859934853420199</v>
      </c>
    </row>
    <row r="37" spans="1:3" x14ac:dyDescent="0.35">
      <c r="A37" t="s">
        <v>310</v>
      </c>
      <c r="B37">
        <f>SQRT(M2*B36^2/(PI()^2*M5))</f>
        <v>0.54986745693634331</v>
      </c>
    </row>
    <row r="38" spans="1:3" x14ac:dyDescent="0.35">
      <c r="A38" t="s">
        <v>257</v>
      </c>
      <c r="B38">
        <f>0.5*(1+B35*(B37-0.2)+B37*B37)</f>
        <v>0.68791319307713672</v>
      </c>
    </row>
    <row r="39" spans="1:3" x14ac:dyDescent="0.35">
      <c r="A39" s="1" t="s">
        <v>258</v>
      </c>
      <c r="B39" s="1">
        <f>(M2/M4)/(B38+SQRT(B38*B38-B37*B37))</f>
        <v>206.37183152145857</v>
      </c>
      <c r="C39" s="1" t="s">
        <v>177</v>
      </c>
    </row>
    <row r="41" spans="1:3" x14ac:dyDescent="0.35">
      <c r="A41" s="1" t="s">
        <v>311</v>
      </c>
    </row>
    <row r="42" spans="1:3" x14ac:dyDescent="0.35">
      <c r="A42" t="s">
        <v>31</v>
      </c>
      <c r="B42">
        <v>0.34</v>
      </c>
    </row>
    <row r="43" spans="1:3" x14ac:dyDescent="0.35">
      <c r="A43" t="s">
        <v>312</v>
      </c>
      <c r="B43">
        <f>B32*B31/C11</f>
        <v>131.57894736842104</v>
      </c>
    </row>
    <row r="44" spans="1:3" x14ac:dyDescent="0.35">
      <c r="A44" t="s">
        <v>310</v>
      </c>
      <c r="B44">
        <f>SQRT(M2*B43^2/(PI()^2*M5))</f>
        <v>1.4807834147320824</v>
      </c>
    </row>
    <row r="45" spans="1:3" x14ac:dyDescent="0.35">
      <c r="A45" t="s">
        <v>257</v>
      </c>
      <c r="B45">
        <f>0.5*(1+B42*(B44-0.2)+B44*B44)</f>
        <v>1.8140929411772573</v>
      </c>
    </row>
    <row r="46" spans="1:3" x14ac:dyDescent="0.35">
      <c r="A46" s="1" t="s">
        <v>258</v>
      </c>
      <c r="B46" s="1">
        <f>(M2/M4)/(B45+SQRT(B45*B45-B44*B44))</f>
        <v>79.409073694883247</v>
      </c>
      <c r="C46" s="1" t="s">
        <v>177</v>
      </c>
    </row>
    <row r="48" spans="1:3" x14ac:dyDescent="0.35">
      <c r="A48" s="1" t="s">
        <v>313</v>
      </c>
    </row>
    <row r="49" spans="1:6" x14ac:dyDescent="0.35">
      <c r="A49" t="s">
        <v>314</v>
      </c>
      <c r="B49">
        <f>B39</f>
        <v>206.37183152145857</v>
      </c>
      <c r="C49" t="s">
        <v>177</v>
      </c>
    </row>
    <row r="50" spans="1:6" x14ac:dyDescent="0.35">
      <c r="A50" t="s">
        <v>315</v>
      </c>
      <c r="B50">
        <f>B46</f>
        <v>79.409073694883247</v>
      </c>
      <c r="C50" t="s">
        <v>177</v>
      </c>
    </row>
    <row r="51" spans="1:6" x14ac:dyDescent="0.35">
      <c r="A51" t="s">
        <v>316</v>
      </c>
      <c r="B51">
        <f>MIN(B49,B50)</f>
        <v>79.409073694883247</v>
      </c>
      <c r="C51" t="s">
        <v>177</v>
      </c>
    </row>
    <row r="52" spans="1:6" x14ac:dyDescent="0.35">
      <c r="A52" s="1" t="s">
        <v>317</v>
      </c>
      <c r="B52" s="25">
        <f>C9*B51/1000</f>
        <v>61.224395818754985</v>
      </c>
      <c r="C52" s="25" t="s">
        <v>103</v>
      </c>
      <c r="D52" s="28" t="str">
        <f>IF(B52&gt;E52,"&gt;","&lt;")</f>
        <v>&gt;</v>
      </c>
      <c r="E52" s="1">
        <f>B18</f>
        <v>21.126736855384344</v>
      </c>
      <c r="F52" s="25" t="str">
        <f>IF(B52&gt;E52,"OK","Recheck")</f>
        <v>OK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0EE9-4FF6-4C7A-AFE4-96544B3A67B2}">
  <dimension ref="A1:N66"/>
  <sheetViews>
    <sheetView topLeftCell="A3" workbookViewId="0">
      <selection activeCell="C13" sqref="C13"/>
    </sheetView>
  </sheetViews>
  <sheetFormatPr defaultRowHeight="14.5" x14ac:dyDescent="0.35"/>
  <cols>
    <col min="1" max="1" width="29.54296875" customWidth="1"/>
    <col min="2" max="2" width="14.7265625" customWidth="1"/>
    <col min="3" max="3" width="10.54296875" bestFit="1" customWidth="1"/>
    <col min="10" max="10" width="14.81640625" customWidth="1"/>
    <col min="12" max="12" width="20.1796875" customWidth="1"/>
  </cols>
  <sheetData>
    <row r="1" spans="1:14" x14ac:dyDescent="0.35">
      <c r="A1" s="1" t="s">
        <v>318</v>
      </c>
      <c r="L1" s="9" t="s">
        <v>61</v>
      </c>
      <c r="M1" s="21" t="s">
        <v>62</v>
      </c>
      <c r="N1" s="22"/>
    </row>
    <row r="2" spans="1:14" x14ac:dyDescent="0.35">
      <c r="A2" t="s">
        <v>284</v>
      </c>
      <c r="B2">
        <f>'Column (upper)'!B4</f>
        <v>13.992991236922894</v>
      </c>
      <c r="C2" t="s">
        <v>103</v>
      </c>
      <c r="L2" s="23" t="s">
        <v>68</v>
      </c>
      <c r="M2">
        <v>250</v>
      </c>
      <c r="N2" s="10" t="s">
        <v>69</v>
      </c>
    </row>
    <row r="3" spans="1:14" x14ac:dyDescent="0.35">
      <c r="A3" t="s">
        <v>319</v>
      </c>
      <c r="B3">
        <f>'Column (upper)'!E8</f>
        <v>9.1499999999999998E-2</v>
      </c>
      <c r="C3" t="s">
        <v>103</v>
      </c>
      <c r="L3" s="23" t="s">
        <v>70</v>
      </c>
      <c r="M3">
        <v>410</v>
      </c>
      <c r="N3" s="10" t="s">
        <v>69</v>
      </c>
    </row>
    <row r="4" spans="1:14" x14ac:dyDescent="0.35">
      <c r="A4" t="s">
        <v>320</v>
      </c>
      <c r="B4">
        <v>380</v>
      </c>
      <c r="C4" t="s">
        <v>103</v>
      </c>
      <c r="L4" s="23"/>
      <c r="N4" s="10"/>
    </row>
    <row r="5" spans="1:14" x14ac:dyDescent="0.35">
      <c r="A5" t="s">
        <v>286</v>
      </c>
      <c r="B5">
        <f>B2+B3+B4</f>
        <v>394.08449123692287</v>
      </c>
      <c r="C5" t="s">
        <v>103</v>
      </c>
      <c r="L5" s="23" t="s">
        <v>72</v>
      </c>
      <c r="M5">
        <v>1.1000000000000001</v>
      </c>
      <c r="N5" s="10"/>
    </row>
    <row r="6" spans="1:14" x14ac:dyDescent="0.35">
      <c r="A6" t="s">
        <v>224</v>
      </c>
      <c r="B6">
        <f>1.5*B5</f>
        <v>591.12673685538425</v>
      </c>
      <c r="C6" t="s">
        <v>103</v>
      </c>
      <c r="L6" s="24" t="s">
        <v>74</v>
      </c>
      <c r="M6" s="11">
        <v>200000</v>
      </c>
      <c r="N6" s="12" t="s">
        <v>69</v>
      </c>
    </row>
    <row r="8" spans="1:14" x14ac:dyDescent="0.35">
      <c r="A8" t="s">
        <v>321</v>
      </c>
      <c r="B8" t="s">
        <v>107</v>
      </c>
    </row>
    <row r="9" spans="1:14" x14ac:dyDescent="0.35">
      <c r="B9" t="s">
        <v>322</v>
      </c>
      <c r="C9">
        <v>0.72399999999999998</v>
      </c>
      <c r="D9" t="s">
        <v>79</v>
      </c>
      <c r="E9">
        <f>C9*10.5</f>
        <v>7.6019999999999994</v>
      </c>
      <c r="F9" t="s">
        <v>103</v>
      </c>
    </row>
    <row r="10" spans="1:14" x14ac:dyDescent="0.35">
      <c r="B10" t="s">
        <v>289</v>
      </c>
      <c r="C10">
        <v>9220</v>
      </c>
      <c r="D10" t="s">
        <v>235</v>
      </c>
    </row>
    <row r="11" spans="1:14" x14ac:dyDescent="0.35">
      <c r="B11" t="s">
        <v>290</v>
      </c>
      <c r="C11">
        <v>182</v>
      </c>
      <c r="D11" t="s">
        <v>65</v>
      </c>
    </row>
    <row r="12" spans="1:14" x14ac:dyDescent="0.35">
      <c r="B12" t="s">
        <v>291</v>
      </c>
      <c r="C12">
        <v>30.1</v>
      </c>
      <c r="D12" t="s">
        <v>65</v>
      </c>
    </row>
    <row r="13" spans="1:14" x14ac:dyDescent="0.35">
      <c r="B13" t="s">
        <v>292</v>
      </c>
      <c r="C13">
        <v>450</v>
      </c>
      <c r="D13" t="s">
        <v>65</v>
      </c>
    </row>
    <row r="14" spans="1:14" x14ac:dyDescent="0.35">
      <c r="B14" t="s">
        <v>110</v>
      </c>
      <c r="C14">
        <v>150</v>
      </c>
      <c r="D14" t="s">
        <v>65</v>
      </c>
    </row>
    <row r="15" spans="1:14" x14ac:dyDescent="0.35">
      <c r="B15" t="s">
        <v>293</v>
      </c>
      <c r="C15">
        <v>17.399999999999999</v>
      </c>
      <c r="D15" t="s">
        <v>65</v>
      </c>
    </row>
    <row r="16" spans="1:14" x14ac:dyDescent="0.35">
      <c r="B16" t="s">
        <v>112</v>
      </c>
      <c r="C16">
        <v>15</v>
      </c>
      <c r="D16" t="s">
        <v>65</v>
      </c>
    </row>
    <row r="17" spans="1:6" x14ac:dyDescent="0.35">
      <c r="B17" t="s">
        <v>113</v>
      </c>
      <c r="C17">
        <f>C13-2*C15-2*C16</f>
        <v>385.2</v>
      </c>
      <c r="D17" t="s">
        <v>65</v>
      </c>
    </row>
    <row r="18" spans="1:6" x14ac:dyDescent="0.35">
      <c r="B18" t="s">
        <v>294</v>
      </c>
      <c r="C18">
        <v>9.4</v>
      </c>
      <c r="D18" t="s">
        <v>65</v>
      </c>
    </row>
    <row r="19" spans="1:6" x14ac:dyDescent="0.35">
      <c r="B19" t="s">
        <v>239</v>
      </c>
      <c r="C19">
        <v>304000000</v>
      </c>
      <c r="D19" t="s">
        <v>116</v>
      </c>
    </row>
    <row r="20" spans="1:6" x14ac:dyDescent="0.35">
      <c r="B20" t="s">
        <v>240</v>
      </c>
      <c r="C20">
        <v>8340000</v>
      </c>
      <c r="D20" t="s">
        <v>116</v>
      </c>
    </row>
    <row r="21" spans="1:6" x14ac:dyDescent="0.35">
      <c r="A21" s="25" t="s">
        <v>323</v>
      </c>
      <c r="B21" s="25">
        <f>B6+E9*1.5</f>
        <v>602.52973685538427</v>
      </c>
      <c r="C21" s="25" t="s">
        <v>103</v>
      </c>
    </row>
    <row r="23" spans="1:6" x14ac:dyDescent="0.35">
      <c r="A23" s="2" t="s">
        <v>324</v>
      </c>
    </row>
    <row r="24" spans="1:6" x14ac:dyDescent="0.35">
      <c r="A24" s="1" t="s">
        <v>325</v>
      </c>
      <c r="B24" s="1">
        <v>250</v>
      </c>
      <c r="C24" t="s">
        <v>65</v>
      </c>
    </row>
    <row r="25" spans="1:6" x14ac:dyDescent="0.35">
      <c r="A25" s="1" t="s">
        <v>326</v>
      </c>
      <c r="B25" s="1">
        <v>15</v>
      </c>
      <c r="C25" t="s">
        <v>65</v>
      </c>
    </row>
    <row r="26" spans="1:6" x14ac:dyDescent="0.35">
      <c r="A26" t="s">
        <v>327</v>
      </c>
      <c r="B26">
        <f>C10+B24*B25*2</f>
        <v>16720</v>
      </c>
      <c r="C26" t="s">
        <v>235</v>
      </c>
    </row>
    <row r="27" spans="1:6" x14ac:dyDescent="0.35">
      <c r="A27" t="s">
        <v>328</v>
      </c>
      <c r="B27">
        <f>0.4*C13</f>
        <v>180</v>
      </c>
    </row>
    <row r="28" spans="1:6" x14ac:dyDescent="0.35">
      <c r="A28" t="s">
        <v>329</v>
      </c>
      <c r="B28">
        <f>0.21*B24</f>
        <v>52.5</v>
      </c>
    </row>
    <row r="29" spans="1:6" x14ac:dyDescent="0.35">
      <c r="A29" t="s">
        <v>330</v>
      </c>
      <c r="B29">
        <f>2*(B24*(B25^3)/12+B24*B25*232.5^2)</f>
        <v>405562500</v>
      </c>
      <c r="C29" t="s">
        <v>116</v>
      </c>
      <c r="F29" s="1"/>
    </row>
    <row r="30" spans="1:6" x14ac:dyDescent="0.35">
      <c r="A30" t="s">
        <v>331</v>
      </c>
      <c r="B30">
        <f>C19+B29</f>
        <v>709562500</v>
      </c>
      <c r="C30" t="s">
        <v>116</v>
      </c>
    </row>
    <row r="31" spans="1:6" x14ac:dyDescent="0.35">
      <c r="A31" t="s">
        <v>332</v>
      </c>
      <c r="B31">
        <f>SQRT(B30/B26)</f>
        <v>206.00472947142089</v>
      </c>
      <c r="C31" t="s">
        <v>65</v>
      </c>
    </row>
    <row r="32" spans="1:6" x14ac:dyDescent="0.35">
      <c r="A32" t="s">
        <v>333</v>
      </c>
      <c r="B32">
        <f>2*B25*B24^3/12</f>
        <v>39062500</v>
      </c>
      <c r="C32" t="s">
        <v>116</v>
      </c>
    </row>
    <row r="33" spans="1:13" x14ac:dyDescent="0.35">
      <c r="A33" t="s">
        <v>334</v>
      </c>
      <c r="B33">
        <f>B32+C20</f>
        <v>47402500</v>
      </c>
      <c r="C33" t="s">
        <v>116</v>
      </c>
    </row>
    <row r="34" spans="1:13" x14ac:dyDescent="0.35">
      <c r="A34" t="s">
        <v>291</v>
      </c>
      <c r="B34">
        <f>SQRT(B33/B26)</f>
        <v>53.245448173493408</v>
      </c>
      <c r="C34" t="s">
        <v>65</v>
      </c>
    </row>
    <row r="36" spans="1:13" x14ac:dyDescent="0.35">
      <c r="A36" t="s">
        <v>296</v>
      </c>
    </row>
    <row r="37" spans="1:13" x14ac:dyDescent="0.35">
      <c r="A37" t="s">
        <v>297</v>
      </c>
      <c r="B37">
        <f>SQRT(250/M2)</f>
        <v>1</v>
      </c>
      <c r="D37" t="s">
        <v>143</v>
      </c>
      <c r="G37" t="s">
        <v>246</v>
      </c>
      <c r="J37" t="s">
        <v>247</v>
      </c>
    </row>
    <row r="38" spans="1:13" x14ac:dyDescent="0.35">
      <c r="A38" t="s">
        <v>298</v>
      </c>
      <c r="B38">
        <f>C14/C15</f>
        <v>8.6206896551724146</v>
      </c>
      <c r="D38" t="s">
        <v>133</v>
      </c>
      <c r="E38">
        <f>9.4*B37</f>
        <v>9.4</v>
      </c>
      <c r="G38" t="s">
        <v>134</v>
      </c>
      <c r="H38">
        <f>10.5*B37</f>
        <v>10.5</v>
      </c>
      <c r="J38" t="s">
        <v>135</v>
      </c>
      <c r="K38">
        <f>15.7*B37</f>
        <v>15.7</v>
      </c>
      <c r="L38" t="s">
        <v>136</v>
      </c>
      <c r="M38" s="25" t="str">
        <f>IF(B38&lt;E38,"Plastic",IF(AND( H38&gt;B38,B38&gt;E38),"Compact",IF(AND(K38&gt;B38,B38&gt;H38),"Semi compact","Slender")))</f>
        <v>Plastic</v>
      </c>
    </row>
    <row r="39" spans="1:13" x14ac:dyDescent="0.35">
      <c r="A39" t="s">
        <v>299</v>
      </c>
      <c r="B39">
        <f>C17/C18</f>
        <v>40.978723404255319</v>
      </c>
      <c r="D39" t="s">
        <v>138</v>
      </c>
      <c r="E39">
        <f>84*B37</f>
        <v>84</v>
      </c>
      <c r="G39" t="s">
        <v>139</v>
      </c>
      <c r="H39">
        <f>105*B37</f>
        <v>105</v>
      </c>
      <c r="J39" t="s">
        <v>140</v>
      </c>
      <c r="K39">
        <f>126*B37</f>
        <v>126</v>
      </c>
      <c r="L39" t="s">
        <v>141</v>
      </c>
      <c r="M39" s="25" t="str">
        <f>IF(B39&lt;E39,"Plastic",IF(AND( H39&gt;B39,B39&gt;E39),"Compact",IF(AND(K39&gt;B39,B39&gt;H39),"Semi compact","Slender")))</f>
        <v>Plastic</v>
      </c>
    </row>
    <row r="41" spans="1:13" x14ac:dyDescent="0.35">
      <c r="A41" t="s">
        <v>300</v>
      </c>
    </row>
    <row r="42" spans="1:13" x14ac:dyDescent="0.35">
      <c r="A42" s="1" t="s">
        <v>335</v>
      </c>
      <c r="B42" s="1" t="s">
        <v>336</v>
      </c>
    </row>
    <row r="43" spans="1:13" x14ac:dyDescent="0.35">
      <c r="A43" s="1" t="s">
        <v>337</v>
      </c>
      <c r="B43" s="1" t="s">
        <v>336</v>
      </c>
    </row>
    <row r="45" spans="1:13" x14ac:dyDescent="0.35">
      <c r="A45" t="s">
        <v>306</v>
      </c>
      <c r="B45">
        <v>10500</v>
      </c>
      <c r="C45" t="s">
        <v>65</v>
      </c>
    </row>
    <row r="46" spans="1:13" x14ac:dyDescent="0.35">
      <c r="A46" t="s">
        <v>173</v>
      </c>
      <c r="B46">
        <v>1</v>
      </c>
    </row>
    <row r="47" spans="1:13" x14ac:dyDescent="0.35">
      <c r="A47" t="s">
        <v>307</v>
      </c>
    </row>
    <row r="48" spans="1:13" x14ac:dyDescent="0.35">
      <c r="A48" s="1" t="s">
        <v>308</v>
      </c>
    </row>
    <row r="49" spans="1:3" x14ac:dyDescent="0.35">
      <c r="A49" t="s">
        <v>31</v>
      </c>
      <c r="B49">
        <v>0.49</v>
      </c>
    </row>
    <row r="50" spans="1:3" x14ac:dyDescent="0.35">
      <c r="A50" t="s">
        <v>309</v>
      </c>
      <c r="B50">
        <f>B46*B45/B31</f>
        <v>50.969703593415161</v>
      </c>
    </row>
    <row r="51" spans="1:3" x14ac:dyDescent="0.35">
      <c r="A51" t="s">
        <v>310</v>
      </c>
      <c r="B51">
        <f>SQRT(M2*B50^2/(PI()^2*M6))</f>
        <v>0.57361069718553936</v>
      </c>
    </row>
    <row r="52" spans="1:3" x14ac:dyDescent="0.35">
      <c r="A52" t="s">
        <v>257</v>
      </c>
      <c r="B52">
        <f>0.5*(1+B49*(B51-0.2)+B51*B51)</f>
        <v>0.75604923677329738</v>
      </c>
    </row>
    <row r="53" spans="1:3" x14ac:dyDescent="0.35">
      <c r="A53" s="1" t="s">
        <v>258</v>
      </c>
      <c r="B53" s="1">
        <f>(M2/M5)/(B52+SQRT(B52*B52-B51*B51))</f>
        <v>182.02575192517492</v>
      </c>
      <c r="C53" s="1" t="s">
        <v>177</v>
      </c>
    </row>
    <row r="55" spans="1:3" x14ac:dyDescent="0.35">
      <c r="A55" s="1" t="s">
        <v>311</v>
      </c>
    </row>
    <row r="56" spans="1:3" x14ac:dyDescent="0.35">
      <c r="A56" t="s">
        <v>31</v>
      </c>
      <c r="B56">
        <v>0.49</v>
      </c>
    </row>
    <row r="57" spans="1:3" x14ac:dyDescent="0.35">
      <c r="A57" t="s">
        <v>312</v>
      </c>
      <c r="B57">
        <f>B46*B45/B34</f>
        <v>197.19995530485738</v>
      </c>
    </row>
    <row r="58" spans="1:3" x14ac:dyDescent="0.35">
      <c r="A58" t="s">
        <v>338</v>
      </c>
      <c r="B58">
        <f>SQRT(M2*B57^2/(PI()^2*M6))</f>
        <v>2.2192792163301895</v>
      </c>
    </row>
    <row r="59" spans="1:3" x14ac:dyDescent="0.35">
      <c r="A59" t="s">
        <v>257</v>
      </c>
      <c r="B59">
        <f>0.5*(1+B56*(B58-0.2)+B58*B58)</f>
        <v>3.4573235280184669</v>
      </c>
    </row>
    <row r="60" spans="1:3" x14ac:dyDescent="0.35">
      <c r="A60" s="1" t="s">
        <v>258</v>
      </c>
      <c r="B60" s="1">
        <f>(M2/M5)/(B59+SQRT(B59*B59-B58*B58))</f>
        <v>37.206957291128425</v>
      </c>
      <c r="C60" s="1" t="s">
        <v>177</v>
      </c>
    </row>
    <row r="62" spans="1:3" x14ac:dyDescent="0.35">
      <c r="A62" s="1" t="s">
        <v>313</v>
      </c>
    </row>
    <row r="63" spans="1:3" x14ac:dyDescent="0.35">
      <c r="A63" t="s">
        <v>314</v>
      </c>
      <c r="B63">
        <f>B53</f>
        <v>182.02575192517492</v>
      </c>
      <c r="C63" t="s">
        <v>177</v>
      </c>
    </row>
    <row r="64" spans="1:3" x14ac:dyDescent="0.35">
      <c r="A64" t="s">
        <v>315</v>
      </c>
      <c r="B64">
        <f>B60</f>
        <v>37.206957291128425</v>
      </c>
      <c r="C64" t="s">
        <v>177</v>
      </c>
    </row>
    <row r="65" spans="1:7" x14ac:dyDescent="0.35">
      <c r="A65" t="s">
        <v>316</v>
      </c>
      <c r="B65">
        <f>MIN(B63,B64)</f>
        <v>37.206957291128425</v>
      </c>
      <c r="C65" t="s">
        <v>177</v>
      </c>
    </row>
    <row r="66" spans="1:7" x14ac:dyDescent="0.35">
      <c r="A66" s="1" t="s">
        <v>317</v>
      </c>
      <c r="B66" s="25">
        <f>B26*B65/1000</f>
        <v>622.1003259076673</v>
      </c>
      <c r="C66" s="25" t="s">
        <v>103</v>
      </c>
      <c r="D66" s="36" t="str">
        <f>IF(B66&gt;E66,"&gt;","&lt;")</f>
        <v>&gt;</v>
      </c>
      <c r="E66" s="1">
        <f>B21</f>
        <v>602.52973685538427</v>
      </c>
      <c r="F66" s="1" t="s">
        <v>103</v>
      </c>
      <c r="G66" s="5" t="str">
        <f>IF(B66&gt;E66,"OK","Recheck")</f>
        <v>OK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7453-564F-434F-8346-E6514B050499}">
  <dimension ref="A1:L48"/>
  <sheetViews>
    <sheetView workbookViewId="0">
      <selection activeCell="B19" sqref="B19"/>
    </sheetView>
  </sheetViews>
  <sheetFormatPr defaultRowHeight="14.5" x14ac:dyDescent="0.35"/>
  <cols>
    <col min="1" max="1" width="35.26953125" customWidth="1"/>
  </cols>
  <sheetData>
    <row r="1" spans="1:12" x14ac:dyDescent="0.35">
      <c r="A1" s="1" t="s">
        <v>339</v>
      </c>
      <c r="J1" s="9" t="s">
        <v>61</v>
      </c>
      <c r="K1" s="21" t="s">
        <v>62</v>
      </c>
      <c r="L1" s="22"/>
    </row>
    <row r="2" spans="1:12" x14ac:dyDescent="0.35">
      <c r="A2" t="s">
        <v>262</v>
      </c>
      <c r="B2">
        <f>'Column (lower)'!C10</f>
        <v>9220</v>
      </c>
      <c r="C2" t="s">
        <v>235</v>
      </c>
      <c r="J2" s="23" t="s">
        <v>68</v>
      </c>
      <c r="K2">
        <v>250</v>
      </c>
      <c r="L2" s="10" t="s">
        <v>69</v>
      </c>
    </row>
    <row r="3" spans="1:12" x14ac:dyDescent="0.35">
      <c r="A3" t="s">
        <v>237</v>
      </c>
      <c r="B3">
        <f>B4/2</f>
        <v>75</v>
      </c>
      <c r="C3" t="s">
        <v>65</v>
      </c>
      <c r="J3" s="23" t="s">
        <v>70</v>
      </c>
      <c r="K3">
        <v>410</v>
      </c>
      <c r="L3" s="10" t="s">
        <v>69</v>
      </c>
    </row>
    <row r="4" spans="1:12" x14ac:dyDescent="0.35">
      <c r="A4" t="s">
        <v>340</v>
      </c>
      <c r="B4">
        <f>'Column (lower)'!C14</f>
        <v>150</v>
      </c>
      <c r="C4" t="s">
        <v>65</v>
      </c>
      <c r="J4" s="23" t="s">
        <v>72</v>
      </c>
      <c r="K4">
        <v>1.1000000000000001</v>
      </c>
      <c r="L4" s="10"/>
    </row>
    <row r="5" spans="1:12" x14ac:dyDescent="0.35">
      <c r="A5" t="s">
        <v>263</v>
      </c>
      <c r="B5">
        <f>'Column (lower)'!B66/2</f>
        <v>311.05016295383365</v>
      </c>
      <c r="C5" t="s">
        <v>103</v>
      </c>
      <c r="J5" s="23" t="s">
        <v>74</v>
      </c>
      <c r="K5">
        <f>2*10^5</f>
        <v>200000</v>
      </c>
      <c r="L5" s="10" t="s">
        <v>69</v>
      </c>
    </row>
    <row r="6" spans="1:12" x14ac:dyDescent="0.35">
      <c r="A6" s="1" t="s">
        <v>341</v>
      </c>
      <c r="B6" s="1">
        <f>'Column (lower)'!B25</f>
        <v>15</v>
      </c>
      <c r="C6" s="1" t="s">
        <v>65</v>
      </c>
      <c r="D6" t="s">
        <v>265</v>
      </c>
      <c r="J6" s="24" t="s">
        <v>198</v>
      </c>
      <c r="K6" s="11">
        <v>1.25</v>
      </c>
      <c r="L6" s="12"/>
    </row>
    <row r="8" spans="1:12" x14ac:dyDescent="0.35">
      <c r="A8" t="s">
        <v>266</v>
      </c>
      <c r="B8">
        <v>6</v>
      </c>
      <c r="C8" t="s">
        <v>65</v>
      </c>
      <c r="D8" t="s">
        <v>265</v>
      </c>
    </row>
    <row r="9" spans="1:12" x14ac:dyDescent="0.35">
      <c r="A9" t="s">
        <v>267</v>
      </c>
      <c r="B9">
        <f>0.7*B8</f>
        <v>4.1999999999999993</v>
      </c>
      <c r="C9" t="s">
        <v>65</v>
      </c>
    </row>
    <row r="10" spans="1:12" x14ac:dyDescent="0.35">
      <c r="A10" t="s">
        <v>268</v>
      </c>
      <c r="B10">
        <f>B9*K3/(SQRT(3)*K6)</f>
        <v>795.35773083562844</v>
      </c>
      <c r="C10" t="s">
        <v>269</v>
      </c>
    </row>
    <row r="11" spans="1:12" x14ac:dyDescent="0.35">
      <c r="A11" t="s">
        <v>342</v>
      </c>
      <c r="B11">
        <f>B5*1000/B10</f>
        <v>391.08208909597738</v>
      </c>
      <c r="C11" t="s">
        <v>65</v>
      </c>
    </row>
    <row r="12" spans="1:12" x14ac:dyDescent="0.35">
      <c r="A12" t="s">
        <v>343</v>
      </c>
      <c r="B12">
        <f>ROUND(B11,0)+8</f>
        <v>399</v>
      </c>
      <c r="C12" t="s">
        <v>65</v>
      </c>
    </row>
    <row r="13" spans="1:12" x14ac:dyDescent="0.35">
      <c r="A13" t="s">
        <v>344</v>
      </c>
      <c r="B13">
        <v>250</v>
      </c>
      <c r="C13" t="s">
        <v>65</v>
      </c>
      <c r="D13" t="s">
        <v>345</v>
      </c>
    </row>
    <row r="14" spans="1:12" x14ac:dyDescent="0.35">
      <c r="A14" s="1" t="s">
        <v>346</v>
      </c>
      <c r="B14" s="1">
        <f>B12+4*B13</f>
        <v>1399</v>
      </c>
      <c r="C14" s="1" t="s">
        <v>65</v>
      </c>
      <c r="D14" s="1"/>
      <c r="E14" s="1"/>
    </row>
    <row r="15" spans="1:12" x14ac:dyDescent="0.35">
      <c r="A15" s="1" t="s">
        <v>347</v>
      </c>
      <c r="B15" s="1">
        <v>1400</v>
      </c>
      <c r="C15" s="1" t="s">
        <v>65</v>
      </c>
      <c r="D15" s="1"/>
      <c r="E15" s="1"/>
    </row>
    <row r="16" spans="1:12" x14ac:dyDescent="0.35">
      <c r="A16" s="1" t="s">
        <v>348</v>
      </c>
      <c r="B16" s="1">
        <f>B15/2</f>
        <v>700</v>
      </c>
      <c r="C16" s="1" t="s">
        <v>65</v>
      </c>
      <c r="D16" s="1"/>
      <c r="E16" s="1"/>
    </row>
    <row r="18" spans="1:7" x14ac:dyDescent="0.35">
      <c r="A18" t="s">
        <v>278</v>
      </c>
    </row>
    <row r="19" spans="1:7" x14ac:dyDescent="0.35">
      <c r="A19" t="s">
        <v>279</v>
      </c>
      <c r="B19">
        <f>((B6*(B16*2)*K2/(SQRT(3)*K4))+(0.9*K3*B6*B4/K6))/1000</f>
        <v>3419.7353756777593</v>
      </c>
      <c r="C19" t="s">
        <v>103</v>
      </c>
    </row>
    <row r="20" spans="1:7" x14ac:dyDescent="0.35">
      <c r="A20" t="s">
        <v>280</v>
      </c>
      <c r="B20">
        <f>((0.9*K3*B16*2/(SQRT(3)*K6))+(K2*B6*B4/K4))/1000</f>
        <v>749.97095561432491</v>
      </c>
      <c r="C20" t="s">
        <v>103</v>
      </c>
    </row>
    <row r="21" spans="1:7" x14ac:dyDescent="0.35">
      <c r="A21" t="s">
        <v>281</v>
      </c>
    </row>
    <row r="22" spans="1:7" x14ac:dyDescent="0.35">
      <c r="A22" t="s">
        <v>282</v>
      </c>
      <c r="B22">
        <f>MIN(B19:B20)</f>
        <v>749.97095561432491</v>
      </c>
      <c r="C22" t="s">
        <v>103</v>
      </c>
      <c r="D22" s="20" t="str">
        <f>IF(B22&gt;E22,"&gt;","&lt;")</f>
        <v>&gt;</v>
      </c>
      <c r="E22">
        <f>B5</f>
        <v>311.05016295383365</v>
      </c>
      <c r="F22" t="s">
        <v>103</v>
      </c>
      <c r="G22" t="str">
        <f>IF(B22&gt;E22,"OK","Recheck")</f>
        <v>OK</v>
      </c>
    </row>
    <row r="24" spans="1:7" x14ac:dyDescent="0.35">
      <c r="A24" s="1"/>
      <c r="B24" s="1"/>
    </row>
    <row r="25" spans="1:7" x14ac:dyDescent="0.35">
      <c r="A25" s="1" t="s">
        <v>349</v>
      </c>
    </row>
    <row r="26" spans="1:7" x14ac:dyDescent="0.35">
      <c r="A26" t="s">
        <v>262</v>
      </c>
      <c r="B26">
        <f>'Column (upper)'!C9</f>
        <v>771</v>
      </c>
      <c r="C26" t="s">
        <v>235</v>
      </c>
    </row>
    <row r="27" spans="1:7" x14ac:dyDescent="0.35">
      <c r="A27" t="s">
        <v>237</v>
      </c>
      <c r="B27">
        <f>B28/2</f>
        <v>25</v>
      </c>
      <c r="C27" t="s">
        <v>65</v>
      </c>
    </row>
    <row r="28" spans="1:7" x14ac:dyDescent="0.35">
      <c r="A28" t="s">
        <v>340</v>
      </c>
      <c r="B28">
        <f>'Column (upper)'!C13</f>
        <v>50</v>
      </c>
      <c r="C28" t="s">
        <v>65</v>
      </c>
    </row>
    <row r="29" spans="1:7" x14ac:dyDescent="0.35">
      <c r="A29" t="s">
        <v>263</v>
      </c>
      <c r="B29">
        <f>'Column (upper)'!B52/2</f>
        <v>30.612197909377493</v>
      </c>
      <c r="C29" t="s">
        <v>103</v>
      </c>
    </row>
    <row r="30" spans="1:7" x14ac:dyDescent="0.35">
      <c r="A30" s="1" t="s">
        <v>350</v>
      </c>
      <c r="B30" s="1">
        <v>202.5</v>
      </c>
      <c r="C30" s="1" t="s">
        <v>65</v>
      </c>
      <c r="D30" t="s">
        <v>265</v>
      </c>
    </row>
    <row r="32" spans="1:7" x14ac:dyDescent="0.35">
      <c r="A32" t="s">
        <v>266</v>
      </c>
      <c r="B32">
        <v>4</v>
      </c>
      <c r="C32" t="s">
        <v>65</v>
      </c>
      <c r="D32" t="s">
        <v>265</v>
      </c>
    </row>
    <row r="33" spans="1:7" x14ac:dyDescent="0.35">
      <c r="A33" t="s">
        <v>267</v>
      </c>
      <c r="B33">
        <f>0.7*B32</f>
        <v>2.8</v>
      </c>
      <c r="C33" t="s">
        <v>65</v>
      </c>
    </row>
    <row r="34" spans="1:7" x14ac:dyDescent="0.35">
      <c r="A34" t="s">
        <v>268</v>
      </c>
      <c r="B34">
        <f>B33*K3/(SQRT(3)*K6)</f>
        <v>530.23848722375237</v>
      </c>
      <c r="C34" t="s">
        <v>269</v>
      </c>
    </row>
    <row r="35" spans="1:7" x14ac:dyDescent="0.35">
      <c r="A35" t="s">
        <v>342</v>
      </c>
      <c r="B35">
        <f>B29*1000/B34</f>
        <v>57.732885573165916</v>
      </c>
      <c r="C35" t="s">
        <v>65</v>
      </c>
    </row>
    <row r="36" spans="1:7" x14ac:dyDescent="0.35">
      <c r="A36" t="s">
        <v>351</v>
      </c>
      <c r="B36">
        <f>ROUND(B35,0)+7</f>
        <v>65</v>
      </c>
      <c r="C36" t="s">
        <v>65</v>
      </c>
    </row>
    <row r="37" spans="1:7" x14ac:dyDescent="0.35">
      <c r="A37" t="s">
        <v>344</v>
      </c>
      <c r="B37">
        <v>100</v>
      </c>
      <c r="C37" t="s">
        <v>65</v>
      </c>
      <c r="D37" t="s">
        <v>345</v>
      </c>
    </row>
    <row r="38" spans="1:7" x14ac:dyDescent="0.35">
      <c r="A38" s="1" t="s">
        <v>346</v>
      </c>
      <c r="B38" s="1">
        <f>B36+4*B37</f>
        <v>465</v>
      </c>
      <c r="C38" s="1" t="s">
        <v>65</v>
      </c>
    </row>
    <row r="40" spans="1:7" x14ac:dyDescent="0.35">
      <c r="A40" s="1" t="s">
        <v>348</v>
      </c>
      <c r="B40" s="1">
        <f>B38/2</f>
        <v>232.5</v>
      </c>
      <c r="C40" s="1" t="s">
        <v>65</v>
      </c>
    </row>
    <row r="41" spans="1:7" x14ac:dyDescent="0.35">
      <c r="A41" t="s">
        <v>352</v>
      </c>
      <c r="B41">
        <f>ROUND(B40,0)+7</f>
        <v>240</v>
      </c>
      <c r="C41" t="s">
        <v>65</v>
      </c>
    </row>
    <row r="42" spans="1:7" x14ac:dyDescent="0.35">
      <c r="A42" t="s">
        <v>278</v>
      </c>
    </row>
    <row r="43" spans="1:7" x14ac:dyDescent="0.35">
      <c r="A43" t="s">
        <v>279</v>
      </c>
      <c r="B43">
        <f>((B30*(B41*2)*K2/(SQRT(3)*K4))+(0.9*K3*B30*B28/K6))/1000</f>
        <v>15743.092310279913</v>
      </c>
      <c r="C43" t="s">
        <v>103</v>
      </c>
    </row>
    <row r="44" spans="1:7" x14ac:dyDescent="0.35">
      <c r="A44" t="s">
        <v>280</v>
      </c>
      <c r="B44">
        <f>((0.9*K3*B41*2/(SQRT(3)*K6))+(K2*B30*B28/K4))/1000</f>
        <v>2382.9445873794566</v>
      </c>
      <c r="C44" t="s">
        <v>103</v>
      </c>
    </row>
    <row r="45" spans="1:7" x14ac:dyDescent="0.35">
      <c r="A45" t="s">
        <v>281</v>
      </c>
    </row>
    <row r="46" spans="1:7" x14ac:dyDescent="0.35">
      <c r="A46" s="1" t="s">
        <v>282</v>
      </c>
      <c r="B46" s="1">
        <f>MIN(B43:B44)</f>
        <v>2382.9445873794566</v>
      </c>
      <c r="C46" s="1" t="s">
        <v>103</v>
      </c>
      <c r="D46" s="28" t="str">
        <f>IF(B46&gt;E46,"&gt;","&lt;")</f>
        <v>&gt;</v>
      </c>
      <c r="E46" s="1">
        <f>B29</f>
        <v>30.612197909377493</v>
      </c>
      <c r="F46" s="1" t="s">
        <v>103</v>
      </c>
      <c r="G46" s="25" t="str">
        <f>IF(B46&gt;E46,"OK","Recheck")</f>
        <v>OK</v>
      </c>
    </row>
    <row r="48" spans="1:7" x14ac:dyDescent="0.35">
      <c r="A48" s="1" t="s">
        <v>353</v>
      </c>
      <c r="B48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E2C3-D9D0-43D3-BF24-293503DB5296}">
  <dimension ref="A1:S40"/>
  <sheetViews>
    <sheetView topLeftCell="A24" workbookViewId="0">
      <selection activeCell="D32" sqref="D32"/>
    </sheetView>
  </sheetViews>
  <sheetFormatPr defaultRowHeight="14.5" x14ac:dyDescent="0.35"/>
  <cols>
    <col min="1" max="1" width="29.81640625" customWidth="1"/>
    <col min="2" max="2" width="13.7265625" customWidth="1"/>
    <col min="8" max="8" width="14" customWidth="1"/>
  </cols>
  <sheetData>
    <row r="1" spans="1:19" x14ac:dyDescent="0.35">
      <c r="A1" s="1" t="s">
        <v>196</v>
      </c>
      <c r="B1" s="1"/>
      <c r="C1" s="1"/>
      <c r="D1" s="1"/>
      <c r="E1" s="1"/>
      <c r="Q1" s="9" t="s">
        <v>61</v>
      </c>
      <c r="R1" s="21" t="s">
        <v>62</v>
      </c>
      <c r="S1" s="22"/>
    </row>
    <row r="2" spans="1:19" x14ac:dyDescent="0.35">
      <c r="A2" s="1" t="s">
        <v>339</v>
      </c>
      <c r="H2" s="1" t="s">
        <v>349</v>
      </c>
      <c r="Q2" s="23" t="s">
        <v>68</v>
      </c>
      <c r="R2">
        <v>250</v>
      </c>
      <c r="S2" s="10" t="s">
        <v>69</v>
      </c>
    </row>
    <row r="3" spans="1:19" x14ac:dyDescent="0.35">
      <c r="A3" t="s">
        <v>107</v>
      </c>
      <c r="H3" t="s">
        <v>107</v>
      </c>
      <c r="Q3" s="23" t="s">
        <v>198</v>
      </c>
      <c r="R3">
        <v>1.25</v>
      </c>
      <c r="S3" s="10"/>
    </row>
    <row r="4" spans="1:19" x14ac:dyDescent="0.35">
      <c r="A4" t="s">
        <v>322</v>
      </c>
      <c r="B4">
        <v>0.72399999999999998</v>
      </c>
      <c r="C4" t="s">
        <v>79</v>
      </c>
      <c r="D4">
        <f>B4*10.5</f>
        <v>7.6019999999999994</v>
      </c>
      <c r="E4" t="s">
        <v>103</v>
      </c>
      <c r="H4" t="s">
        <v>288</v>
      </c>
      <c r="I4">
        <v>6.0999999999999999E-2</v>
      </c>
      <c r="J4" t="s">
        <v>79</v>
      </c>
      <c r="K4">
        <f>I4*1.5</f>
        <v>9.1499999999999998E-2</v>
      </c>
      <c r="L4" t="s">
        <v>103</v>
      </c>
      <c r="Q4" s="23" t="s">
        <v>72</v>
      </c>
      <c r="R4">
        <v>1.1000000000000001</v>
      </c>
      <c r="S4" s="10"/>
    </row>
    <row r="5" spans="1:19" x14ac:dyDescent="0.35">
      <c r="A5" t="s">
        <v>289</v>
      </c>
      <c r="B5">
        <v>9220</v>
      </c>
      <c r="C5" t="s">
        <v>235</v>
      </c>
      <c r="H5" t="s">
        <v>289</v>
      </c>
      <c r="I5">
        <v>771</v>
      </c>
      <c r="J5" t="s">
        <v>235</v>
      </c>
      <c r="Q5" s="23" t="s">
        <v>74</v>
      </c>
      <c r="R5">
        <v>200000</v>
      </c>
      <c r="S5" s="10" t="s">
        <v>69</v>
      </c>
    </row>
    <row r="6" spans="1:19" x14ac:dyDescent="0.35">
      <c r="A6" t="s">
        <v>290</v>
      </c>
      <c r="B6">
        <v>182</v>
      </c>
      <c r="C6" t="s">
        <v>65</v>
      </c>
      <c r="H6" t="s">
        <v>290</v>
      </c>
      <c r="I6">
        <v>30.7</v>
      </c>
      <c r="J6" t="s">
        <v>65</v>
      </c>
      <c r="Q6" s="24" t="s">
        <v>70</v>
      </c>
      <c r="R6" s="11">
        <v>410</v>
      </c>
      <c r="S6" s="12" t="s">
        <v>69</v>
      </c>
    </row>
    <row r="7" spans="1:19" x14ac:dyDescent="0.35">
      <c r="A7" t="s">
        <v>291</v>
      </c>
      <c r="B7">
        <v>30.1</v>
      </c>
      <c r="C7" t="s">
        <v>65</v>
      </c>
      <c r="H7" t="s">
        <v>291</v>
      </c>
      <c r="I7">
        <v>11.4</v>
      </c>
      <c r="J7" t="s">
        <v>65</v>
      </c>
    </row>
    <row r="8" spans="1:19" x14ac:dyDescent="0.35">
      <c r="A8" t="s">
        <v>292</v>
      </c>
      <c r="B8">
        <v>450</v>
      </c>
      <c r="C8" t="s">
        <v>65</v>
      </c>
      <c r="H8" t="s">
        <v>292</v>
      </c>
      <c r="I8">
        <v>75</v>
      </c>
      <c r="J8" t="s">
        <v>65</v>
      </c>
    </row>
    <row r="9" spans="1:19" x14ac:dyDescent="0.35">
      <c r="A9" t="s">
        <v>110</v>
      </c>
      <c r="B9">
        <v>150</v>
      </c>
      <c r="C9" t="s">
        <v>65</v>
      </c>
      <c r="H9" t="s">
        <v>110</v>
      </c>
      <c r="I9">
        <v>50</v>
      </c>
      <c r="J9" t="s">
        <v>65</v>
      </c>
    </row>
    <row r="10" spans="1:19" x14ac:dyDescent="0.35">
      <c r="A10" t="s">
        <v>293</v>
      </c>
      <c r="B10">
        <v>17.399999999999999</v>
      </c>
      <c r="C10" t="s">
        <v>65</v>
      </c>
      <c r="H10" t="s">
        <v>293</v>
      </c>
      <c r="I10">
        <v>5</v>
      </c>
      <c r="J10" t="s">
        <v>65</v>
      </c>
    </row>
    <row r="11" spans="1:19" x14ac:dyDescent="0.35">
      <c r="A11" t="s">
        <v>112</v>
      </c>
      <c r="B11">
        <v>15</v>
      </c>
      <c r="C11" t="s">
        <v>65</v>
      </c>
      <c r="H11" t="s">
        <v>112</v>
      </c>
      <c r="I11">
        <v>6.5</v>
      </c>
      <c r="J11" t="s">
        <v>65</v>
      </c>
    </row>
    <row r="12" spans="1:19" x14ac:dyDescent="0.35">
      <c r="A12" t="s">
        <v>113</v>
      </c>
      <c r="B12">
        <f>B8-2*B10-2*B11</f>
        <v>385.2</v>
      </c>
      <c r="C12" t="s">
        <v>65</v>
      </c>
      <c r="H12" t="s">
        <v>113</v>
      </c>
      <c r="I12">
        <f>I8-2*I10-2*I11</f>
        <v>52</v>
      </c>
      <c r="J12" t="s">
        <v>65</v>
      </c>
    </row>
    <row r="13" spans="1:19" x14ac:dyDescent="0.35">
      <c r="A13" t="s">
        <v>294</v>
      </c>
      <c r="B13">
        <v>9.4</v>
      </c>
      <c r="C13" t="s">
        <v>65</v>
      </c>
      <c r="H13" t="s">
        <v>294</v>
      </c>
      <c r="I13">
        <v>3.7</v>
      </c>
      <c r="J13" t="s">
        <v>65</v>
      </c>
    </row>
    <row r="14" spans="1:19" x14ac:dyDescent="0.35">
      <c r="A14" t="s">
        <v>239</v>
      </c>
      <c r="B14">
        <v>304000000</v>
      </c>
      <c r="C14" t="s">
        <v>116</v>
      </c>
    </row>
    <row r="15" spans="1:19" x14ac:dyDescent="0.35">
      <c r="A15" t="s">
        <v>240</v>
      </c>
      <c r="B15">
        <v>8340000</v>
      </c>
      <c r="C15" t="s">
        <v>116</v>
      </c>
    </row>
    <row r="16" spans="1:19" x14ac:dyDescent="0.35">
      <c r="A16" s="1" t="s">
        <v>354</v>
      </c>
      <c r="B16" s="1"/>
      <c r="C16" s="1"/>
      <c r="D16" s="1"/>
      <c r="E16" s="1">
        <f>'Column (lower)'!B21/2</f>
        <v>301.26486842769214</v>
      </c>
      <c r="F16" s="1" t="s">
        <v>103</v>
      </c>
    </row>
    <row r="18" spans="1:4" x14ac:dyDescent="0.35">
      <c r="A18" s="1" t="s">
        <v>355</v>
      </c>
    </row>
    <row r="19" spans="1:4" x14ac:dyDescent="0.35">
      <c r="A19" s="1" t="s">
        <v>237</v>
      </c>
      <c r="B19" s="1">
        <f>B20/2</f>
        <v>125</v>
      </c>
      <c r="C19" t="s">
        <v>65</v>
      </c>
    </row>
    <row r="20" spans="1:4" x14ac:dyDescent="0.35">
      <c r="A20" s="1" t="s">
        <v>340</v>
      </c>
      <c r="B20" s="1">
        <f>'Column (lower)'!B24</f>
        <v>250</v>
      </c>
      <c r="C20" t="s">
        <v>65</v>
      </c>
    </row>
    <row r="21" spans="1:4" x14ac:dyDescent="0.35">
      <c r="A21" s="1" t="s">
        <v>263</v>
      </c>
      <c r="B21" s="1">
        <f>E16</f>
        <v>301.26486842769214</v>
      </c>
      <c r="C21" t="s">
        <v>103</v>
      </c>
    </row>
    <row r="22" spans="1:4" x14ac:dyDescent="0.35">
      <c r="A22" s="1" t="s">
        <v>356</v>
      </c>
      <c r="B22" s="1">
        <v>10</v>
      </c>
      <c r="C22" t="s">
        <v>65</v>
      </c>
      <c r="D22" t="s">
        <v>265</v>
      </c>
    </row>
    <row r="24" spans="1:4" x14ac:dyDescent="0.35">
      <c r="A24" s="1" t="s">
        <v>266</v>
      </c>
      <c r="B24" s="1">
        <v>6</v>
      </c>
      <c r="C24" t="s">
        <v>65</v>
      </c>
      <c r="D24" t="s">
        <v>265</v>
      </c>
    </row>
    <row r="25" spans="1:4" x14ac:dyDescent="0.35">
      <c r="A25" s="1" t="s">
        <v>267</v>
      </c>
      <c r="B25" s="1">
        <f>0.7*B24</f>
        <v>4.1999999999999993</v>
      </c>
      <c r="C25" t="s">
        <v>65</v>
      </c>
    </row>
    <row r="26" spans="1:4" x14ac:dyDescent="0.35">
      <c r="A26" s="1" t="s">
        <v>268</v>
      </c>
      <c r="B26" s="1">
        <f>B25*R6/(SQRT(3)*R3)</f>
        <v>795.35773083562844</v>
      </c>
      <c r="C26" s="1" t="s">
        <v>269</v>
      </c>
    </row>
    <row r="27" spans="1:4" x14ac:dyDescent="0.35">
      <c r="A27" t="s">
        <v>342</v>
      </c>
      <c r="B27">
        <f>B21*1000/B26</f>
        <v>378.7790785803686</v>
      </c>
      <c r="C27" t="s">
        <v>65</v>
      </c>
    </row>
    <row r="28" spans="1:4" x14ac:dyDescent="0.35">
      <c r="A28" t="s">
        <v>343</v>
      </c>
      <c r="B28">
        <f>ROUND(B27,0)+1</f>
        <v>380</v>
      </c>
      <c r="C28" t="s">
        <v>65</v>
      </c>
    </row>
    <row r="29" spans="1:4" x14ac:dyDescent="0.35">
      <c r="A29" t="s">
        <v>344</v>
      </c>
      <c r="B29">
        <v>80</v>
      </c>
      <c r="C29" t="s">
        <v>65</v>
      </c>
      <c r="D29" t="s">
        <v>345</v>
      </c>
    </row>
    <row r="30" spans="1:4" x14ac:dyDescent="0.35">
      <c r="A30" s="1" t="s">
        <v>346</v>
      </c>
      <c r="B30" s="1">
        <f>B28+4*B29</f>
        <v>700</v>
      </c>
      <c r="C30" t="s">
        <v>65</v>
      </c>
    </row>
    <row r="32" spans="1:4" x14ac:dyDescent="0.35">
      <c r="A32" t="s">
        <v>348</v>
      </c>
      <c r="B32">
        <v>150</v>
      </c>
      <c r="C32" t="s">
        <v>65</v>
      </c>
    </row>
    <row r="33" spans="1:7" x14ac:dyDescent="0.35">
      <c r="A33" t="s">
        <v>352</v>
      </c>
      <c r="B33">
        <f>ROUND(B32,0)+10</f>
        <v>160</v>
      </c>
      <c r="C33" t="s">
        <v>65</v>
      </c>
    </row>
    <row r="34" spans="1:7" x14ac:dyDescent="0.35">
      <c r="A34" t="s">
        <v>278</v>
      </c>
    </row>
    <row r="35" spans="1:7" x14ac:dyDescent="0.35">
      <c r="A35" t="s">
        <v>279</v>
      </c>
      <c r="B35">
        <f>((B22*(B33*2)*R2/(SQRT(3)*R4))+(0.9*R6*B22*B20/R3))/1000</f>
        <v>1157.8911048651823</v>
      </c>
      <c r="C35" t="s">
        <v>103</v>
      </c>
    </row>
    <row r="36" spans="1:7" x14ac:dyDescent="0.35">
      <c r="A36" t="s">
        <v>280</v>
      </c>
      <c r="B36">
        <f>((0.9*R2*B33*2/(SQRT(3)*R4))+(R6*B22*B20/R3))/1000</f>
        <v>857.79019943786648</v>
      </c>
      <c r="C36" t="s">
        <v>103</v>
      </c>
    </row>
    <row r="37" spans="1:7" x14ac:dyDescent="0.35">
      <c r="A37" t="s">
        <v>281</v>
      </c>
    </row>
    <row r="38" spans="1:7" x14ac:dyDescent="0.35">
      <c r="A38" s="1" t="s">
        <v>282</v>
      </c>
      <c r="B38" s="1">
        <f>MIN(B35:B36)</f>
        <v>857.79019943786648</v>
      </c>
      <c r="C38" s="1" t="s">
        <v>103</v>
      </c>
      <c r="D38" s="28" t="str">
        <f>IF(B38&gt;E38,"&gt;","&lt;")</f>
        <v>&gt;</v>
      </c>
      <c r="E38" s="1">
        <f>B21</f>
        <v>301.26486842769214</v>
      </c>
      <c r="F38" s="1" t="s">
        <v>103</v>
      </c>
      <c r="G38" s="25" t="str">
        <f>IF(B38&gt;E38,"OK","Recheck")</f>
        <v>OK</v>
      </c>
    </row>
    <row r="39" spans="1:7" x14ac:dyDescent="0.35">
      <c r="A39" s="1"/>
      <c r="B39" s="1"/>
    </row>
    <row r="40" spans="1:7" x14ac:dyDescent="0.35">
      <c r="A40" s="25" t="s">
        <v>357</v>
      </c>
      <c r="B40" s="25" t="s">
        <v>358</v>
      </c>
      <c r="C40" s="2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Wind Load</vt:lpstr>
      <vt:lpstr>Purlin</vt:lpstr>
      <vt:lpstr>Purlin connection (bolt)</vt:lpstr>
      <vt:lpstr>Truss </vt:lpstr>
      <vt:lpstr>Truss connections (Weld)</vt:lpstr>
      <vt:lpstr>Column (upper)</vt:lpstr>
      <vt:lpstr>Column (lower)</vt:lpstr>
      <vt:lpstr>Cover &amp; Filler plates weld</vt:lpstr>
      <vt:lpstr>Column Splice weld</vt:lpstr>
      <vt:lpstr>Base Plate</vt:lpstr>
      <vt:lpstr>Footing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Chinmay Polisetty</dc:creator>
  <cp:keywords/>
  <dc:description/>
  <cp:lastModifiedBy>Chinmay Polisetty</cp:lastModifiedBy>
  <cp:revision/>
  <dcterms:created xsi:type="dcterms:W3CDTF">2025-03-29T06:00:58Z</dcterms:created>
  <dcterms:modified xsi:type="dcterms:W3CDTF">2025-04-18T18:25:31Z</dcterms:modified>
  <cp:category/>
  <cp:contentStatus/>
</cp:coreProperties>
</file>