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OP-Reports\CededPremium\"/>
    </mc:Choice>
  </mc:AlternateContent>
  <xr:revisionPtr revIDLastSave="0" documentId="13_ncr:1_{97F6DFAC-E187-4FD3-83DE-ADC8B9F6F961}" xr6:coauthVersionLast="36" xr6:coauthVersionMax="36" xr10:uidLastSave="{00000000-0000-0000-0000-000000000000}"/>
  <bookViews>
    <workbookView xWindow="240" yWindow="120" windowWidth="18060" windowHeight="7050" tabRatio="897" activeTab="1" xr2:uid="{00000000-000D-0000-FFFF-FFFF00000000}"/>
  </bookViews>
  <sheets>
    <sheet name="Usecases" sheetId="35" r:id="rId1"/>
    <sheet name="UC1_NB" sheetId="1" r:id="rId2"/>
    <sheet name="UC2_End+ve" sheetId="2" r:id="rId3"/>
    <sheet name="UC3_End-ve" sheetId="3" r:id="rId4"/>
    <sheet name="UC4_RNwith_AddBuilding" sheetId="5" r:id="rId5"/>
    <sheet name="UC5_End(+ve&amp;delBuilding)" sheetId="10" r:id="rId6"/>
    <sheet name="UC_Cancellation" sheetId="15" r:id="rId7"/>
    <sheet name="UC6_deletebuilding" sheetId="14" r:id="rId8"/>
    <sheet name="UC8_FacEnd" sheetId="16" r:id="rId9"/>
    <sheet name="UC9_NBFac" sheetId="17" r:id="rId10"/>
    <sheet name="Sheet1" sheetId="36" r:id="rId11"/>
    <sheet name="Images" sheetId="32" r:id="rId12"/>
    <sheet name="ImpactedPremiumCal" sheetId="4" r:id="rId13"/>
  </sheets>
  <calcPr calcId="191029"/>
</workbook>
</file>

<file path=xl/calcChain.xml><?xml version="1.0" encoding="utf-8"?>
<calcChain xmlns="http://schemas.openxmlformats.org/spreadsheetml/2006/main">
  <c r="K36" i="2" l="1"/>
  <c r="E62" i="4"/>
  <c r="M56" i="4"/>
  <c r="F62" i="4"/>
  <c r="F63" i="4" s="1"/>
  <c r="G63" i="4" s="1"/>
  <c r="K56" i="4"/>
  <c r="J56" i="4"/>
  <c r="I59" i="4"/>
  <c r="J58" i="4"/>
  <c r="I56" i="4"/>
  <c r="B58" i="4"/>
  <c r="E60" i="4"/>
  <c r="G51" i="4"/>
  <c r="K49" i="4"/>
  <c r="M11" i="36" l="1"/>
  <c r="J11" i="36"/>
  <c r="I52" i="4" l="1"/>
  <c r="K52" i="4" s="1"/>
  <c r="AC39" i="17"/>
  <c r="Z39" i="17"/>
  <c r="V39" i="17"/>
  <c r="T39" i="17"/>
  <c r="T37" i="17"/>
  <c r="T35" i="17"/>
  <c r="Y32" i="16"/>
  <c r="W32" i="16"/>
  <c r="Y31" i="16"/>
  <c r="W31" i="16"/>
  <c r="Z32" i="16"/>
  <c r="V32" i="16"/>
  <c r="Z31" i="16"/>
  <c r="V31" i="16"/>
  <c r="S34" i="16"/>
  <c r="T26" i="14" l="1"/>
  <c r="T27" i="14" s="1"/>
  <c r="S26" i="14"/>
  <c r="T30" i="14" s="1"/>
  <c r="T31" i="14" s="1"/>
  <c r="Z24" i="14"/>
  <c r="V24" i="14"/>
  <c r="J37" i="10"/>
  <c r="K37" i="10" s="1"/>
  <c r="N31" i="10"/>
  <c r="K40" i="10"/>
  <c r="M33" i="10"/>
  <c r="M28" i="10"/>
  <c r="I38" i="4"/>
  <c r="G39" i="4" s="1"/>
  <c r="I39" i="4" s="1"/>
  <c r="K39" i="4" s="1"/>
  <c r="K34" i="4"/>
  <c r="K35" i="4" s="1"/>
  <c r="K36" i="4" s="1"/>
  <c r="I26" i="4"/>
  <c r="E30" i="4" l="1"/>
  <c r="E28" i="4"/>
  <c r="M19" i="4"/>
  <c r="O18" i="4"/>
  <c r="N18" i="4"/>
  <c r="M18" i="4"/>
  <c r="N17" i="4"/>
  <c r="O17" i="4" s="1"/>
  <c r="M17" i="4"/>
  <c r="K17" i="4"/>
  <c r="K18" i="4" s="1"/>
  <c r="E24" i="4" s="1"/>
  <c r="E25" i="4" s="1"/>
  <c r="E26" i="4" l="1"/>
  <c r="I20" i="4"/>
  <c r="U14" i="10"/>
  <c r="T14" i="10"/>
  <c r="O14" i="10"/>
  <c r="N14" i="10"/>
  <c r="S14" i="10"/>
  <c r="P14" i="10"/>
  <c r="M14" i="10"/>
  <c r="L18" i="10"/>
  <c r="K20" i="10"/>
  <c r="H18" i="10"/>
  <c r="H19" i="10" s="1"/>
  <c r="Q19" i="10"/>
  <c r="R19" i="10" s="1"/>
  <c r="S20" i="10" s="1"/>
  <c r="P23" i="5"/>
  <c r="O22" i="5"/>
  <c r="M22" i="5"/>
  <c r="G21" i="4" l="1"/>
  <c r="I21" i="4" s="1"/>
  <c r="K21" i="4" s="1"/>
  <c r="I24" i="4"/>
  <c r="U16" i="5"/>
  <c r="U15" i="5"/>
  <c r="O16" i="5"/>
  <c r="O17" i="5"/>
  <c r="O15" i="5"/>
  <c r="T16" i="5"/>
  <c r="T15" i="5"/>
  <c r="N17" i="5"/>
  <c r="N16" i="5"/>
  <c r="N15" i="5"/>
  <c r="P17" i="5"/>
  <c r="M17" i="5"/>
  <c r="S16" i="5"/>
  <c r="P16" i="5"/>
  <c r="M16" i="5"/>
  <c r="S15" i="5"/>
  <c r="P15" i="5"/>
  <c r="M15" i="5"/>
  <c r="O13" i="3"/>
  <c r="N13" i="3"/>
  <c r="P13" i="3"/>
  <c r="M13" i="3"/>
  <c r="E11" i="4"/>
  <c r="D11" i="4"/>
  <c r="C11" i="4"/>
  <c r="B11" i="4"/>
  <c r="H8" i="4"/>
  <c r="I8" i="4" s="1"/>
  <c r="J8" i="4" s="1"/>
  <c r="F8" i="4"/>
  <c r="E6" i="4"/>
  <c r="D6" i="4"/>
  <c r="C6" i="4"/>
  <c r="B6" i="4"/>
  <c r="H3" i="4"/>
  <c r="I3" i="4" s="1"/>
  <c r="J3" i="4" s="1"/>
  <c r="F3" i="4"/>
  <c r="T14" i="2"/>
  <c r="V14" i="2" s="1"/>
  <c r="Q14" i="2"/>
  <c r="N14" i="2"/>
  <c r="P14" i="2" s="1"/>
  <c r="T26" i="1"/>
  <c r="N26" i="1"/>
  <c r="P26" i="1" s="1"/>
  <c r="P28" i="1" s="1"/>
  <c r="V26" i="1"/>
  <c r="V28" i="1" s="1"/>
  <c r="U26" i="1"/>
  <c r="U28" i="1" s="1"/>
  <c r="V27" i="1"/>
  <c r="U27" i="1"/>
  <c r="S28" i="1"/>
  <c r="R28" i="1"/>
  <c r="O27" i="1"/>
  <c r="P27" i="1"/>
  <c r="Q28" i="1"/>
  <c r="L28" i="1"/>
  <c r="T28" i="1"/>
  <c r="Q27" i="1"/>
  <c r="Q26" i="1"/>
  <c r="N27" i="1"/>
  <c r="U14" i="2" l="1"/>
  <c r="O14" i="2"/>
  <c r="O26" i="1"/>
  <c r="O28" i="1" s="1"/>
  <c r="N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24" authorId="0" shapeId="0" xr:uid="{53CBCB0C-38AC-4EDB-A371-47EB8AB092B0}">
      <text>
        <r>
          <rPr>
            <sz val="9"/>
            <color indexed="81"/>
            <rFont val="宋体"/>
            <charset val="134"/>
          </rPr>
          <t>User:
TOR</t>
        </r>
      </text>
    </comment>
  </commentList>
</comments>
</file>

<file path=xl/sharedStrings.xml><?xml version="1.0" encoding="utf-8"?>
<sst xmlns="http://schemas.openxmlformats.org/spreadsheetml/2006/main" count="1228" uniqueCount="182">
  <si>
    <t>Ceded Premium</t>
  </si>
  <si>
    <t/>
  </si>
  <si>
    <t>User Name</t>
  </si>
  <si>
    <t>Contract Name</t>
  </si>
  <si>
    <t>Transaction Type</t>
  </si>
  <si>
    <t>Policy Number</t>
  </si>
  <si>
    <t>Location</t>
  </si>
  <si>
    <t>Building</t>
  </si>
  <si>
    <t>Policy Term</t>
  </si>
  <si>
    <t>Effective Date</t>
  </si>
  <si>
    <t>Expiry Date</t>
  </si>
  <si>
    <t>Transaction Date</t>
  </si>
  <si>
    <t>Pre-Tax Premium</t>
  </si>
  <si>
    <t>Stamp Fee</t>
  </si>
  <si>
    <t>QST</t>
  </si>
  <si>
    <t>RET</t>
  </si>
  <si>
    <t>SUR</t>
  </si>
  <si>
    <t>Not CAT Commission</t>
  </si>
  <si>
    <t>CAT Commission</t>
  </si>
  <si>
    <t>NON-AUTO</t>
  </si>
  <si>
    <t>DADMIN1</t>
  </si>
  <si>
    <t>GC QUOTA SHARE &amp; SURPLUS</t>
  </si>
  <si>
    <t>New Business</t>
  </si>
  <si>
    <t>CGDFFE005419</t>
  </si>
  <si>
    <t>1</t>
  </si>
  <si>
    <t>12</t>
  </si>
  <si>
    <t>2</t>
  </si>
  <si>
    <t>Total:</t>
  </si>
  <si>
    <t>SI</t>
  </si>
  <si>
    <t>Pre-Tax</t>
  </si>
  <si>
    <t>Comments</t>
  </si>
  <si>
    <t>Stamp duty should be common for all risk</t>
  </si>
  <si>
    <t>Comments(For red highlighted)</t>
  </si>
  <si>
    <t>TOTAL</t>
  </si>
  <si>
    <t>NB Eff Date:           01-11-2023</t>
  </si>
  <si>
    <t>End positive Eff Date:           01-01-2024</t>
  </si>
  <si>
    <t>Cat Peril Premium % ---- 40%</t>
  </si>
  <si>
    <t>Non-Cat Peril Premium % ---- 60%</t>
  </si>
  <si>
    <r>
      <t>Cat Peril Commission %</t>
    </r>
    <r>
      <rPr>
        <sz val="9"/>
        <color rgb="FFFF0000"/>
        <rFont val="Segoe UI"/>
        <family val="2"/>
      </rPr>
      <t>*</t>
    </r>
    <r>
      <rPr>
        <sz val="10"/>
        <color rgb="FF000000"/>
        <rFont val="Arial"/>
        <family val="2"/>
      </rPr>
      <t xml:space="preserve"> ---- 19.67%</t>
    </r>
  </si>
  <si>
    <t>Non-Cat Peril Commission % ---- 34.61%</t>
  </si>
  <si>
    <t>RET no CAT &amp; NON-CAT</t>
  </si>
  <si>
    <r>
      <t>Cat Peril Commission %</t>
    </r>
    <r>
      <rPr>
        <sz val="9"/>
        <color rgb="FFFF0000"/>
        <rFont val="Segoe UI"/>
        <family val="2"/>
      </rPr>
      <t>*</t>
    </r>
    <r>
      <rPr>
        <sz val="10"/>
        <color rgb="FF000000"/>
        <rFont val="Arial"/>
        <family val="2"/>
      </rPr>
      <t xml:space="preserve"> ---- 18.17%</t>
    </r>
  </si>
  <si>
    <t>Non-Cat Peril Commission % ---- 29.11%</t>
  </si>
  <si>
    <t>Data taken from UI</t>
  </si>
  <si>
    <t>Self calculated value using each field formula</t>
  </si>
  <si>
    <t>Report data</t>
  </si>
  <si>
    <t>Report</t>
  </si>
  <si>
    <t>Comments(for red and purple highlighted)</t>
  </si>
  <si>
    <t>Endorsement</t>
  </si>
  <si>
    <t>Amounts are not matching.</t>
  </si>
  <si>
    <t>NB</t>
  </si>
  <si>
    <t>SI End</t>
  </si>
  <si>
    <t>Positive End</t>
  </si>
  <si>
    <t>Impacted SI</t>
  </si>
  <si>
    <t>Impacted Prem on UI</t>
  </si>
  <si>
    <t>Change in Premium</t>
  </si>
  <si>
    <t>Per day Premium of J</t>
  </si>
  <si>
    <t>Impacted Premium Calculated</t>
  </si>
  <si>
    <t>Content</t>
  </si>
  <si>
    <t>Risk</t>
  </si>
  <si>
    <t>Total</t>
  </si>
  <si>
    <t>SI of building 1 was increased so only one entry in Endorsement transaction is shown as expected.</t>
  </si>
  <si>
    <t>SI of building 2 was decreased so only one entry in Endorsement transaction is shown as expected.</t>
  </si>
  <si>
    <t>SI&lt;1000000 so no SUR layer in report</t>
  </si>
  <si>
    <t>End positive Eff Date:                  01-01-2024</t>
  </si>
  <si>
    <t>Ceded Premium amount is slightly not matching by 0.01$</t>
  </si>
  <si>
    <t>Renew With Change</t>
  </si>
  <si>
    <t>Report Data</t>
  </si>
  <si>
    <t>SI&gt;1000000 so SUR layer in report</t>
  </si>
  <si>
    <t>Amounts are not matching. Light red highlighted values are not matching just by 0.01$.</t>
  </si>
  <si>
    <t>This was added</t>
  </si>
  <si>
    <t>This is the deleted building</t>
  </si>
  <si>
    <t>This is the added building</t>
  </si>
  <si>
    <t>CGDALR005412</t>
  </si>
  <si>
    <t>Property - Homeowners</t>
  </si>
  <si>
    <t>Cancellation</t>
  </si>
  <si>
    <t>Reinstate</t>
  </si>
  <si>
    <t>Impacted Prem</t>
  </si>
  <si>
    <t>Prev Transaction Building premium of deleted building</t>
  </si>
  <si>
    <t>30 days premium as pro day is 30</t>
  </si>
  <si>
    <t>Impacted premium for deleted building</t>
  </si>
  <si>
    <t>Prev Transaction Building premium of added building</t>
  </si>
  <si>
    <t>Impacted premium for added building</t>
  </si>
  <si>
    <t>Overall Impacted</t>
  </si>
  <si>
    <t>Proposal Name</t>
  </si>
  <si>
    <t>Transaction type</t>
  </si>
  <si>
    <t>Sum Insured</t>
  </si>
  <si>
    <t>Gross Premium</t>
  </si>
  <si>
    <t>Stamp Duty</t>
  </si>
  <si>
    <t>Impacted Premium</t>
  </si>
  <si>
    <t>Impacted Stamp Duty</t>
  </si>
  <si>
    <t>Total Premium</t>
  </si>
  <si>
    <t>Impacted premium calculation</t>
  </si>
  <si>
    <t xml:space="preserve">	02-12-2023</t>
  </si>
  <si>
    <t>Endorsement+ve</t>
  </si>
  <si>
    <t>Endorsement-ve</t>
  </si>
  <si>
    <t>TOR</t>
  </si>
  <si>
    <t>Cancellation case</t>
  </si>
  <si>
    <t>Remaining Premium</t>
  </si>
  <si>
    <t>Impacted Premium for cancellation term</t>
  </si>
  <si>
    <t>Reinstate Impacted Premium</t>
  </si>
  <si>
    <t>Days</t>
  </si>
  <si>
    <t>CGDCLO005420</t>
  </si>
  <si>
    <t>Owner</t>
  </si>
  <si>
    <t>Status</t>
  </si>
  <si>
    <t>Workflow</t>
  </si>
  <si>
    <t xml:space="preserve">Normal Policy </t>
  </si>
  <si>
    <t>Modules/Areas -- Report (Ceded Premium)</t>
  </si>
  <si>
    <t>Use Cases</t>
  </si>
  <si>
    <t>To validate that the user is able to fetch the report.</t>
  </si>
  <si>
    <t>To validate that the user is able to Download excel and PDF files.</t>
  </si>
  <si>
    <t>To validate that the user is able to fetch the report as per the filter of Policy type, Transaction date or Effective date applied.</t>
  </si>
  <si>
    <t>To validate that the report has left aligned text and right aligned amount.</t>
  </si>
  <si>
    <t>To validate that the report shows negative sign for Cancellation transaction.</t>
  </si>
  <si>
    <t>Khushbu</t>
  </si>
  <si>
    <t>Refer sheet name:   UC5_End(+ve&amp;delBuilding)</t>
  </si>
  <si>
    <t>Refer sheet name:   ImpactedPremiumCal</t>
  </si>
  <si>
    <t>To validate that the report shows entry for each type of transactions made like NB/Endorse/Renew/Cancel/Suspend/Reinstate.</t>
  </si>
  <si>
    <t>To validate that the report should generate multiple entries/rows in case of multiple buildings added in case of NB/Renew/Reinstate.</t>
  </si>
  <si>
    <t>To validate that the report shows policy wise entry in case of Cancellation transaction.</t>
  </si>
  <si>
    <t>To validate that the report shows the Impacted Premium amount on UI under the Pre-tax premium column in report risk wise (building).</t>
  </si>
  <si>
    <t>To validate that the report does not show any entry in case where the Impacted Premium is 0 on UI.</t>
  </si>
  <si>
    <t>To validate that the Reinstate transaction shows Pre-tax premium column as Impacted Premium.</t>
  </si>
  <si>
    <t>To validate that the report shows "Multiple building" or "Multiple location" text in case of Cancellation transaction.</t>
  </si>
  <si>
    <r>
      <t xml:space="preserve">To validate that the Ceded Premium column in report gets calculated on the Revised Sum Insured (SI) and not the Impacted Sum Insured.                                </t>
    </r>
    <r>
      <rPr>
        <b/>
        <sz val="9"/>
        <color rgb="FF000000"/>
        <rFont val="Calibri"/>
        <family val="2"/>
        <scheme val="minor"/>
      </rPr>
      <t>SI of NB= 5,00,000</t>
    </r>
    <r>
      <rPr>
        <sz val="9"/>
        <color rgb="FF000000"/>
        <rFont val="Calibri"/>
        <family val="2"/>
        <scheme val="minor"/>
      </rPr>
      <t xml:space="preserve">              </t>
    </r>
    <r>
      <rPr>
        <b/>
        <sz val="9"/>
        <color rgb="FF000000"/>
        <rFont val="Calibri"/>
        <family val="2"/>
        <scheme val="minor"/>
      </rPr>
      <t>SI increased End(+ve) = 1,00,000</t>
    </r>
    <r>
      <rPr>
        <sz val="9"/>
        <color rgb="FF000000"/>
        <rFont val="Calibri"/>
        <family val="2"/>
        <scheme val="minor"/>
      </rPr>
      <t xml:space="preserve">             </t>
    </r>
    <r>
      <rPr>
        <b/>
        <sz val="9"/>
        <color rgb="FF000000"/>
        <rFont val="Calibri"/>
        <family val="2"/>
        <scheme val="minor"/>
      </rPr>
      <t>So impacted SI = 1,00,000 and Revised SI = 6,00,000.</t>
    </r>
    <r>
      <rPr>
        <sz val="9"/>
        <color rgb="FF000000"/>
        <rFont val="Calibri"/>
        <family val="2"/>
        <scheme val="minor"/>
      </rPr>
      <t xml:space="preserve">                                                           So, Ceded Premium should get calculated on Revised SI. </t>
    </r>
  </si>
  <si>
    <t>To validate that the report shows pro rate premium when a risk is deleted for the number of days the building was active.</t>
  </si>
  <si>
    <t>To validate that the report shows data when the policy is Fac outward but no entry for FAC Inward.</t>
  </si>
  <si>
    <t>To validate the report of historical data.</t>
  </si>
  <si>
    <t xml:space="preserve">	14-12-2023</t>
  </si>
  <si>
    <t>Premium</t>
  </si>
  <si>
    <t>End1</t>
  </si>
  <si>
    <t>End2</t>
  </si>
  <si>
    <t>exp</t>
  </si>
  <si>
    <t>eff</t>
  </si>
  <si>
    <t>del</t>
  </si>
  <si>
    <t>To validate after reinstating and adding a building during Endorsement should show the entry of only one building that was added.</t>
  </si>
  <si>
    <t>To validate that the endorsement entry after making FAC outward should get calculated on Revised Sum Insured (Refer line no 15)</t>
  </si>
  <si>
    <t>To validate the grouping is user wise then transaction wise.</t>
  </si>
  <si>
    <t>To validate that the deleted building entry should appear on the report.</t>
  </si>
  <si>
    <t>CO-OPERATORS GENERAL INSURANCE COMPANY LIMITED</t>
  </si>
  <si>
    <t xml:space="preserve">Patrick E. McDonald Building, Upper Collymore Rock, St. Michael, Barbados. </t>
  </si>
  <si>
    <t>Tel:2464318600 Email:insure@test.com</t>
  </si>
  <si>
    <r>
      <rPr>
        <b/>
        <sz val="10"/>
        <color rgb="FF000000"/>
        <rFont val="Segoe UI"/>
        <family val="2"/>
      </rPr>
      <t xml:space="preserve">Period From:  </t>
    </r>
    <r>
      <rPr>
        <b/>
        <sz val="10"/>
        <color rgb="FF000000"/>
        <rFont val="Segoe UI"/>
        <family val="2"/>
      </rPr>
      <t>2024-08-22</t>
    </r>
  </si>
  <si>
    <r>
      <rPr>
        <b/>
        <sz val="10"/>
        <color rgb="FF000000"/>
        <rFont val="Segoe UI"/>
        <family val="2"/>
      </rPr>
      <t xml:space="preserve">Period To:  </t>
    </r>
    <r>
      <rPr>
        <b/>
        <sz val="10"/>
        <color rgb="FF000000"/>
        <rFont val="Segoe UI"/>
        <family val="2"/>
      </rPr>
      <t>2024-08-22</t>
    </r>
  </si>
  <si>
    <t>CGDCLO005424</t>
  </si>
  <si>
    <r>
      <t xml:space="preserve">To validate the report data when FAC outward is added during Endorsement, the distribution amoung RET/QST &amp; SUR will happpen on the impacted premium amount.   </t>
    </r>
    <r>
      <rPr>
        <b/>
        <sz val="9"/>
        <rFont val="Calibri"/>
        <family val="2"/>
      </rPr>
      <t>Eg: NB - $10,000, END &amp; FAC added= 10% , FAC amt = 10000*10%= 1000, Impacted amount = -1000. RET/QST &amp; SUR will get calculated on -1000.</t>
    </r>
  </si>
  <si>
    <r>
      <t xml:space="preserve">To validate the report data when FAC outward is added during NB, the distribution amoung RET/QST &amp; SUR will happpen on the remaining premium amount.   </t>
    </r>
    <r>
      <rPr>
        <b/>
        <sz val="9"/>
        <rFont val="Calibri"/>
        <family val="2"/>
      </rPr>
      <t>Eg: NB - $10,000, FAC = 10% , FAC amt = 10000*10%= 1000, Remaining amount = $9000. RET/QST &amp; SUR will get calculated on $9000.</t>
    </r>
  </si>
  <si>
    <r>
      <t xml:space="preserve">To validate that the report shows the entry of only that building where the premium gets impacted while performing positive or negative Endorsement.    </t>
    </r>
    <r>
      <rPr>
        <b/>
        <sz val="9"/>
        <color rgb="FF000000"/>
        <rFont val="Calibri"/>
        <family val="2"/>
        <scheme val="minor"/>
      </rPr>
      <t>NB - 2 building with SI 2,00,000 and 3,00,000. After making negative Endorsement building 2 SI reduced by 50,000. When report is fetched for the given policy under Endorsement transaction entry of building 2 should only come.</t>
    </r>
  </si>
  <si>
    <t>To validate the calculation in case of Cancellation the Total Premium gets subtracted with Total Impacted Premium.</t>
  </si>
  <si>
    <t>On Endorsing the Reinstate transaction correct impacted premium for each unit wise should get calculated and displayed in ceded premium report </t>
  </si>
  <si>
    <t>Done</t>
  </si>
  <si>
    <t>To validate that the report shows negative sign for Endorsement transaction where FAC was added.</t>
  </si>
  <si>
    <t>To validate by making a NIL Endorsement whether the report shows entry or not.</t>
  </si>
  <si>
    <t>To validate the entry of building during Endorsement where the premium of only some buildings are changed. The report is showing the entry of unimpacted building or not.</t>
  </si>
  <si>
    <t>CGDHMS005425</t>
  </si>
  <si>
    <t>CGDCLO005426</t>
  </si>
  <si>
    <t>CGDFFE005427</t>
  </si>
  <si>
    <t>NB Prem</t>
  </si>
  <si>
    <t>Fac%</t>
  </si>
  <si>
    <t>Fac ceded</t>
  </si>
  <si>
    <t xml:space="preserve">NB Eff Date: </t>
  </si>
  <si>
    <t xml:space="preserve">End positive Eff Date:    </t>
  </si>
  <si>
    <t>CGDHMF005428</t>
  </si>
  <si>
    <t xml:space="preserve">Gross </t>
  </si>
  <si>
    <t>Net Premium</t>
  </si>
  <si>
    <t>Fac ceded out</t>
  </si>
  <si>
    <t>HOMG042955</t>
  </si>
  <si>
    <t>Renew with</t>
  </si>
  <si>
    <t>Endorse special surcharge was added</t>
  </si>
  <si>
    <t>HOMG043051</t>
  </si>
  <si>
    <t>Flat cancel</t>
  </si>
  <si>
    <t>Cancellation all entries are -ve</t>
  </si>
  <si>
    <t>CGDCLO005429</t>
  </si>
  <si>
    <t>flat</t>
  </si>
  <si>
    <t>End</t>
  </si>
  <si>
    <t>nb</t>
  </si>
  <si>
    <t>can flat</t>
  </si>
  <si>
    <t>renw with</t>
  </si>
  <si>
    <t>can pro</t>
  </si>
  <si>
    <t>reins</t>
  </si>
  <si>
    <t>end</t>
  </si>
  <si>
    <t>not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</si>
</sst>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409]mmmm\ d\,\ yyyy"/>
    <numFmt numFmtId="165" formatCode="[$-10409]&quot;$&quot;\ #,##0.00"/>
    <numFmt numFmtId="166" formatCode="#,##0.0000000000"/>
    <numFmt numFmtId="167" formatCode="0.00_ "/>
    <numFmt numFmtId="168" formatCode="#,##0.00000000000"/>
  </numFmts>
  <fonts count="43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Segoe UI"/>
      <family val="2"/>
    </font>
    <font>
      <b/>
      <sz val="10"/>
      <color rgb="FF000000"/>
      <name val="Segoe U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5E5E5E"/>
      <name val="Segoe UI"/>
      <family val="2"/>
    </font>
    <font>
      <sz val="9"/>
      <color rgb="FFFF0000"/>
      <name val="Segoe U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rgb="FF5E5E5E"/>
      <name val="Segoe UI"/>
      <family val="2"/>
    </font>
    <font>
      <sz val="14"/>
      <name val="Calibri"/>
      <family val="2"/>
    </font>
    <font>
      <sz val="9"/>
      <color rgb="FF000000"/>
      <name val="Calibri"/>
      <family val="2"/>
      <scheme val="minor"/>
    </font>
    <font>
      <b/>
      <sz val="16"/>
      <name val="Calibri"/>
      <family val="2"/>
    </font>
    <font>
      <u/>
      <sz val="11"/>
      <color theme="10"/>
      <name val="Calibri"/>
      <family val="2"/>
      <scheme val="minor"/>
    </font>
    <font>
      <sz val="7"/>
      <color rgb="FF5E5E5E"/>
      <name val="Segoe UI"/>
      <family val="2"/>
    </font>
    <font>
      <b/>
      <sz val="11"/>
      <name val="Calibri"/>
      <family val="2"/>
    </font>
    <font>
      <sz val="9"/>
      <color indexed="81"/>
      <name val="宋体"/>
      <charset val="134"/>
    </font>
    <font>
      <b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color rgb="FF5E5E5E"/>
      <name val="Calibri"/>
      <family val="2"/>
      <scheme val="minor"/>
    </font>
    <font>
      <sz val="8"/>
      <color rgb="FF5E5E5E"/>
      <name val="Segoe UI"/>
      <family val="2"/>
    </font>
    <font>
      <b/>
      <sz val="8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name val="Calibri"/>
      <family val="2"/>
    </font>
    <font>
      <b/>
      <sz val="9"/>
      <color rgb="FF000000"/>
      <name val="Calibri"/>
      <family val="2"/>
      <scheme val="minor"/>
    </font>
    <font>
      <sz val="6"/>
      <color rgb="FF5E5E5E"/>
      <name val="Segoe UI"/>
      <family val="2"/>
    </font>
    <font>
      <sz val="7"/>
      <color rgb="FF212529"/>
      <name val="Segoe UI"/>
      <family val="2"/>
    </font>
    <font>
      <sz val="7"/>
      <color rgb="FF212529"/>
      <name val="Segoe UI"/>
      <family val="2"/>
    </font>
    <font>
      <sz val="10"/>
      <color rgb="FF212529"/>
      <name val="Segoe UI"/>
      <family val="2"/>
    </font>
    <font>
      <sz val="7"/>
      <color rgb="FF5E5E5E"/>
      <name val="Segoe UI"/>
      <family val="2"/>
    </font>
    <font>
      <b/>
      <sz val="12"/>
      <color rgb="FF000000"/>
      <name val="Arial"/>
      <family val="2"/>
    </font>
    <font>
      <b/>
      <sz val="9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Segoe UI"/>
      <family val="2"/>
    </font>
    <font>
      <b/>
      <sz val="9"/>
      <color rgb="FF5E5E5E"/>
      <name val="Segoe UI"/>
      <family val="2"/>
    </font>
    <font>
      <sz val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ADD8E6"/>
        <bgColor rgb="FFADD8E6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</fills>
  <borders count="7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76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center" vertical="top" wrapText="1" readingOrder="1"/>
    </xf>
    <xf numFmtId="0" fontId="5" fillId="2" borderId="2" xfId="0" applyNumberFormat="1" applyFont="1" applyFill="1" applyBorder="1" applyAlignment="1">
      <alignment horizontal="center" vertical="top" wrapText="1" readingOrder="1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5" fillId="0" borderId="2" xfId="0" applyNumberFormat="1" applyFont="1" applyFill="1" applyBorder="1" applyAlignment="1">
      <alignment horizontal="left" vertical="top" wrapText="1" readingOrder="1"/>
    </xf>
    <xf numFmtId="0" fontId="2" fillId="0" borderId="2" xfId="0" applyNumberFormat="1" applyFont="1" applyFill="1" applyBorder="1" applyAlignment="1">
      <alignment horizontal="left" vertical="top" wrapText="1" readingOrder="1"/>
    </xf>
    <xf numFmtId="0" fontId="2" fillId="0" borderId="2" xfId="0" applyNumberFormat="1" applyFont="1" applyFill="1" applyBorder="1" applyAlignment="1">
      <alignment horizontal="right" vertical="top" wrapText="1" readingOrder="1"/>
    </xf>
    <xf numFmtId="164" fontId="2" fillId="0" borderId="2" xfId="0" applyNumberFormat="1" applyFont="1" applyFill="1" applyBorder="1" applyAlignment="1">
      <alignment horizontal="left" vertical="top" wrapText="1" readingOrder="1"/>
    </xf>
    <xf numFmtId="165" fontId="2" fillId="0" borderId="2" xfId="0" applyNumberFormat="1" applyFont="1" applyFill="1" applyBorder="1" applyAlignment="1">
      <alignment horizontal="right"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4" fontId="7" fillId="0" borderId="9" xfId="0" applyNumberFormat="1" applyFont="1" applyBorder="1"/>
    <xf numFmtId="165" fontId="2" fillId="4" borderId="2" xfId="0" applyNumberFormat="1" applyFont="1" applyFill="1" applyBorder="1" applyAlignment="1">
      <alignment horizontal="right" vertical="top" wrapText="1" readingOrder="1"/>
    </xf>
    <xf numFmtId="0" fontId="2" fillId="4" borderId="2" xfId="0" applyNumberFormat="1" applyFont="1" applyFill="1" applyBorder="1" applyAlignment="1">
      <alignment horizontal="right" vertical="top" wrapText="1" readingOrder="1"/>
    </xf>
    <xf numFmtId="165" fontId="2" fillId="5" borderId="2" xfId="0" applyNumberFormat="1" applyFont="1" applyFill="1" applyBorder="1" applyAlignment="1">
      <alignment horizontal="right" vertical="top" wrapText="1" readingOrder="1"/>
    </xf>
    <xf numFmtId="0" fontId="1" fillId="6" borderId="0" xfId="0" applyFont="1" applyFill="1" applyBorder="1"/>
    <xf numFmtId="0" fontId="5" fillId="0" borderId="8" xfId="0" applyNumberFormat="1" applyFont="1" applyFill="1" applyBorder="1" applyAlignment="1">
      <alignment horizontal="center" vertical="top" wrapText="1" readingOrder="1"/>
    </xf>
    <xf numFmtId="165" fontId="2" fillId="0" borderId="8" xfId="0" applyNumberFormat="1" applyFont="1" applyFill="1" applyBorder="1" applyAlignment="1">
      <alignment horizontal="right" vertical="top" wrapText="1" readingOrder="1"/>
    </xf>
    <xf numFmtId="0" fontId="2" fillId="4" borderId="8" xfId="0" applyNumberFormat="1" applyFont="1" applyFill="1" applyBorder="1" applyAlignment="1">
      <alignment horizontal="right" vertical="top" wrapText="1" readingOrder="1"/>
    </xf>
    <xf numFmtId="0" fontId="1" fillId="0" borderId="9" xfId="0" applyFont="1" applyFill="1" applyBorder="1"/>
    <xf numFmtId="165" fontId="2" fillId="4" borderId="8" xfId="0" applyNumberFormat="1" applyFont="1" applyFill="1" applyBorder="1" applyAlignment="1">
      <alignment horizontal="right" vertical="top" wrapText="1" readingOrder="1"/>
    </xf>
    <xf numFmtId="0" fontId="5" fillId="7" borderId="2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165" fontId="2" fillId="0" borderId="4" xfId="0" applyNumberFormat="1" applyFont="1" applyFill="1" applyBorder="1" applyAlignment="1">
      <alignment horizontal="right" vertical="top" wrapText="1" readingOrder="1"/>
    </xf>
    <xf numFmtId="0" fontId="5" fillId="0" borderId="1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 applyAlignment="1">
      <alignment vertical="top"/>
    </xf>
    <xf numFmtId="0" fontId="5" fillId="2" borderId="7" xfId="0" applyNumberFormat="1" applyFont="1" applyFill="1" applyBorder="1" applyAlignment="1">
      <alignment horizontal="center" vertical="top" wrapText="1" readingOrder="1"/>
    </xf>
    <xf numFmtId="0" fontId="5" fillId="2" borderId="32" xfId="0" applyNumberFormat="1" applyFont="1" applyFill="1" applyBorder="1" applyAlignment="1">
      <alignment horizontal="center" vertical="top" wrapText="1" readingOrder="1"/>
    </xf>
    <xf numFmtId="0" fontId="5" fillId="0" borderId="34" xfId="0" applyNumberFormat="1" applyFont="1" applyFill="1" applyBorder="1" applyAlignment="1">
      <alignment horizontal="center" vertical="top" wrapText="1" readingOrder="1"/>
    </xf>
    <xf numFmtId="0" fontId="5" fillId="0" borderId="35" xfId="0" applyNumberFormat="1" applyFont="1" applyFill="1" applyBorder="1" applyAlignment="1">
      <alignment horizontal="center" vertical="top" wrapText="1" readingOrder="1"/>
    </xf>
    <xf numFmtId="165" fontId="2" fillId="0" borderId="35" xfId="0" applyNumberFormat="1" applyFont="1" applyFill="1" applyBorder="1" applyAlignment="1">
      <alignment horizontal="right" vertical="top" wrapText="1" readingOrder="1"/>
    </xf>
    <xf numFmtId="0" fontId="2" fillId="0" borderId="34" xfId="0" applyNumberFormat="1" applyFont="1" applyFill="1" applyBorder="1" applyAlignment="1">
      <alignment horizontal="center" vertical="top" wrapText="1" readingOrder="1"/>
    </xf>
    <xf numFmtId="0" fontId="2" fillId="0" borderId="37" xfId="0" applyNumberFormat="1" applyFont="1" applyFill="1" applyBorder="1" applyAlignment="1">
      <alignment horizontal="center" vertical="top" wrapText="1" readingOrder="1"/>
    </xf>
    <xf numFmtId="0" fontId="2" fillId="0" borderId="38" xfId="0" applyNumberFormat="1" applyFont="1" applyFill="1" applyBorder="1" applyAlignment="1">
      <alignment horizontal="center" vertical="top" wrapText="1" readingOrder="1"/>
    </xf>
    <xf numFmtId="165" fontId="2" fillId="0" borderId="38" xfId="0" applyNumberFormat="1" applyFont="1" applyFill="1" applyBorder="1" applyAlignment="1">
      <alignment horizontal="right" vertical="top" wrapText="1" readingOrder="1"/>
    </xf>
    <xf numFmtId="165" fontId="2" fillId="0" borderId="39" xfId="0" applyNumberFormat="1" applyFont="1" applyFill="1" applyBorder="1" applyAlignment="1">
      <alignment horizontal="right" vertical="top" wrapText="1" readingOrder="1"/>
    </xf>
    <xf numFmtId="0" fontId="1" fillId="0" borderId="42" xfId="0" applyFont="1" applyFill="1" applyBorder="1" applyAlignment="1">
      <alignment horizontal="left" vertical="top" wrapText="1"/>
    </xf>
    <xf numFmtId="0" fontId="5" fillId="2" borderId="43" xfId="0" applyNumberFormat="1" applyFont="1" applyFill="1" applyBorder="1" applyAlignment="1">
      <alignment horizontal="center" vertical="top" wrapText="1" readingOrder="1"/>
    </xf>
    <xf numFmtId="0" fontId="4" fillId="2" borderId="44" xfId="0" applyNumberFormat="1" applyFont="1" applyFill="1" applyBorder="1" applyAlignment="1">
      <alignment horizontal="center" vertical="top" wrapText="1" readingOrder="1"/>
    </xf>
    <xf numFmtId="0" fontId="5" fillId="2" borderId="44" xfId="0" applyNumberFormat="1" applyFont="1" applyFill="1" applyBorder="1" applyAlignment="1">
      <alignment horizontal="center" vertical="top" wrapText="1" readingOrder="1"/>
    </xf>
    <xf numFmtId="0" fontId="1" fillId="6" borderId="31" xfId="0" applyFont="1" applyFill="1" applyBorder="1"/>
    <xf numFmtId="0" fontId="1" fillId="0" borderId="48" xfId="0" applyFont="1" applyFill="1" applyBorder="1"/>
    <xf numFmtId="0" fontId="5" fillId="0" borderId="34" xfId="0" applyNumberFormat="1" applyFont="1" applyFill="1" applyBorder="1" applyAlignment="1">
      <alignment horizontal="left" vertical="top" wrapText="1" readingOrder="1"/>
    </xf>
    <xf numFmtId="0" fontId="1" fillId="0" borderId="50" xfId="0" applyNumberFormat="1" applyFont="1" applyFill="1" applyBorder="1" applyAlignment="1">
      <alignment vertical="top" wrapText="1"/>
    </xf>
    <xf numFmtId="0" fontId="5" fillId="0" borderId="37" xfId="0" applyNumberFormat="1" applyFont="1" applyFill="1" applyBorder="1" applyAlignment="1">
      <alignment horizontal="center" vertical="top" wrapText="1" readingOrder="1"/>
    </xf>
    <xf numFmtId="0" fontId="5" fillId="0" borderId="38" xfId="0" applyNumberFormat="1" applyFont="1" applyFill="1" applyBorder="1" applyAlignment="1">
      <alignment horizontal="center" vertical="top" wrapText="1" readingOrder="1"/>
    </xf>
    <xf numFmtId="0" fontId="4" fillId="0" borderId="38" xfId="0" applyNumberFormat="1" applyFont="1" applyFill="1" applyBorder="1" applyAlignment="1">
      <alignment horizontal="center" vertical="top" wrapText="1" readingOrder="1"/>
    </xf>
    <xf numFmtId="165" fontId="2" fillId="4" borderId="38" xfId="0" applyNumberFormat="1" applyFont="1" applyFill="1" applyBorder="1" applyAlignment="1">
      <alignment horizontal="right" vertical="top" wrapText="1" readingOrder="1"/>
    </xf>
    <xf numFmtId="165" fontId="2" fillId="4" borderId="51" xfId="0" applyNumberFormat="1" applyFont="1" applyFill="1" applyBorder="1" applyAlignment="1">
      <alignment horizontal="right" vertical="top" wrapText="1" readingOrder="1"/>
    </xf>
    <xf numFmtId="0" fontId="10" fillId="6" borderId="1" xfId="0" applyFont="1" applyFill="1" applyBorder="1" applyAlignment="1"/>
    <xf numFmtId="165" fontId="2" fillId="10" borderId="2" xfId="0" applyNumberFormat="1" applyFont="1" applyFill="1" applyBorder="1" applyAlignment="1">
      <alignment horizontal="right" vertical="top" wrapText="1" readingOrder="1"/>
    </xf>
    <xf numFmtId="0" fontId="1" fillId="0" borderId="17" xfId="0" applyNumberFormat="1" applyFont="1" applyFill="1" applyBorder="1" applyAlignment="1">
      <alignment vertical="top" wrapText="1"/>
    </xf>
    <xf numFmtId="0" fontId="1" fillId="0" borderId="53" xfId="0" applyNumberFormat="1" applyFont="1" applyFill="1" applyBorder="1" applyAlignment="1">
      <alignment vertical="top" wrapText="1"/>
    </xf>
    <xf numFmtId="0" fontId="2" fillId="0" borderId="8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 applyAlignment="1">
      <alignment horizontal="left" vertical="top" wrapText="1"/>
    </xf>
    <xf numFmtId="0" fontId="2" fillId="0" borderId="36" xfId="0" applyNumberFormat="1" applyFont="1" applyFill="1" applyBorder="1" applyAlignment="1">
      <alignment horizontal="center" vertical="top" wrapText="1" readingOrder="1"/>
    </xf>
    <xf numFmtId="0" fontId="11" fillId="0" borderId="10" xfId="0" applyNumberFormat="1" applyFont="1" applyFill="1" applyBorder="1" applyAlignment="1">
      <alignment horizontal="center" vertical="top" wrapText="1" readingOrder="1"/>
    </xf>
    <xf numFmtId="165" fontId="2" fillId="0" borderId="10" xfId="0" applyNumberFormat="1" applyFont="1" applyFill="1" applyBorder="1" applyAlignment="1">
      <alignment horizontal="center" vertical="center" wrapText="1" readingOrder="1"/>
    </xf>
    <xf numFmtId="165" fontId="2" fillId="4" borderId="4" xfId="0" applyNumberFormat="1" applyFont="1" applyFill="1" applyBorder="1" applyAlignment="1">
      <alignment horizontal="right" vertical="top" wrapText="1" readingOrder="1"/>
    </xf>
    <xf numFmtId="14" fontId="1" fillId="9" borderId="26" xfId="0" applyNumberFormat="1" applyFont="1" applyFill="1" applyBorder="1" applyAlignment="1">
      <alignment horizontal="left" vertical="top" wrapText="1"/>
    </xf>
    <xf numFmtId="0" fontId="2" fillId="0" borderId="10" xfId="0" applyNumberFormat="1" applyFont="1" applyFill="1" applyBorder="1" applyAlignment="1">
      <alignment horizontal="center" vertical="top" wrapText="1" readingOrder="1"/>
    </xf>
    <xf numFmtId="0" fontId="1" fillId="6" borderId="9" xfId="0" applyFont="1" applyFill="1" applyBorder="1" applyAlignment="1">
      <alignment wrapText="1"/>
    </xf>
    <xf numFmtId="0" fontId="12" fillId="9" borderId="9" xfId="0" applyFont="1" applyFill="1" applyBorder="1" applyAlignment="1">
      <alignment vertical="top" wrapText="1"/>
    </xf>
    <xf numFmtId="0" fontId="12" fillId="6" borderId="9" xfId="0" applyFont="1" applyFill="1" applyBorder="1" applyAlignment="1">
      <alignment vertical="top" wrapText="1"/>
    </xf>
    <xf numFmtId="0" fontId="0" fillId="0" borderId="9" xfId="0" applyBorder="1"/>
    <xf numFmtId="0" fontId="13" fillId="11" borderId="9" xfId="0" applyFont="1" applyFill="1" applyBorder="1"/>
    <xf numFmtId="4" fontId="14" fillId="0" borderId="9" xfId="0" applyNumberFormat="1" applyFont="1" applyBorder="1"/>
    <xf numFmtId="4" fontId="14" fillId="0" borderId="0" xfId="0" applyNumberFormat="1" applyFont="1"/>
    <xf numFmtId="0" fontId="14" fillId="0" borderId="0" xfId="0" applyFont="1"/>
    <xf numFmtId="0" fontId="14" fillId="0" borderId="9" xfId="0" applyFont="1" applyBorder="1"/>
    <xf numFmtId="0" fontId="13" fillId="0" borderId="9" xfId="0" applyFont="1" applyBorder="1"/>
    <xf numFmtId="4" fontId="7" fillId="0" borderId="0" xfId="0" applyNumberFormat="1" applyFont="1"/>
    <xf numFmtId="0" fontId="1" fillId="12" borderId="0" xfId="0" applyFont="1" applyFill="1" applyBorder="1" applyAlignment="1">
      <alignment vertical="top"/>
    </xf>
    <xf numFmtId="0" fontId="1" fillId="12" borderId="0" xfId="0" applyFont="1" applyFill="1" applyBorder="1"/>
    <xf numFmtId="0" fontId="10" fillId="12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/>
    </xf>
    <xf numFmtId="0" fontId="16" fillId="0" borderId="9" xfId="0" applyFont="1" applyBorder="1"/>
    <xf numFmtId="0" fontId="16" fillId="4" borderId="9" xfId="0" applyFont="1" applyFill="1" applyBorder="1"/>
    <xf numFmtId="4" fontId="16" fillId="0" borderId="9" xfId="0" applyNumberFormat="1" applyFont="1" applyBorder="1"/>
    <xf numFmtId="2" fontId="16" fillId="4" borderId="9" xfId="0" applyNumberFormat="1" applyFont="1" applyFill="1" applyBorder="1"/>
    <xf numFmtId="0" fontId="10" fillId="12" borderId="0" xfId="0" applyFont="1" applyFill="1" applyBorder="1"/>
    <xf numFmtId="0" fontId="15" fillId="12" borderId="0" xfId="0" applyFont="1" applyFill="1" applyBorder="1"/>
    <xf numFmtId="0" fontId="2" fillId="6" borderId="2" xfId="0" applyNumberFormat="1" applyFont="1" applyFill="1" applyBorder="1" applyAlignment="1">
      <alignment horizontal="left" vertical="top" wrapText="1" readingOrder="1"/>
    </xf>
    <xf numFmtId="0" fontId="2" fillId="0" borderId="4" xfId="0" applyNumberFormat="1" applyFont="1" applyFill="1" applyBorder="1" applyAlignment="1">
      <alignment horizontal="right" vertical="top" wrapText="1" readingOrder="1"/>
    </xf>
    <xf numFmtId="0" fontId="5" fillId="0" borderId="36" xfId="0" applyNumberFormat="1" applyFont="1" applyFill="1" applyBorder="1" applyAlignment="1">
      <alignment horizontal="center" vertical="top" wrapText="1" readingOrder="1"/>
    </xf>
    <xf numFmtId="0" fontId="5" fillId="4" borderId="2" xfId="0" applyNumberFormat="1" applyFont="1" applyFill="1" applyBorder="1" applyAlignment="1">
      <alignment horizontal="center" vertical="top" wrapText="1" readingOrder="1"/>
    </xf>
    <xf numFmtId="0" fontId="10" fillId="12" borderId="9" xfId="0" applyFont="1" applyFill="1" applyBorder="1"/>
    <xf numFmtId="0" fontId="1" fillId="12" borderId="9" xfId="0" applyFont="1" applyFill="1" applyBorder="1"/>
    <xf numFmtId="165" fontId="2" fillId="5" borderId="8" xfId="0" applyNumberFormat="1" applyFont="1" applyFill="1" applyBorder="1" applyAlignment="1">
      <alignment horizontal="right" vertical="top" wrapText="1" readingOrder="1"/>
    </xf>
    <xf numFmtId="165" fontId="5" fillId="8" borderId="2" xfId="0" applyNumberFormat="1" applyFont="1" applyFill="1" applyBorder="1" applyAlignment="1">
      <alignment horizontal="right" vertical="top" wrapText="1" readingOrder="1"/>
    </xf>
    <xf numFmtId="165" fontId="5" fillId="8" borderId="8" xfId="0" applyNumberFormat="1" applyFont="1" applyFill="1" applyBorder="1" applyAlignment="1">
      <alignment horizontal="right" vertical="top" wrapText="1" readingOrder="1"/>
    </xf>
    <xf numFmtId="14" fontId="1" fillId="9" borderId="26" xfId="0" applyNumberFormat="1" applyFont="1" applyFill="1" applyBorder="1" applyAlignment="1">
      <alignment horizontal="left" vertical="top" wrapText="1"/>
    </xf>
    <xf numFmtId="0" fontId="1" fillId="6" borderId="9" xfId="0" applyFont="1" applyFill="1" applyBorder="1"/>
    <xf numFmtId="0" fontId="5" fillId="2" borderId="2" xfId="0" applyNumberFormat="1" applyFont="1" applyFill="1" applyBorder="1" applyAlignment="1">
      <alignment vertical="top" wrapText="1" readingOrder="1"/>
    </xf>
    <xf numFmtId="0" fontId="5" fillId="0" borderId="2" xfId="0" applyNumberFormat="1" applyFont="1" applyFill="1" applyBorder="1" applyAlignment="1">
      <alignment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164" fontId="2" fillId="0" borderId="2" xfId="0" applyNumberFormat="1" applyFont="1" applyFill="1" applyBorder="1" applyAlignment="1">
      <alignment vertical="top" wrapText="1" readingOrder="1"/>
    </xf>
    <xf numFmtId="165" fontId="2" fillId="0" borderId="2" xfId="0" applyNumberFormat="1" applyFont="1" applyFill="1" applyBorder="1" applyAlignment="1">
      <alignment vertical="top" wrapText="1" readingOrder="1"/>
    </xf>
    <xf numFmtId="0" fontId="5" fillId="2" borderId="53" xfId="0" applyNumberFormat="1" applyFont="1" applyFill="1" applyBorder="1" applyAlignment="1">
      <alignment horizontal="center" vertical="top" wrapText="1" readingOrder="1"/>
    </xf>
    <xf numFmtId="0" fontId="5" fillId="0" borderId="9" xfId="0" applyNumberFormat="1" applyFont="1" applyFill="1" applyBorder="1" applyAlignment="1">
      <alignment horizontal="center" vertical="top" wrapText="1" readingOrder="1"/>
    </xf>
    <xf numFmtId="4" fontId="1" fillId="0" borderId="0" xfId="0" applyNumberFormat="1" applyFont="1" applyFill="1" applyBorder="1"/>
    <xf numFmtId="0" fontId="5" fillId="0" borderId="64" xfId="0" applyNumberFormat="1" applyFont="1" applyFill="1" applyBorder="1" applyAlignment="1">
      <alignment horizontal="center" vertical="top" wrapText="1" readingOrder="1"/>
    </xf>
    <xf numFmtId="0" fontId="5" fillId="0" borderId="65" xfId="0" applyNumberFormat="1" applyFont="1" applyFill="1" applyBorder="1" applyAlignment="1">
      <alignment horizontal="center" vertical="top" wrapText="1" readingOrder="1"/>
    </xf>
    <xf numFmtId="0" fontId="5" fillId="0" borderId="11" xfId="0" applyNumberFormat="1" applyFont="1" applyFill="1" applyBorder="1" applyAlignment="1">
      <alignment horizontal="center" vertical="top" wrapText="1" readingOrder="1"/>
    </xf>
    <xf numFmtId="0" fontId="5" fillId="0" borderId="66" xfId="0" applyNumberFormat="1" applyFont="1" applyFill="1" applyBorder="1" applyAlignment="1">
      <alignment horizontal="center" vertical="top" wrapText="1" readingOrder="1"/>
    </xf>
    <xf numFmtId="0" fontId="2" fillId="0" borderId="10" xfId="0" applyNumberFormat="1" applyFont="1" applyFill="1" applyBorder="1" applyAlignment="1">
      <alignment horizontal="left" vertical="top" wrapText="1" readingOrder="1"/>
    </xf>
    <xf numFmtId="0" fontId="1" fillId="6" borderId="9" xfId="0" applyNumberFormat="1" applyFont="1" applyFill="1" applyBorder="1" applyAlignment="1">
      <alignment vertical="top" wrapText="1"/>
    </xf>
    <xf numFmtId="0" fontId="2" fillId="0" borderId="70" xfId="0" applyNumberFormat="1" applyFont="1" applyFill="1" applyBorder="1" applyAlignment="1">
      <alignment horizontal="right" vertical="top" wrapText="1" readingOrder="1"/>
    </xf>
    <xf numFmtId="0" fontId="1" fillId="0" borderId="69" xfId="0" applyFont="1" applyFill="1" applyBorder="1"/>
    <xf numFmtId="0" fontId="2" fillId="0" borderId="51" xfId="0" applyNumberFormat="1" applyFont="1" applyFill="1" applyBorder="1" applyAlignment="1">
      <alignment horizontal="right" vertical="top" wrapText="1" readingOrder="1"/>
    </xf>
    <xf numFmtId="0" fontId="0" fillId="0" borderId="14" xfId="0" applyBorder="1"/>
    <xf numFmtId="0" fontId="0" fillId="0" borderId="13" xfId="0" applyBorder="1"/>
    <xf numFmtId="0" fontId="19" fillId="13" borderId="9" xfId="0" applyFont="1" applyFill="1" applyBorder="1" applyAlignment="1">
      <alignment horizontal="right" vertical="center" wrapText="1"/>
    </xf>
    <xf numFmtId="4" fontId="19" fillId="0" borderId="9" xfId="0" applyNumberFormat="1" applyFont="1" applyFill="1" applyBorder="1"/>
    <xf numFmtId="165" fontId="1" fillId="0" borderId="0" xfId="0" applyNumberFormat="1" applyFont="1" applyFill="1" applyBorder="1"/>
    <xf numFmtId="165" fontId="2" fillId="4" borderId="2" xfId="0" applyNumberFormat="1" applyFont="1" applyFill="1" applyBorder="1" applyAlignment="1">
      <alignment vertical="top" wrapText="1" readingOrder="1"/>
    </xf>
    <xf numFmtId="166" fontId="1" fillId="0" borderId="0" xfId="0" applyNumberFormat="1" applyFont="1" applyFill="1" applyBorder="1"/>
    <xf numFmtId="165" fontId="2" fillId="0" borderId="9" xfId="0" applyNumberFormat="1" applyFont="1" applyFill="1" applyBorder="1" applyAlignment="1">
      <alignment horizontal="right" vertical="top" wrapText="1" readingOrder="1"/>
    </xf>
    <xf numFmtId="4" fontId="1" fillId="0" borderId="9" xfId="0" applyNumberFormat="1" applyFont="1" applyFill="1" applyBorder="1"/>
    <xf numFmtId="4" fontId="10" fillId="6" borderId="9" xfId="0" applyNumberFormat="1" applyFont="1" applyFill="1" applyBorder="1"/>
    <xf numFmtId="165" fontId="2" fillId="0" borderId="51" xfId="0" applyNumberFormat="1" applyFont="1" applyFill="1" applyBorder="1" applyAlignment="1">
      <alignment horizontal="right" vertical="top" wrapText="1" readingOrder="1"/>
    </xf>
    <xf numFmtId="2" fontId="1" fillId="0" borderId="69" xfId="0" applyNumberFormat="1" applyFont="1" applyFill="1" applyBorder="1" applyAlignment="1">
      <alignment vertical="center"/>
    </xf>
    <xf numFmtId="165" fontId="2" fillId="0" borderId="72" xfId="0" applyNumberFormat="1" applyFont="1" applyFill="1" applyBorder="1" applyAlignment="1">
      <alignment horizontal="right" vertical="top" wrapText="1" readingOrder="1"/>
    </xf>
    <xf numFmtId="165" fontId="2" fillId="0" borderId="73" xfId="0" applyNumberFormat="1" applyFont="1" applyFill="1" applyBorder="1" applyAlignment="1">
      <alignment horizontal="right" vertical="top" wrapText="1" readingOrder="1"/>
    </xf>
    <xf numFmtId="2" fontId="1" fillId="10" borderId="11" xfId="0" applyNumberFormat="1" applyFont="1" applyFill="1" applyBorder="1" applyAlignment="1">
      <alignment vertical="center"/>
    </xf>
    <xf numFmtId="0" fontId="1" fillId="10" borderId="9" xfId="0" applyFont="1" applyFill="1" applyBorder="1"/>
    <xf numFmtId="0" fontId="1" fillId="10" borderId="48" xfId="0" applyFont="1" applyFill="1" applyBorder="1"/>
    <xf numFmtId="0" fontId="22" fillId="14" borderId="11" xfId="0" applyFont="1" applyFill="1" applyBorder="1" applyAlignment="1">
      <alignment horizontal="center" vertical="center" wrapText="1"/>
    </xf>
    <xf numFmtId="0" fontId="22" fillId="6" borderId="1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top"/>
    </xf>
    <xf numFmtId="0" fontId="23" fillId="0" borderId="9" xfId="0" applyFont="1" applyBorder="1" applyAlignment="1">
      <alignment horizontal="center"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3" fontId="23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67" fontId="23" fillId="0" borderId="9" xfId="0" applyNumberFormat="1" applyFont="1" applyBorder="1" applyAlignment="1">
      <alignment horizontal="center" vertical="center" wrapText="1"/>
    </xf>
    <xf numFmtId="4" fontId="24" fillId="0" borderId="9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14" fontId="23" fillId="0" borderId="0" xfId="0" applyNumberFormat="1" applyFont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 wrapText="1"/>
    </xf>
    <xf numFmtId="14" fontId="23" fillId="0" borderId="9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4" fontId="25" fillId="13" borderId="74" xfId="0" applyNumberFormat="1" applyFont="1" applyFill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left" vertical="center" wrapText="1"/>
    </xf>
    <xf numFmtId="14" fontId="13" fillId="10" borderId="9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Alignment="1">
      <alignment horizontal="left" vertical="top"/>
    </xf>
    <xf numFmtId="0" fontId="13" fillId="10" borderId="9" xfId="0" applyFont="1" applyFill="1" applyBorder="1" applyAlignment="1">
      <alignment horizontal="left" vertical="top" wrapText="1"/>
    </xf>
    <xf numFmtId="0" fontId="13" fillId="10" borderId="9" xfId="0" applyFont="1" applyFill="1" applyBorder="1" applyAlignment="1">
      <alignment horizontal="left" vertical="top"/>
    </xf>
    <xf numFmtId="0" fontId="26" fillId="15" borderId="9" xfId="0" applyFont="1" applyFill="1" applyBorder="1" applyAlignment="1">
      <alignment horizontal="left" vertical="top"/>
    </xf>
    <xf numFmtId="0" fontId="23" fillId="15" borderId="9" xfId="0" applyFont="1" applyFill="1" applyBorder="1" applyAlignment="1">
      <alignment horizontal="left" vertical="top"/>
    </xf>
    <xf numFmtId="4" fontId="23" fillId="0" borderId="9" xfId="0" applyNumberFormat="1" applyFont="1" applyBorder="1" applyAlignment="1">
      <alignment horizontal="left" vertical="top"/>
    </xf>
    <xf numFmtId="0" fontId="23" fillId="0" borderId="9" xfId="0" applyFont="1" applyBorder="1" applyAlignment="1">
      <alignment horizontal="left" vertical="top"/>
    </xf>
    <xf numFmtId="0" fontId="27" fillId="0" borderId="0" xfId="0" applyFont="1" applyFill="1" applyBorder="1"/>
    <xf numFmtId="0" fontId="29" fillId="18" borderId="74" xfId="0" applyFont="1" applyFill="1" applyBorder="1" applyAlignment="1">
      <alignment horizontal="left" vertical="center"/>
    </xf>
    <xf numFmtId="0" fontId="29" fillId="0" borderId="2" xfId="0" applyFont="1" applyFill="1" applyBorder="1"/>
    <xf numFmtId="0" fontId="16" fillId="0" borderId="9" xfId="0" applyFont="1" applyFill="1" applyBorder="1" applyAlignment="1">
      <alignment horizontal="left" vertical="top" wrapText="1"/>
    </xf>
    <xf numFmtId="0" fontId="16" fillId="19" borderId="9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top"/>
    </xf>
    <xf numFmtId="0" fontId="29" fillId="0" borderId="10" xfId="0" applyFont="1" applyFill="1" applyBorder="1"/>
    <xf numFmtId="0" fontId="0" fillId="0" borderId="9" xfId="0" applyFont="1" applyFill="1" applyBorder="1"/>
    <xf numFmtId="0" fontId="30" fillId="0" borderId="9" xfId="0" applyFont="1" applyFill="1" applyBorder="1" applyAlignment="1">
      <alignment horizontal="left" vertical="top"/>
    </xf>
    <xf numFmtId="0" fontId="9" fillId="6" borderId="9" xfId="0" applyFont="1" applyFill="1" applyBorder="1" applyAlignment="1">
      <alignment wrapText="1"/>
    </xf>
    <xf numFmtId="2" fontId="1" fillId="0" borderId="69" xfId="0" applyNumberFormat="1" applyFont="1" applyFill="1" applyBorder="1" applyAlignment="1">
      <alignment vertical="top"/>
    </xf>
    <xf numFmtId="0" fontId="1" fillId="0" borderId="42" xfId="0" applyFont="1" applyFill="1" applyBorder="1" applyAlignment="1">
      <alignment vertical="top"/>
    </xf>
    <xf numFmtId="14" fontId="1" fillId="9" borderId="26" xfId="0" applyNumberFormat="1" applyFont="1" applyFill="1" applyBorder="1" applyAlignment="1">
      <alignment horizontal="left" vertical="top" wrapText="1"/>
    </xf>
    <xf numFmtId="14" fontId="23" fillId="0" borderId="0" xfId="0" applyNumberFormat="1" applyFont="1" applyAlignment="1">
      <alignment horizontal="left" vertical="top"/>
    </xf>
    <xf numFmtId="0" fontId="32" fillId="0" borderId="0" xfId="0" applyFont="1" applyFill="1" applyBorder="1"/>
    <xf numFmtId="4" fontId="32" fillId="13" borderId="0" xfId="0" applyNumberFormat="1" applyFont="1" applyFill="1" applyBorder="1" applyAlignment="1">
      <alignment horizontal="right" vertical="center" wrapText="1"/>
    </xf>
    <xf numFmtId="4" fontId="33" fillId="0" borderId="0" xfId="0" applyNumberFormat="1" applyFont="1" applyFill="1" applyBorder="1"/>
    <xf numFmtId="0" fontId="33" fillId="0" borderId="0" xfId="0" applyFont="1" applyFill="1" applyBorder="1"/>
    <xf numFmtId="14" fontId="1" fillId="0" borderId="0" xfId="0" applyNumberFormat="1" applyFont="1" applyFill="1" applyBorder="1"/>
    <xf numFmtId="14" fontId="32" fillId="0" borderId="0" xfId="0" applyNumberFormat="1" applyFont="1" applyFill="1" applyBorder="1" applyAlignment="1">
      <alignment vertical="center" wrapText="1"/>
    </xf>
    <xf numFmtId="14" fontId="35" fillId="0" borderId="9" xfId="0" applyNumberFormat="1" applyFont="1" applyFill="1" applyBorder="1"/>
    <xf numFmtId="14" fontId="34" fillId="0" borderId="9" xfId="0" applyNumberFormat="1" applyFont="1" applyFill="1" applyBorder="1"/>
    <xf numFmtId="0" fontId="1" fillId="15" borderId="9" xfId="0" applyFont="1" applyFill="1" applyBorder="1"/>
    <xf numFmtId="4" fontId="27" fillId="0" borderId="0" xfId="0" applyNumberFormat="1" applyFont="1" applyFill="1" applyBorder="1"/>
    <xf numFmtId="4" fontId="32" fillId="13" borderId="75" xfId="0" applyNumberFormat="1" applyFont="1" applyFill="1" applyBorder="1" applyAlignment="1">
      <alignment horizontal="right" vertical="center" wrapText="1"/>
    </xf>
    <xf numFmtId="0" fontId="32" fillId="13" borderId="76" xfId="0" applyFont="1" applyFill="1" applyBorder="1" applyAlignment="1">
      <alignment vertical="center" wrapText="1"/>
    </xf>
    <xf numFmtId="4" fontId="18" fillId="0" borderId="0" xfId="1" applyNumberFormat="1" applyFill="1" applyBorder="1"/>
    <xf numFmtId="4" fontId="36" fillId="0" borderId="0" xfId="0" applyNumberFormat="1" applyFont="1" applyFill="1" applyBorder="1"/>
    <xf numFmtId="4" fontId="32" fillId="0" borderId="0" xfId="0" applyNumberFormat="1" applyFont="1" applyFill="1" applyBorder="1"/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5" fillId="2" borderId="2" xfId="0" applyNumberFormat="1" applyFont="1" applyFill="1" applyBorder="1" applyAlignment="1">
      <alignment horizontal="center" vertical="top" wrapText="1" readingOrder="1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2" fillId="0" borderId="2" xfId="0" applyNumberFormat="1" applyFont="1" applyFill="1" applyBorder="1" applyAlignment="1">
      <alignment horizontal="left" vertical="top" wrapText="1" readingOrder="1"/>
    </xf>
    <xf numFmtId="0" fontId="2" fillId="0" borderId="2" xfId="0" applyNumberFormat="1" applyFont="1" applyFill="1" applyBorder="1" applyAlignment="1">
      <alignment horizontal="right" vertical="top" wrapText="1" readingOrder="1"/>
    </xf>
    <xf numFmtId="164" fontId="2" fillId="0" borderId="2" xfId="0" applyNumberFormat="1" applyFont="1" applyFill="1" applyBorder="1" applyAlignment="1">
      <alignment horizontal="left" vertical="top" wrapText="1" readingOrder="1"/>
    </xf>
    <xf numFmtId="165" fontId="2" fillId="0" borderId="2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horizontal="center" vertical="top" wrapText="1" readingOrder="1"/>
    </xf>
    <xf numFmtId="166" fontId="1" fillId="4" borderId="0" xfId="0" applyNumberFormat="1" applyFont="1" applyFill="1" applyBorder="1"/>
    <xf numFmtId="168" fontId="1" fillId="4" borderId="0" xfId="0" applyNumberFormat="1" applyFont="1" applyFill="1" applyBorder="1"/>
    <xf numFmtId="0" fontId="30" fillId="0" borderId="9" xfId="0" applyFont="1" applyFill="1" applyBorder="1" applyAlignment="1">
      <alignment horizontal="left" vertical="top" wrapText="1"/>
    </xf>
    <xf numFmtId="0" fontId="16" fillId="4" borderId="9" xfId="0" applyFont="1" applyFill="1" applyBorder="1" applyAlignment="1">
      <alignment horizontal="left" vertical="top" wrapText="1"/>
    </xf>
    <xf numFmtId="0" fontId="1" fillId="0" borderId="0" xfId="0" applyFont="1" applyFill="1" applyBorder="1"/>
    <xf numFmtId="0" fontId="39" fillId="2" borderId="2" xfId="0" applyNumberFormat="1" applyFont="1" applyFill="1" applyBorder="1" applyAlignment="1">
      <alignment horizontal="center" vertical="top" wrapText="1" readingOrder="1"/>
    </xf>
    <xf numFmtId="0" fontId="30" fillId="0" borderId="0" xfId="0" applyFont="1" applyFill="1" applyBorder="1"/>
    <xf numFmtId="0" fontId="39" fillId="0" borderId="2" xfId="0" applyNumberFormat="1" applyFont="1" applyFill="1" applyBorder="1" applyAlignment="1">
      <alignment horizontal="center" vertical="top" wrapText="1" readingOrder="1"/>
    </xf>
    <xf numFmtId="0" fontId="11" fillId="0" borderId="2" xfId="0" applyNumberFormat="1" applyFont="1" applyFill="1" applyBorder="1" applyAlignment="1">
      <alignment horizontal="left" vertical="top" wrapText="1" readingOrder="1"/>
    </xf>
    <xf numFmtId="0" fontId="11" fillId="0" borderId="2" xfId="0" applyNumberFormat="1" applyFont="1" applyFill="1" applyBorder="1" applyAlignment="1">
      <alignment horizontal="right" vertical="top" wrapText="1" readingOrder="1"/>
    </xf>
    <xf numFmtId="164" fontId="11" fillId="0" borderId="2" xfId="0" applyNumberFormat="1" applyFont="1" applyFill="1" applyBorder="1" applyAlignment="1">
      <alignment horizontal="left" vertical="top" wrapText="1" readingOrder="1"/>
    </xf>
    <xf numFmtId="165" fontId="11" fillId="0" borderId="2" xfId="0" applyNumberFormat="1" applyFont="1" applyFill="1" applyBorder="1" applyAlignment="1">
      <alignment horizontal="right" vertical="top" wrapText="1" readingOrder="1"/>
    </xf>
    <xf numFmtId="0" fontId="11" fillId="0" borderId="2" xfId="0" applyNumberFormat="1" applyFont="1" applyFill="1" applyBorder="1" applyAlignment="1">
      <alignment horizontal="center" vertical="top" wrapText="1" readingOrder="1"/>
    </xf>
    <xf numFmtId="0" fontId="40" fillId="0" borderId="2" xfId="0" applyNumberFormat="1" applyFont="1" applyFill="1" applyBorder="1" applyAlignment="1">
      <alignment horizontal="center" vertical="top" wrapText="1" readingOrder="1"/>
    </xf>
    <xf numFmtId="0" fontId="11" fillId="6" borderId="2" xfId="0" applyNumberFormat="1" applyFont="1" applyFill="1" applyBorder="1" applyAlignment="1">
      <alignment horizontal="right" vertical="top" wrapText="1" readingOrder="1"/>
    </xf>
    <xf numFmtId="164" fontId="11" fillId="6" borderId="2" xfId="0" applyNumberFormat="1" applyFont="1" applyFill="1" applyBorder="1" applyAlignment="1">
      <alignment horizontal="left" vertical="top" wrapText="1" readingOrder="1"/>
    </xf>
    <xf numFmtId="165" fontId="11" fillId="6" borderId="2" xfId="0" applyNumberFormat="1" applyFont="1" applyFill="1" applyBorder="1" applyAlignment="1">
      <alignment horizontal="right" vertical="top" wrapText="1" readingOrder="1"/>
    </xf>
    <xf numFmtId="0" fontId="30" fillId="6" borderId="0" xfId="0" applyFont="1" applyFill="1" applyBorder="1"/>
    <xf numFmtId="165" fontId="11" fillId="4" borderId="2" xfId="0" applyNumberFormat="1" applyFont="1" applyFill="1" applyBorder="1" applyAlignment="1">
      <alignment horizontal="right" vertical="top" wrapText="1" readingOrder="1"/>
    </xf>
    <xf numFmtId="0" fontId="30" fillId="0" borderId="0" xfId="0" applyFont="1" applyFill="1" applyBorder="1"/>
    <xf numFmtId="0" fontId="1" fillId="0" borderId="0" xfId="0" applyFont="1" applyFill="1" applyBorder="1"/>
    <xf numFmtId="0" fontId="13" fillId="0" borderId="9" xfId="0" applyFont="1" applyBorder="1" applyAlignment="1">
      <alignment horizontal="center" vertical="center" wrapText="1"/>
    </xf>
    <xf numFmtId="0" fontId="41" fillId="6" borderId="0" xfId="0" applyFont="1" applyFill="1" applyBorder="1"/>
    <xf numFmtId="0" fontId="42" fillId="0" borderId="0" xfId="0" applyFont="1" applyFill="1" applyBorder="1"/>
    <xf numFmtId="0" fontId="42" fillId="6" borderId="9" xfId="0" applyFont="1" applyFill="1" applyBorder="1"/>
    <xf numFmtId="0" fontId="0" fillId="6" borderId="0" xfId="0" applyFont="1" applyFill="1" applyBorder="1"/>
    <xf numFmtId="0" fontId="20" fillId="0" borderId="0" xfId="0" applyFont="1" applyFill="1" applyBorder="1"/>
    <xf numFmtId="0" fontId="28" fillId="16" borderId="60" xfId="0" applyFont="1" applyFill="1" applyBorder="1" applyAlignment="1">
      <alignment horizontal="left" vertical="top"/>
    </xf>
    <xf numFmtId="0" fontId="28" fillId="16" borderId="0" xfId="0" applyFont="1" applyFill="1" applyBorder="1" applyAlignment="1">
      <alignment horizontal="left" vertical="top"/>
    </xf>
    <xf numFmtId="0" fontId="29" fillId="17" borderId="60" xfId="0" applyFont="1" applyFill="1" applyBorder="1" applyAlignment="1">
      <alignment horizontal="left" vertical="center"/>
    </xf>
    <xf numFmtId="0" fontId="29" fillId="17" borderId="0" xfId="0" applyFont="1" applyFill="1" applyBorder="1" applyAlignment="1">
      <alignment horizontal="left" vertical="center"/>
    </xf>
    <xf numFmtId="0" fontId="29" fillId="0" borderId="7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vertical="top" wrapText="1" readingOrder="1"/>
    </xf>
    <xf numFmtId="0" fontId="2" fillId="0" borderId="22" xfId="0" applyNumberFormat="1" applyFont="1" applyFill="1" applyBorder="1" applyAlignment="1">
      <alignment vertical="top" wrapText="1" readingOrder="1"/>
    </xf>
    <xf numFmtId="0" fontId="2" fillId="0" borderId="24" xfId="0" applyNumberFormat="1" applyFont="1" applyFill="1" applyBorder="1" applyAlignment="1">
      <alignment vertical="top" wrapText="1" readingOrder="1"/>
    </xf>
    <xf numFmtId="0" fontId="2" fillId="0" borderId="15" xfId="0" applyNumberFormat="1" applyFont="1" applyFill="1" applyBorder="1" applyAlignment="1">
      <alignment vertical="top" wrapText="1" readingOrder="1"/>
    </xf>
    <xf numFmtId="0" fontId="2" fillId="0" borderId="26" xfId="0" applyNumberFormat="1" applyFont="1" applyFill="1" applyBorder="1" applyAlignment="1">
      <alignment vertical="top" wrapText="1" readingOrder="1"/>
    </xf>
    <xf numFmtId="0" fontId="2" fillId="0" borderId="27" xfId="0" applyNumberFormat="1" applyFont="1" applyFill="1" applyBorder="1" applyAlignment="1">
      <alignment vertical="top" wrapText="1" readingOrder="1"/>
    </xf>
    <xf numFmtId="0" fontId="2" fillId="0" borderId="23" xfId="0" applyNumberFormat="1" applyFont="1" applyFill="1" applyBorder="1" applyAlignment="1">
      <alignment horizontal="center" vertical="top" wrapText="1" readingOrder="1"/>
    </xf>
    <xf numFmtId="0" fontId="2" fillId="0" borderId="25" xfId="0" applyNumberFormat="1" applyFont="1" applyFill="1" applyBorder="1" applyAlignment="1">
      <alignment horizontal="center" vertical="top" wrapText="1" readingOrder="1"/>
    </xf>
    <xf numFmtId="0" fontId="2" fillId="0" borderId="28" xfId="0" applyNumberFormat="1" applyFont="1" applyFill="1" applyBorder="1" applyAlignment="1">
      <alignment horizontal="center" vertical="top" wrapText="1" readingOrder="1"/>
    </xf>
    <xf numFmtId="0" fontId="2" fillId="0" borderId="36" xfId="0" applyNumberFormat="1" applyFont="1" applyFill="1" applyBorder="1" applyAlignment="1">
      <alignment horizontal="center" vertical="top" wrapText="1" readingOrder="1"/>
    </xf>
    <xf numFmtId="0" fontId="2" fillId="0" borderId="32" xfId="0" applyNumberFormat="1" applyFont="1" applyFill="1" applyBorder="1" applyAlignment="1">
      <alignment horizontal="center" vertical="top" wrapText="1" readingOrder="1"/>
    </xf>
    <xf numFmtId="0" fontId="1" fillId="8" borderId="49" xfId="0" applyFont="1" applyFill="1" applyBorder="1" applyAlignment="1">
      <alignment horizontal="left" vertical="top" wrapText="1"/>
    </xf>
    <xf numFmtId="0" fontId="1" fillId="8" borderId="25" xfId="0" applyFont="1" applyFill="1" applyBorder="1" applyAlignment="1">
      <alignment horizontal="left" vertical="top" wrapText="1"/>
    </xf>
    <xf numFmtId="0" fontId="1" fillId="8" borderId="28" xfId="0" applyFont="1" applyFill="1" applyBorder="1" applyAlignment="1">
      <alignment horizontal="left" vertical="top" wrapText="1"/>
    </xf>
    <xf numFmtId="14" fontId="1" fillId="9" borderId="26" xfId="0" applyNumberFormat="1" applyFont="1" applyFill="1" applyBorder="1" applyAlignment="1">
      <alignment horizontal="left" vertical="top" wrapText="1"/>
    </xf>
    <xf numFmtId="14" fontId="1" fillId="9" borderId="40" xfId="0" applyNumberFormat="1" applyFont="1" applyFill="1" applyBorder="1" applyAlignment="1">
      <alignment horizontal="left" vertical="top" wrapText="1"/>
    </xf>
    <xf numFmtId="165" fontId="2" fillId="0" borderId="10" xfId="0" applyNumberFormat="1" applyFont="1" applyFill="1" applyBorder="1" applyAlignment="1">
      <alignment horizontal="center" vertical="center" wrapText="1" readingOrder="1"/>
    </xf>
    <xf numFmtId="165" fontId="2" fillId="0" borderId="7" xfId="0" applyNumberFormat="1" applyFont="1" applyFill="1" applyBorder="1" applyAlignment="1">
      <alignment horizontal="center" vertical="center" wrapText="1" readingOrder="1"/>
    </xf>
    <xf numFmtId="0" fontId="2" fillId="0" borderId="10" xfId="0" applyNumberFormat="1" applyFont="1" applyFill="1" applyBorder="1" applyAlignment="1">
      <alignment horizontal="center" vertical="top" wrapText="1" readingOrder="1"/>
    </xf>
    <xf numFmtId="0" fontId="2" fillId="0" borderId="7" xfId="0" applyNumberFormat="1" applyFont="1" applyFill="1" applyBorder="1" applyAlignment="1">
      <alignment horizontal="center" vertical="top" wrapText="1" readingOrder="1"/>
    </xf>
    <xf numFmtId="0" fontId="6" fillId="3" borderId="45" xfId="0" applyNumberFormat="1" applyFont="1" applyFill="1" applyBorder="1" applyAlignment="1">
      <alignment horizontal="center" vertical="top" wrapText="1" readingOrder="1"/>
    </xf>
    <xf numFmtId="0" fontId="6" fillId="3" borderId="46" xfId="0" applyNumberFormat="1" applyFont="1" applyFill="1" applyBorder="1" applyAlignment="1">
      <alignment horizontal="center" vertical="top" wrapText="1" readingOrder="1"/>
    </xf>
    <xf numFmtId="0" fontId="6" fillId="3" borderId="47" xfId="0" applyNumberFormat="1" applyFont="1" applyFill="1" applyBorder="1" applyAlignment="1">
      <alignment horizontal="center" vertical="top" wrapText="1" readingOrder="1"/>
    </xf>
    <xf numFmtId="0" fontId="9" fillId="6" borderId="29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14" fontId="1" fillId="9" borderId="41" xfId="0" applyNumberFormat="1" applyFont="1" applyFill="1" applyBorder="1" applyAlignment="1">
      <alignment horizontal="left" vertical="top" wrapText="1"/>
    </xf>
    <xf numFmtId="0" fontId="6" fillId="3" borderId="5" xfId="0" applyNumberFormat="1" applyFont="1" applyFill="1" applyBorder="1" applyAlignment="1">
      <alignment horizontal="center" vertical="top" wrapText="1" readingOrder="1"/>
    </xf>
    <xf numFmtId="0" fontId="6" fillId="3" borderId="1" xfId="0" applyNumberFormat="1" applyFont="1" applyFill="1" applyBorder="1" applyAlignment="1">
      <alignment horizontal="center" vertical="top" wrapText="1" readingOrder="1"/>
    </xf>
    <xf numFmtId="0" fontId="6" fillId="3" borderId="6" xfId="0" applyNumberFormat="1" applyFont="1" applyFill="1" applyBorder="1" applyAlignment="1">
      <alignment horizontal="center" vertical="top" wrapText="1" readingOrder="1"/>
    </xf>
    <xf numFmtId="0" fontId="6" fillId="3" borderId="33" xfId="0" applyNumberFormat="1" applyFont="1" applyFill="1" applyBorder="1" applyAlignment="1">
      <alignment horizontal="center" vertical="top" wrapText="1" readingOrder="1"/>
    </xf>
    <xf numFmtId="0" fontId="2" fillId="0" borderId="59" xfId="0" applyNumberFormat="1" applyFont="1" applyFill="1" applyBorder="1" applyAlignment="1">
      <alignment vertical="top" wrapText="1" readingOrder="1"/>
    </xf>
    <xf numFmtId="0" fontId="2" fillId="0" borderId="14" xfId="0" applyNumberFormat="1" applyFont="1" applyFill="1" applyBorder="1" applyAlignment="1">
      <alignment vertical="top" wrapText="1" readingOrder="1"/>
    </xf>
    <xf numFmtId="0" fontId="2" fillId="0" borderId="40" xfId="0" applyNumberFormat="1" applyFont="1" applyFill="1" applyBorder="1" applyAlignment="1">
      <alignment vertical="top" wrapText="1" readingOrder="1"/>
    </xf>
    <xf numFmtId="0" fontId="5" fillId="3" borderId="55" xfId="0" applyNumberFormat="1" applyFont="1" applyFill="1" applyBorder="1" applyAlignment="1">
      <alignment horizontal="center" vertical="top" wrapText="1" readingOrder="1"/>
    </xf>
    <xf numFmtId="0" fontId="5" fillId="3" borderId="56" xfId="0" applyNumberFormat="1" applyFont="1" applyFill="1" applyBorder="1" applyAlignment="1">
      <alignment horizontal="center" vertical="top" wrapText="1" readingOrder="1"/>
    </xf>
    <xf numFmtId="0" fontId="5" fillId="3" borderId="57" xfId="0" applyNumberFormat="1" applyFont="1" applyFill="1" applyBorder="1" applyAlignment="1">
      <alignment horizontal="center" vertical="top" wrapText="1" readingOrder="1"/>
    </xf>
    <xf numFmtId="0" fontId="5" fillId="3" borderId="58" xfId="0" applyNumberFormat="1" applyFont="1" applyFill="1" applyBorder="1" applyAlignment="1">
      <alignment horizontal="center" vertical="top" wrapText="1" readingOrder="1"/>
    </xf>
    <xf numFmtId="0" fontId="5" fillId="3" borderId="8" xfId="0" applyNumberFormat="1" applyFont="1" applyFill="1" applyBorder="1" applyAlignment="1">
      <alignment horizontal="center" vertical="top" wrapText="1" readingOrder="1"/>
    </xf>
    <xf numFmtId="0" fontId="5" fillId="3" borderId="3" xfId="0" applyNumberFormat="1" applyFont="1" applyFill="1" applyBorder="1" applyAlignment="1">
      <alignment horizontal="center" vertical="top" wrapText="1" readingOrder="1"/>
    </xf>
    <xf numFmtId="0" fontId="5" fillId="3" borderId="4" xfId="0" applyNumberFormat="1" applyFont="1" applyFill="1" applyBorder="1" applyAlignment="1">
      <alignment horizontal="center" vertical="top" wrapText="1" readingOrder="1"/>
    </xf>
    <xf numFmtId="0" fontId="1" fillId="5" borderId="11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54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top" wrapText="1"/>
    </xf>
    <xf numFmtId="0" fontId="1" fillId="5" borderId="16" xfId="0" applyFont="1" applyFill="1" applyBorder="1" applyAlignment="1">
      <alignment horizontal="center" vertical="top" wrapText="1"/>
    </xf>
    <xf numFmtId="0" fontId="1" fillId="5" borderId="60" xfId="0" applyFont="1" applyFill="1" applyBorder="1" applyAlignment="1">
      <alignment horizontal="center" vertical="top" wrapText="1"/>
    </xf>
    <xf numFmtId="0" fontId="1" fillId="5" borderId="18" xfId="0" applyFont="1" applyFill="1" applyBorder="1" applyAlignment="1">
      <alignment horizontal="center" vertical="top" wrapText="1"/>
    </xf>
    <xf numFmtId="0" fontId="1" fillId="5" borderId="61" xfId="0" applyFont="1" applyFill="1" applyBorder="1" applyAlignment="1">
      <alignment horizontal="center" vertical="top" wrapText="1"/>
    </xf>
    <xf numFmtId="0" fontId="1" fillId="5" borderId="19" xfId="0" applyFont="1" applyFill="1" applyBorder="1" applyAlignment="1">
      <alignment horizontal="center" vertical="top" wrapText="1"/>
    </xf>
    <xf numFmtId="0" fontId="17" fillId="6" borderId="1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 wrapText="1"/>
    </xf>
    <xf numFmtId="0" fontId="2" fillId="0" borderId="9" xfId="0" applyNumberFormat="1" applyFont="1" applyFill="1" applyBorder="1" applyAlignment="1">
      <alignment horizontal="center" vertical="top" wrapText="1" readingOrder="1"/>
    </xf>
    <xf numFmtId="165" fontId="2" fillId="0" borderId="53" xfId="0" applyNumberFormat="1" applyFont="1" applyFill="1" applyBorder="1" applyAlignment="1">
      <alignment horizontal="center" vertical="center" wrapText="1" readingOrder="1"/>
    </xf>
    <xf numFmtId="0" fontId="1" fillId="0" borderId="9" xfId="0" applyFont="1" applyFill="1" applyBorder="1" applyAlignment="1">
      <alignment horizontal="left" vertical="top" wrapText="1"/>
    </xf>
    <xf numFmtId="0" fontId="1" fillId="6" borderId="9" xfId="0" applyFont="1" applyFill="1" applyBorder="1" applyAlignment="1">
      <alignment horizontal="left" vertical="top" wrapText="1"/>
    </xf>
    <xf numFmtId="0" fontId="1" fillId="0" borderId="67" xfId="0" applyFont="1" applyFill="1" applyBorder="1" applyAlignment="1">
      <alignment horizontal="center" vertical="top" wrapText="1"/>
    </xf>
    <xf numFmtId="0" fontId="1" fillId="0" borderId="6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69" xfId="0" applyFont="1" applyFill="1" applyBorder="1" applyAlignment="1">
      <alignment horizontal="center" vertical="top" wrapText="1"/>
    </xf>
    <xf numFmtId="0" fontId="20" fillId="6" borderId="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60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61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5" fillId="3" borderId="62" xfId="0" applyNumberFormat="1" applyFont="1" applyFill="1" applyBorder="1" applyAlignment="1">
      <alignment horizontal="center" vertical="top" wrapText="1" readingOrder="1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horizontal="center" vertical="top" wrapText="1" readingOrder="1"/>
    </xf>
    <xf numFmtId="0" fontId="5" fillId="0" borderId="2" xfId="0" applyNumberFormat="1" applyFont="1" applyFill="1" applyBorder="1" applyAlignment="1">
      <alignment horizontal="left" vertical="top" wrapText="1" readingOrder="1"/>
    </xf>
    <xf numFmtId="0" fontId="1" fillId="0" borderId="71" xfId="0" applyNumberFormat="1" applyFont="1" applyFill="1" applyBorder="1" applyAlignment="1">
      <alignment vertical="top" wrapText="1"/>
    </xf>
    <xf numFmtId="0" fontId="1" fillId="0" borderId="64" xfId="0" applyNumberFormat="1" applyFont="1" applyFill="1" applyBorder="1" applyAlignment="1">
      <alignment vertical="top" wrapText="1"/>
    </xf>
    <xf numFmtId="0" fontId="1" fillId="0" borderId="17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1" fillId="0" borderId="63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horizontal="left" vertical="top" wrapText="1" readingOrder="1"/>
    </xf>
    <xf numFmtId="0" fontId="1" fillId="0" borderId="53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165" fontId="2" fillId="0" borderId="2" xfId="0" applyNumberFormat="1" applyFont="1" applyFill="1" applyBorder="1" applyAlignment="1">
      <alignment horizontal="right" vertical="top" wrapText="1" readingOrder="1"/>
    </xf>
    <xf numFmtId="0" fontId="2" fillId="4" borderId="2" xfId="0" applyNumberFormat="1" applyFont="1" applyFill="1" applyBorder="1" applyAlignment="1">
      <alignment horizontal="left" vertical="top" wrapText="1" readingOrder="1"/>
    </xf>
    <xf numFmtId="0" fontId="1" fillId="4" borderId="3" xfId="0" applyNumberFormat="1" applyFont="1" applyFill="1" applyBorder="1" applyAlignment="1">
      <alignment vertical="top" wrapText="1"/>
    </xf>
    <xf numFmtId="0" fontId="1" fillId="4" borderId="4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horizontal="right" vertical="top" wrapText="1" readingOrder="1"/>
    </xf>
    <xf numFmtId="164" fontId="2" fillId="0" borderId="2" xfId="0" applyNumberFormat="1" applyFont="1" applyFill="1" applyBorder="1" applyAlignment="1">
      <alignment horizontal="left" vertical="top" wrapText="1" readingOrder="1"/>
    </xf>
    <xf numFmtId="0" fontId="5" fillId="3" borderId="2" xfId="0" applyNumberFormat="1" applyFont="1" applyFill="1" applyBorder="1" applyAlignment="1">
      <alignment horizontal="center" vertical="top" wrapText="1" readingOrder="1"/>
    </xf>
    <xf numFmtId="0" fontId="5" fillId="2" borderId="2" xfId="0" applyNumberFormat="1" applyFont="1" applyFill="1" applyBorder="1" applyAlignment="1">
      <alignment horizontal="center" vertical="top" wrapText="1" readingOrder="1"/>
    </xf>
    <xf numFmtId="0" fontId="4" fillId="2" borderId="2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37" fillId="0" borderId="0" xfId="0" applyNumberFormat="1" applyFont="1" applyFill="1" applyBorder="1" applyAlignment="1">
      <alignment horizontal="left" vertical="top" wrapText="1" readingOrder="1"/>
    </xf>
    <xf numFmtId="0" fontId="2" fillId="0" borderId="0" xfId="0" applyNumberFormat="1" applyFont="1" applyFill="1" applyBorder="1" applyAlignment="1">
      <alignment horizontal="left" vertical="top" wrapText="1" readingOrder="1"/>
    </xf>
    <xf numFmtId="0" fontId="3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right" vertical="top" wrapText="1" readingOrder="1"/>
    </xf>
    <xf numFmtId="0" fontId="11" fillId="0" borderId="2" xfId="0" applyNumberFormat="1" applyFont="1" applyFill="1" applyBorder="1" applyAlignment="1">
      <alignment horizontal="left" vertical="top" wrapText="1" readingOrder="1"/>
    </xf>
    <xf numFmtId="0" fontId="30" fillId="0" borderId="3" xfId="0" applyNumberFormat="1" applyFont="1" applyFill="1" applyBorder="1" applyAlignment="1">
      <alignment vertical="top" wrapText="1"/>
    </xf>
    <xf numFmtId="0" fontId="30" fillId="0" borderId="4" xfId="0" applyNumberFormat="1" applyFont="1" applyFill="1" applyBorder="1" applyAlignment="1">
      <alignment vertical="top" wrapText="1"/>
    </xf>
    <xf numFmtId="0" fontId="11" fillId="0" borderId="2" xfId="0" applyNumberFormat="1" applyFont="1" applyFill="1" applyBorder="1" applyAlignment="1">
      <alignment horizontal="right" vertical="top" wrapText="1" readingOrder="1"/>
    </xf>
    <xf numFmtId="164" fontId="11" fillId="0" borderId="2" xfId="0" applyNumberFormat="1" applyFont="1" applyFill="1" applyBorder="1" applyAlignment="1">
      <alignment horizontal="left" vertical="top" wrapText="1" readingOrder="1"/>
    </xf>
    <xf numFmtId="165" fontId="11" fillId="0" borderId="2" xfId="0" applyNumberFormat="1" applyFont="1" applyFill="1" applyBorder="1" applyAlignment="1">
      <alignment horizontal="right" vertical="top" wrapText="1" readingOrder="1"/>
    </xf>
    <xf numFmtId="0" fontId="39" fillId="0" borderId="2" xfId="0" applyNumberFormat="1" applyFont="1" applyFill="1" applyBorder="1" applyAlignment="1">
      <alignment horizontal="center" vertical="top" wrapText="1" readingOrder="1"/>
    </xf>
    <xf numFmtId="0" fontId="11" fillId="0" borderId="2" xfId="0" applyNumberFormat="1" applyFont="1" applyFill="1" applyBorder="1" applyAlignment="1">
      <alignment horizontal="center" vertical="top" wrapText="1" readingOrder="1"/>
    </xf>
    <xf numFmtId="0" fontId="30" fillId="0" borderId="53" xfId="0" applyNumberFormat="1" applyFont="1" applyFill="1" applyBorder="1" applyAlignment="1">
      <alignment vertical="top" wrapText="1"/>
    </xf>
    <xf numFmtId="0" fontId="30" fillId="0" borderId="7" xfId="0" applyNumberFormat="1" applyFont="1" applyFill="1" applyBorder="1" applyAlignment="1">
      <alignment vertical="top" wrapText="1"/>
    </xf>
    <xf numFmtId="0" fontId="39" fillId="0" borderId="2" xfId="0" applyNumberFormat="1" applyFont="1" applyFill="1" applyBorder="1" applyAlignment="1">
      <alignment horizontal="left" vertical="top" wrapText="1" readingOrder="1"/>
    </xf>
    <xf numFmtId="0" fontId="30" fillId="0" borderId="71" xfId="0" applyNumberFormat="1" applyFont="1" applyFill="1" applyBorder="1" applyAlignment="1">
      <alignment vertical="top" wrapText="1"/>
    </xf>
    <xf numFmtId="0" fontId="30" fillId="0" borderId="64" xfId="0" applyNumberFormat="1" applyFont="1" applyFill="1" applyBorder="1" applyAlignment="1">
      <alignment vertical="top" wrapText="1"/>
    </xf>
    <xf numFmtId="0" fontId="30" fillId="0" borderId="17" xfId="0" applyNumberFormat="1" applyFont="1" applyFill="1" applyBorder="1" applyAlignment="1">
      <alignment vertical="top" wrapText="1"/>
    </xf>
    <xf numFmtId="0" fontId="30" fillId="0" borderId="0" xfId="0" applyFont="1" applyFill="1" applyBorder="1"/>
    <xf numFmtId="0" fontId="30" fillId="0" borderId="63" xfId="0" applyNumberFormat="1" applyFont="1" applyFill="1" applyBorder="1" applyAlignment="1">
      <alignment vertical="top" wrapText="1"/>
    </xf>
    <xf numFmtId="0" fontId="30" fillId="0" borderId="5" xfId="0" applyNumberFormat="1" applyFont="1" applyFill="1" applyBorder="1" applyAlignment="1">
      <alignment vertical="top" wrapText="1"/>
    </xf>
    <xf numFmtId="0" fontId="30" fillId="0" borderId="1" xfId="0" applyNumberFormat="1" applyFont="1" applyFill="1" applyBorder="1" applyAlignment="1">
      <alignment vertical="top" wrapText="1"/>
    </xf>
    <xf numFmtId="0" fontId="30" fillId="0" borderId="6" xfId="0" applyNumberFormat="1" applyFont="1" applyFill="1" applyBorder="1" applyAlignment="1">
      <alignment vertical="top" wrapText="1"/>
    </xf>
    <xf numFmtId="0" fontId="11" fillId="6" borderId="2" xfId="0" applyNumberFormat="1" applyFont="1" applyFill="1" applyBorder="1" applyAlignment="1">
      <alignment horizontal="left" vertical="top" wrapText="1" readingOrder="1"/>
    </xf>
    <xf numFmtId="0" fontId="30" fillId="6" borderId="3" xfId="0" applyNumberFormat="1" applyFont="1" applyFill="1" applyBorder="1" applyAlignment="1">
      <alignment vertical="top" wrapText="1"/>
    </xf>
    <xf numFmtId="0" fontId="30" fillId="6" borderId="4" xfId="0" applyNumberFormat="1" applyFont="1" applyFill="1" applyBorder="1" applyAlignment="1">
      <alignment vertical="top" wrapText="1"/>
    </xf>
    <xf numFmtId="0" fontId="11" fillId="6" borderId="2" xfId="0" applyNumberFormat="1" applyFont="1" applyFill="1" applyBorder="1" applyAlignment="1">
      <alignment horizontal="right" vertical="top" wrapText="1" readingOrder="1"/>
    </xf>
    <xf numFmtId="164" fontId="11" fillId="6" borderId="2" xfId="0" applyNumberFormat="1" applyFont="1" applyFill="1" applyBorder="1" applyAlignment="1">
      <alignment horizontal="left" vertical="top" wrapText="1" readingOrder="1"/>
    </xf>
    <xf numFmtId="165" fontId="11" fillId="6" borderId="2" xfId="0" applyNumberFormat="1" applyFont="1" applyFill="1" applyBorder="1" applyAlignment="1">
      <alignment horizontal="right" vertical="top" wrapText="1" readingOrder="1"/>
    </xf>
    <xf numFmtId="0" fontId="39" fillId="3" borderId="2" xfId="0" applyNumberFormat="1" applyFont="1" applyFill="1" applyBorder="1" applyAlignment="1">
      <alignment horizontal="center" vertical="top" wrapText="1" readingOrder="1"/>
    </xf>
    <xf numFmtId="0" fontId="39" fillId="2" borderId="2" xfId="0" applyNumberFormat="1" applyFont="1" applyFill="1" applyBorder="1" applyAlignment="1">
      <alignment horizontal="center" vertical="top" wrapText="1" readingOrder="1"/>
    </xf>
    <xf numFmtId="0" fontId="40" fillId="2" borderId="2" xfId="0" applyNumberFormat="1" applyFont="1" applyFill="1" applyBorder="1" applyAlignment="1">
      <alignment horizontal="center" vertical="top" wrapText="1" readingOrder="1"/>
    </xf>
    <xf numFmtId="0" fontId="42" fillId="6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center" vertical="center" wrapText="1"/>
    </xf>
    <xf numFmtId="3" fontId="1" fillId="0" borderId="0" xfId="0" applyNumberFormat="1" applyFont="1" applyFill="1" applyBorder="1"/>
    <xf numFmtId="3" fontId="23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ADD8E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904245</xdr:colOff>
      <xdr:row>7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8007A-9940-4F4B-8096-FEE619D78CD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00" y="171450"/>
          <a:ext cx="167645" cy="711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904245</xdr:colOff>
      <xdr:row>7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F980B-F243-48B0-98E6-5FA0EDB5B28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00" y="171450"/>
          <a:ext cx="904245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172356</xdr:rowOff>
    </xdr:from>
    <xdr:to>
      <xdr:col>19</xdr:col>
      <xdr:colOff>328164</xdr:colOff>
      <xdr:row>50</xdr:row>
      <xdr:rowOff>148016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4C1537-894F-465E-B551-83210A8A5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86285"/>
          <a:ext cx="8147735" cy="2515660"/>
        </a:xfrm>
        <a:prstGeom prst="rect">
          <a:avLst/>
        </a:prstGeom>
      </xdr:spPr>
    </xdr:pic>
    <xdr:clientData/>
  </xdr:twoCellAnchor>
  <xdr:twoCellAnchor editAs="oneCell">
    <xdr:from>
      <xdr:col>20</xdr:col>
      <xdr:colOff>18143</xdr:colOff>
      <xdr:row>36</xdr:row>
      <xdr:rowOff>145141</xdr:rowOff>
    </xdr:from>
    <xdr:to>
      <xdr:col>30</xdr:col>
      <xdr:colOff>508000</xdr:colOff>
      <xdr:row>78</xdr:row>
      <xdr:rowOff>72570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363359-2657-4061-810F-55DAA7623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5786" y="6359070"/>
          <a:ext cx="7610928" cy="7547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904245</xdr:colOff>
      <xdr:row>7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BCF612-BC77-45B5-8DC2-615D6D9A34A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00" y="171450"/>
          <a:ext cx="40645" cy="711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904245</xdr:colOff>
      <xdr:row>7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0D339-34BC-445F-A170-74F66269639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00" y="171450"/>
          <a:ext cx="402595" cy="711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904245</xdr:colOff>
      <xdr:row>7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055AC-B7DC-4387-A73A-D7323FD3735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7800" y="171450"/>
          <a:ext cx="904245" cy="711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25400</xdr:rowOff>
    </xdr:from>
    <xdr:to>
      <xdr:col>17</xdr:col>
      <xdr:colOff>501650</xdr:colOff>
      <xdr:row>9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EB72C2-8853-4A44-938C-E2BD13BD6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5900"/>
          <a:ext cx="10928350" cy="1587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158750</xdr:rowOff>
    </xdr:from>
    <xdr:to>
      <xdr:col>3</xdr:col>
      <xdr:colOff>450907</xdr:colOff>
      <xdr:row>36</xdr:row>
      <xdr:rowOff>82550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81D185-58DB-4F1B-A6FB-07C1E0A30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22450"/>
          <a:ext cx="2832156" cy="4895850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11</xdr:row>
      <xdr:rowOff>31750</xdr:rowOff>
    </xdr:from>
    <xdr:to>
      <xdr:col>12</xdr:col>
      <xdr:colOff>438297</xdr:colOff>
      <xdr:row>38</xdr:row>
      <xdr:rowOff>152662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EDBB1D-AD89-4F45-8B5B-9702D9C3D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03800" y="2063750"/>
          <a:ext cx="2857647" cy="509296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41</xdr:row>
      <xdr:rowOff>50800</xdr:rowOff>
    </xdr:from>
    <xdr:to>
      <xdr:col>17</xdr:col>
      <xdr:colOff>412750</xdr:colOff>
      <xdr:row>47</xdr:row>
      <xdr:rowOff>12755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9CB657-5C94-4BE8-BCEB-E098EC8BF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00" y="7607300"/>
          <a:ext cx="10788650" cy="106685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48</xdr:row>
      <xdr:rowOff>0</xdr:rowOff>
    </xdr:from>
    <xdr:to>
      <xdr:col>4</xdr:col>
      <xdr:colOff>1</xdr:colOff>
      <xdr:row>75</xdr:row>
      <xdr:rowOff>101861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CB29E1-C70F-4B6B-A8C2-2F80E8C23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845550"/>
          <a:ext cx="2990850" cy="507391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10</xdr:col>
      <xdr:colOff>190658</xdr:colOff>
      <xdr:row>76</xdr:row>
      <xdr:rowOff>76459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9089F2-9683-4E08-9D9B-C2018CD9F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00450" y="9029700"/>
          <a:ext cx="3067208" cy="50485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11994</xdr:rowOff>
    </xdr:from>
    <xdr:to>
      <xdr:col>15</xdr:col>
      <xdr:colOff>248252</xdr:colOff>
      <xdr:row>93</xdr:row>
      <xdr:rowOff>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A0B3C2-CF05-4F7E-972C-F4AF983B6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66194"/>
          <a:ext cx="9455752" cy="25662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127001</xdr:rowOff>
    </xdr:from>
    <xdr:to>
      <xdr:col>18</xdr:col>
      <xdr:colOff>317500</xdr:colOff>
      <xdr:row>23</xdr:row>
      <xdr:rowOff>92590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B2F967-871F-439A-88DF-78B960FB5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1"/>
          <a:ext cx="11290300" cy="42010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18</xdr:col>
      <xdr:colOff>45020</xdr:colOff>
      <xdr:row>50</xdr:row>
      <xdr:rowOff>63725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42574C-9CB7-4064-B7B3-B706DE0F8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7900"/>
          <a:ext cx="11017820" cy="4483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javascript:" TargetMode="External"/><Relationship Id="rId1" Type="http://schemas.openxmlformats.org/officeDocument/2006/relationships/hyperlink" Target="javascript: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0FAF-C7DF-444D-A14E-9620F4A2027F}">
  <dimension ref="A1:E31"/>
  <sheetViews>
    <sheetView workbookViewId="0">
      <selection activeCell="B17" sqref="B17"/>
    </sheetView>
  </sheetViews>
  <sheetFormatPr defaultRowHeight="14.5"/>
  <cols>
    <col min="1" max="1" width="8.7265625" style="208"/>
    <col min="2" max="2" width="102.1796875" style="171" customWidth="1"/>
    <col min="3" max="4" width="8.7265625" style="208"/>
    <col min="5" max="5" width="35.36328125" style="208" customWidth="1"/>
    <col min="6" max="16384" width="8.7265625" style="208"/>
  </cols>
  <sheetData>
    <row r="1" spans="1:5">
      <c r="A1" s="231" t="s">
        <v>107</v>
      </c>
      <c r="B1" s="232"/>
      <c r="C1" s="232"/>
      <c r="D1" s="232"/>
      <c r="E1" s="232"/>
    </row>
    <row r="2" spans="1:5">
      <c r="A2" s="233" t="s">
        <v>106</v>
      </c>
      <c r="B2" s="234"/>
      <c r="C2" s="234"/>
      <c r="D2" s="234"/>
      <c r="E2" s="234"/>
    </row>
    <row r="3" spans="1:5">
      <c r="A3" s="167"/>
      <c r="B3" s="168" t="s">
        <v>108</v>
      </c>
      <c r="C3" s="172" t="s">
        <v>103</v>
      </c>
      <c r="D3" s="172" t="s">
        <v>104</v>
      </c>
      <c r="E3" s="172" t="s">
        <v>30</v>
      </c>
    </row>
    <row r="4" spans="1:5" ht="14.5" customHeight="1">
      <c r="A4" s="235" t="s">
        <v>105</v>
      </c>
      <c r="B4" s="169" t="s">
        <v>109</v>
      </c>
      <c r="C4" s="169" t="s">
        <v>114</v>
      </c>
      <c r="D4" s="207" t="s">
        <v>150</v>
      </c>
      <c r="E4" s="173"/>
    </row>
    <row r="5" spans="1:5" ht="15" customHeight="1">
      <c r="A5" s="236"/>
      <c r="B5" s="169" t="s">
        <v>110</v>
      </c>
      <c r="C5" s="169" t="s">
        <v>114</v>
      </c>
      <c r="D5" s="207" t="s">
        <v>150</v>
      </c>
      <c r="E5" s="173"/>
    </row>
    <row r="6" spans="1:5" ht="16" customHeight="1">
      <c r="A6" s="236"/>
      <c r="B6" s="169" t="s">
        <v>111</v>
      </c>
      <c r="C6" s="169" t="s">
        <v>114</v>
      </c>
      <c r="D6" s="207" t="s">
        <v>150</v>
      </c>
      <c r="E6" s="173"/>
    </row>
    <row r="7" spans="1:5" ht="14.5" customHeight="1">
      <c r="A7" s="236"/>
      <c r="B7" s="169" t="s">
        <v>117</v>
      </c>
      <c r="C7" s="169" t="s">
        <v>114</v>
      </c>
      <c r="D7" s="207" t="s">
        <v>150</v>
      </c>
      <c r="E7" s="173"/>
    </row>
    <row r="8" spans="1:5" ht="14" customHeight="1">
      <c r="A8" s="236"/>
      <c r="B8" s="169" t="s">
        <v>118</v>
      </c>
      <c r="C8" s="169" t="s">
        <v>114</v>
      </c>
      <c r="D8" s="207" t="s">
        <v>150</v>
      </c>
      <c r="E8" s="173"/>
    </row>
    <row r="9" spans="1:5" ht="14" customHeight="1">
      <c r="A9" s="236"/>
      <c r="B9" s="169" t="s">
        <v>119</v>
      </c>
      <c r="C9" s="169" t="s">
        <v>114</v>
      </c>
      <c r="D9" s="207" t="s">
        <v>150</v>
      </c>
      <c r="E9" s="173"/>
    </row>
    <row r="10" spans="1:5" ht="14" customHeight="1">
      <c r="A10" s="236"/>
      <c r="B10" s="170" t="s">
        <v>120</v>
      </c>
      <c r="C10" s="169" t="s">
        <v>114</v>
      </c>
      <c r="D10" s="207" t="s">
        <v>150</v>
      </c>
      <c r="E10" s="169" t="s">
        <v>116</v>
      </c>
    </row>
    <row r="11" spans="1:5" ht="14.5" customHeight="1">
      <c r="A11" s="236"/>
      <c r="B11" s="170" t="s">
        <v>121</v>
      </c>
      <c r="C11" s="169" t="s">
        <v>114</v>
      </c>
      <c r="D11" s="207" t="s">
        <v>150</v>
      </c>
      <c r="E11" s="173"/>
    </row>
    <row r="12" spans="1:5" ht="13.5" customHeight="1">
      <c r="A12" s="236"/>
      <c r="B12" s="170" t="s">
        <v>122</v>
      </c>
      <c r="C12" s="169" t="s">
        <v>114</v>
      </c>
      <c r="D12" s="207" t="s">
        <v>150</v>
      </c>
      <c r="E12" s="173"/>
    </row>
    <row r="13" spans="1:5" ht="13.5" customHeight="1">
      <c r="A13" s="236"/>
      <c r="B13" s="170" t="s">
        <v>112</v>
      </c>
      <c r="C13" s="169" t="s">
        <v>114</v>
      </c>
      <c r="D13" s="207" t="s">
        <v>150</v>
      </c>
      <c r="E13" s="173"/>
    </row>
    <row r="14" spans="1:5" ht="14.5" customHeight="1">
      <c r="A14" s="236"/>
      <c r="B14" s="170" t="s">
        <v>113</v>
      </c>
      <c r="C14" s="169" t="s">
        <v>114</v>
      </c>
      <c r="D14" s="207" t="s">
        <v>150</v>
      </c>
      <c r="E14" s="173"/>
    </row>
    <row r="15" spans="1:5" ht="37.5" customHeight="1">
      <c r="A15" s="236"/>
      <c r="B15" s="170" t="s">
        <v>124</v>
      </c>
      <c r="C15" s="169" t="s">
        <v>114</v>
      </c>
      <c r="D15" s="207" t="s">
        <v>150</v>
      </c>
      <c r="E15" s="173"/>
    </row>
    <row r="16" spans="1:5" ht="17" customHeight="1">
      <c r="A16" s="236"/>
      <c r="B16" s="170" t="s">
        <v>123</v>
      </c>
      <c r="C16" s="169" t="s">
        <v>114</v>
      </c>
      <c r="D16" s="207" t="s">
        <v>150</v>
      </c>
      <c r="E16" s="173"/>
    </row>
    <row r="17" spans="1:5" ht="38.5" customHeight="1">
      <c r="A17" s="236"/>
      <c r="B17" s="170" t="s">
        <v>147</v>
      </c>
      <c r="C17" s="169" t="s">
        <v>114</v>
      </c>
      <c r="D17" s="207" t="s">
        <v>150</v>
      </c>
      <c r="E17" s="173"/>
    </row>
    <row r="18" spans="1:5" ht="15.5" customHeight="1">
      <c r="A18" s="236"/>
      <c r="B18" s="169" t="s">
        <v>125</v>
      </c>
      <c r="C18" s="169" t="s">
        <v>114</v>
      </c>
      <c r="D18" s="207" t="s">
        <v>150</v>
      </c>
      <c r="E18" s="169" t="s">
        <v>115</v>
      </c>
    </row>
    <row r="19" spans="1:5">
      <c r="A19" s="236"/>
      <c r="B19" s="174" t="s">
        <v>148</v>
      </c>
      <c r="C19" s="169" t="s">
        <v>114</v>
      </c>
      <c r="D19" s="207" t="s">
        <v>150</v>
      </c>
      <c r="E19" s="169" t="s">
        <v>116</v>
      </c>
    </row>
    <row r="20" spans="1:5">
      <c r="A20" s="236"/>
      <c r="B20" s="174" t="s">
        <v>126</v>
      </c>
      <c r="C20" s="169" t="s">
        <v>114</v>
      </c>
      <c r="D20" s="207" t="s">
        <v>150</v>
      </c>
      <c r="E20" s="174"/>
    </row>
    <row r="21" spans="1:5">
      <c r="A21" s="236"/>
      <c r="B21" s="174" t="s">
        <v>127</v>
      </c>
      <c r="C21" s="169" t="s">
        <v>114</v>
      </c>
      <c r="D21" s="207" t="s">
        <v>150</v>
      </c>
      <c r="E21" s="174"/>
    </row>
    <row r="22" spans="1:5">
      <c r="A22" s="236"/>
      <c r="B22" s="174" t="s">
        <v>135</v>
      </c>
      <c r="C22" s="169" t="s">
        <v>114</v>
      </c>
      <c r="D22" s="207" t="s">
        <v>150</v>
      </c>
      <c r="E22" s="174"/>
    </row>
    <row r="23" spans="1:5">
      <c r="A23" s="236"/>
      <c r="B23" s="174" t="s">
        <v>136</v>
      </c>
      <c r="C23" s="169" t="s">
        <v>114</v>
      </c>
      <c r="D23" s="207" t="s">
        <v>150</v>
      </c>
      <c r="E23" s="22"/>
    </row>
    <row r="24" spans="1:5">
      <c r="A24" s="236"/>
      <c r="B24" s="174" t="s">
        <v>137</v>
      </c>
      <c r="C24" s="169" t="s">
        <v>114</v>
      </c>
      <c r="D24" s="207" t="s">
        <v>150</v>
      </c>
      <c r="E24" s="22"/>
    </row>
    <row r="25" spans="1:5">
      <c r="A25" s="236"/>
      <c r="B25" s="174" t="s">
        <v>138</v>
      </c>
      <c r="C25" s="169" t="s">
        <v>114</v>
      </c>
      <c r="D25" s="207" t="s">
        <v>150</v>
      </c>
      <c r="E25" s="22"/>
    </row>
    <row r="26" spans="1:5" ht="24">
      <c r="A26" s="236"/>
      <c r="B26" s="206" t="s">
        <v>146</v>
      </c>
      <c r="C26" s="169" t="s">
        <v>114</v>
      </c>
      <c r="D26" s="207" t="s">
        <v>150</v>
      </c>
      <c r="E26" s="169"/>
    </row>
    <row r="27" spans="1:5" ht="36">
      <c r="A27" s="236"/>
      <c r="B27" s="206" t="s">
        <v>145</v>
      </c>
      <c r="C27" s="169" t="s">
        <v>114</v>
      </c>
      <c r="D27" s="207" t="s">
        <v>150</v>
      </c>
      <c r="E27" s="169"/>
    </row>
    <row r="28" spans="1:5">
      <c r="A28" s="236"/>
      <c r="B28" s="170" t="s">
        <v>151</v>
      </c>
      <c r="C28" s="169" t="s">
        <v>114</v>
      </c>
      <c r="D28" s="207" t="s">
        <v>150</v>
      </c>
      <c r="E28" s="169"/>
    </row>
    <row r="29" spans="1:5">
      <c r="A29" s="236"/>
      <c r="B29" s="206" t="s">
        <v>149</v>
      </c>
      <c r="C29" s="169" t="s">
        <v>114</v>
      </c>
      <c r="D29" s="207" t="s">
        <v>150</v>
      </c>
      <c r="E29" s="169"/>
    </row>
    <row r="30" spans="1:5">
      <c r="A30" s="236"/>
      <c r="B30" s="174" t="s">
        <v>152</v>
      </c>
      <c r="C30" s="169" t="s">
        <v>114</v>
      </c>
      <c r="D30" s="207" t="s">
        <v>150</v>
      </c>
      <c r="E30" s="22"/>
    </row>
    <row r="31" spans="1:5" ht="24">
      <c r="A31" s="236"/>
      <c r="B31" s="206" t="s">
        <v>153</v>
      </c>
      <c r="C31" s="169" t="s">
        <v>114</v>
      </c>
      <c r="D31" s="207" t="s">
        <v>150</v>
      </c>
      <c r="E31" s="22"/>
    </row>
  </sheetData>
  <mergeCells count="3">
    <mergeCell ref="A1:E1"/>
    <mergeCell ref="A2:E2"/>
    <mergeCell ref="A4:A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741B-C930-4F26-8945-34BC8ED43FCA}">
  <dimension ref="A1:AE39"/>
  <sheetViews>
    <sheetView topLeftCell="A13" zoomScale="70" zoomScaleNormal="70" workbookViewId="0">
      <selection activeCell="AB37" sqref="AB37"/>
    </sheetView>
  </sheetViews>
  <sheetFormatPr defaultRowHeight="14.5"/>
  <cols>
    <col min="1" max="1" width="2.54296875" style="195" customWidth="1"/>
    <col min="2" max="2" width="3.7265625" style="195" customWidth="1"/>
    <col min="3" max="3" width="0.6328125" style="195" customWidth="1"/>
    <col min="4" max="4" width="1.54296875" style="195" customWidth="1"/>
    <col min="5" max="5" width="6.81640625" style="195" customWidth="1"/>
    <col min="6" max="6" width="9.6328125" style="195" customWidth="1"/>
    <col min="7" max="7" width="11.6328125" style="195" customWidth="1"/>
    <col min="8" max="8" width="13.7265625" style="195" customWidth="1"/>
    <col min="9" max="9" width="1.81640625" style="195" customWidth="1"/>
    <col min="10" max="10" width="1.08984375" style="195" hidden="1" customWidth="1"/>
    <col min="11" max="11" width="4.08984375" style="195" hidden="1" customWidth="1"/>
    <col min="12" max="12" width="5.26953125" style="195" customWidth="1"/>
    <col min="13" max="13" width="4.6328125" style="195" customWidth="1"/>
    <col min="14" max="14" width="2.453125" style="195" customWidth="1"/>
    <col min="15" max="15" width="5.08984375" style="195" customWidth="1"/>
    <col min="16" max="16" width="8.08984375" style="195" customWidth="1"/>
    <col min="17" max="17" width="7.90625" style="195" customWidth="1"/>
    <col min="18" max="18" width="17.81640625" style="195" customWidth="1"/>
    <col min="19" max="19" width="14.1796875" style="195" customWidth="1"/>
    <col min="20" max="20" width="11" style="195" customWidth="1"/>
    <col min="21" max="21" width="10.7265625" style="195" customWidth="1"/>
    <col min="22" max="22" width="10.1796875" style="195" customWidth="1"/>
    <col min="23" max="23" width="9.90625" style="195" customWidth="1"/>
    <col min="24" max="24" width="5.453125" style="195" customWidth="1"/>
    <col min="25" max="25" width="10.26953125" style="195" customWidth="1"/>
    <col min="26" max="26" width="12.6328125" style="195" customWidth="1"/>
    <col min="27" max="27" width="11" style="195" customWidth="1"/>
    <col min="28" max="28" width="9.90625" style="195" customWidth="1"/>
    <col min="29" max="29" width="10.26953125" style="195" customWidth="1"/>
    <col min="30" max="30" width="11.1796875" style="195" customWidth="1"/>
    <col min="31" max="31" width="10.54296875" style="195" customWidth="1"/>
    <col min="32" max="32" width="13.7265625" style="195" customWidth="1"/>
    <col min="33" max="16384" width="8.7265625" style="195"/>
  </cols>
  <sheetData>
    <row r="1" spans="1:31" ht="13.5" customHeight="1"/>
    <row r="2" spans="1:31" ht="0" hidden="1" customHeight="1"/>
    <row r="3" spans="1:31" ht="0.9" customHeight="1">
      <c r="B3" s="321"/>
    </row>
    <row r="4" spans="1:31" ht="17" customHeight="1">
      <c r="B4" s="321"/>
      <c r="E4" s="339" t="s">
        <v>139</v>
      </c>
      <c r="F4" s="321"/>
      <c r="G4" s="321"/>
      <c r="H4" s="321"/>
    </row>
    <row r="5" spans="1:31" ht="3" customHeight="1">
      <c r="B5" s="321"/>
    </row>
    <row r="6" spans="1:31" ht="16" customHeight="1">
      <c r="B6" s="321"/>
      <c r="E6" s="340" t="s">
        <v>140</v>
      </c>
      <c r="F6" s="321"/>
      <c r="G6" s="321"/>
      <c r="H6" s="321"/>
    </row>
    <row r="7" spans="1:31" ht="2.75" customHeight="1">
      <c r="B7" s="321"/>
    </row>
    <row r="8" spans="1:31" ht="17.649999999999999" customHeight="1">
      <c r="B8" s="321"/>
      <c r="E8" s="340" t="s">
        <v>141</v>
      </c>
      <c r="F8" s="321"/>
      <c r="G8" s="321"/>
      <c r="H8" s="321"/>
    </row>
    <row r="9" spans="1:31">
      <c r="A9" s="196"/>
      <c r="B9" s="196"/>
      <c r="C9" s="196"/>
      <c r="D9" s="196"/>
      <c r="E9" s="324"/>
      <c r="F9" s="324"/>
      <c r="G9" s="324"/>
      <c r="H9" s="324"/>
      <c r="I9" s="196"/>
      <c r="J9" s="196"/>
    </row>
    <row r="10" spans="1:31" ht="23" customHeight="1"/>
    <row r="11" spans="1:31" ht="18" customHeight="1">
      <c r="A11" s="341" t="s">
        <v>0</v>
      </c>
      <c r="B11" s="321"/>
      <c r="C11" s="321"/>
      <c r="D11" s="321"/>
      <c r="E11" s="321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</row>
    <row r="12" spans="1:31" ht="11" customHeight="1"/>
    <row r="13" spans="1:31" ht="18" customHeight="1">
      <c r="J13" s="338" t="s">
        <v>142</v>
      </c>
      <c r="K13" s="321"/>
      <c r="L13" s="321"/>
      <c r="M13" s="321"/>
      <c r="N13" s="338" t="s">
        <v>143</v>
      </c>
      <c r="O13" s="321"/>
      <c r="P13" s="321"/>
    </row>
    <row r="14" spans="1:31" ht="16" customHeight="1"/>
    <row r="15" spans="1:31" s="210" customFormat="1" ht="34.5">
      <c r="A15" s="370" t="s">
        <v>1</v>
      </c>
      <c r="B15" s="345"/>
      <c r="C15" s="346"/>
      <c r="D15" s="371" t="s">
        <v>2</v>
      </c>
      <c r="E15" s="346"/>
      <c r="F15" s="209" t="s">
        <v>3</v>
      </c>
      <c r="G15" s="209" t="s">
        <v>4</v>
      </c>
      <c r="H15" s="370" t="s">
        <v>5</v>
      </c>
      <c r="I15" s="345"/>
      <c r="J15" s="345"/>
      <c r="K15" s="346"/>
      <c r="L15" s="209" t="s">
        <v>6</v>
      </c>
      <c r="M15" s="370" t="s">
        <v>7</v>
      </c>
      <c r="N15" s="346"/>
      <c r="O15" s="209" t="s">
        <v>8</v>
      </c>
      <c r="P15" s="370" t="s">
        <v>9</v>
      </c>
      <c r="Q15" s="346"/>
      <c r="R15" s="209" t="s">
        <v>10</v>
      </c>
      <c r="S15" s="209" t="s">
        <v>11</v>
      </c>
      <c r="T15" s="209" t="s">
        <v>12</v>
      </c>
      <c r="U15" s="209" t="s">
        <v>13</v>
      </c>
      <c r="V15" s="369" t="s">
        <v>14</v>
      </c>
      <c r="W15" s="345"/>
      <c r="X15" s="345"/>
      <c r="Y15" s="346"/>
      <c r="Z15" s="369" t="s">
        <v>15</v>
      </c>
      <c r="AA15" s="345"/>
      <c r="AB15" s="346"/>
      <c r="AC15" s="369" t="s">
        <v>16</v>
      </c>
      <c r="AD15" s="345"/>
      <c r="AE15" s="346"/>
    </row>
    <row r="16" spans="1:31" s="210" customFormat="1" ht="34.5">
      <c r="A16" s="350" t="s">
        <v>1</v>
      </c>
      <c r="B16" s="345"/>
      <c r="C16" s="346"/>
      <c r="D16" s="350" t="s">
        <v>1</v>
      </c>
      <c r="E16" s="346"/>
      <c r="F16" s="211" t="s">
        <v>1</v>
      </c>
      <c r="G16" s="211" t="s">
        <v>1</v>
      </c>
      <c r="H16" s="350" t="s">
        <v>1</v>
      </c>
      <c r="I16" s="345"/>
      <c r="J16" s="345"/>
      <c r="K16" s="346"/>
      <c r="L16" s="211" t="s">
        <v>1</v>
      </c>
      <c r="M16" s="350" t="s">
        <v>1</v>
      </c>
      <c r="N16" s="346"/>
      <c r="O16" s="211" t="s">
        <v>1</v>
      </c>
      <c r="P16" s="350" t="s">
        <v>1</v>
      </c>
      <c r="Q16" s="346"/>
      <c r="R16" s="211" t="s">
        <v>1</v>
      </c>
      <c r="S16" s="211" t="s">
        <v>1</v>
      </c>
      <c r="T16" s="211" t="s">
        <v>1</v>
      </c>
      <c r="U16" s="211" t="s">
        <v>1</v>
      </c>
      <c r="V16" s="211" t="s">
        <v>0</v>
      </c>
      <c r="W16" s="350" t="s">
        <v>17</v>
      </c>
      <c r="X16" s="346"/>
      <c r="Y16" s="211" t="s">
        <v>18</v>
      </c>
      <c r="Z16" s="211" t="s">
        <v>0</v>
      </c>
      <c r="AA16" s="211" t="s">
        <v>17</v>
      </c>
      <c r="AB16" s="211" t="s">
        <v>18</v>
      </c>
      <c r="AC16" s="211" t="s">
        <v>0</v>
      </c>
      <c r="AD16" s="211" t="s">
        <v>17</v>
      </c>
      <c r="AE16" s="211" t="s">
        <v>18</v>
      </c>
    </row>
    <row r="17" spans="1:31" s="210" customFormat="1" ht="12">
      <c r="A17" s="354" t="s">
        <v>19</v>
      </c>
      <c r="B17" s="355"/>
      <c r="C17" s="356"/>
      <c r="D17" s="344" t="s">
        <v>20</v>
      </c>
      <c r="E17" s="356"/>
      <c r="F17" s="344" t="s">
        <v>21</v>
      </c>
      <c r="G17" s="212" t="s">
        <v>75</v>
      </c>
      <c r="H17" s="344" t="s">
        <v>155</v>
      </c>
      <c r="I17" s="345"/>
      <c r="J17" s="345"/>
      <c r="K17" s="346"/>
      <c r="L17" s="213" t="s">
        <v>24</v>
      </c>
      <c r="M17" s="347" t="s">
        <v>24</v>
      </c>
      <c r="N17" s="346"/>
      <c r="O17" s="213" t="s">
        <v>25</v>
      </c>
      <c r="P17" s="348">
        <v>45261</v>
      </c>
      <c r="Q17" s="346"/>
      <c r="R17" s="214">
        <v>45596</v>
      </c>
      <c r="S17" s="214">
        <v>45526.405005057903</v>
      </c>
      <c r="T17" s="215">
        <v>-693</v>
      </c>
      <c r="U17" s="215">
        <v>0</v>
      </c>
      <c r="V17" s="215">
        <v>-450.45</v>
      </c>
      <c r="W17" s="349">
        <v>-93.54</v>
      </c>
      <c r="X17" s="346"/>
      <c r="Y17" s="215">
        <v>-35.44</v>
      </c>
      <c r="Z17" s="215">
        <v>-242.55</v>
      </c>
      <c r="AA17" s="215">
        <v>0</v>
      </c>
      <c r="AB17" s="215">
        <v>0</v>
      </c>
      <c r="AC17" s="213"/>
      <c r="AD17" s="213"/>
      <c r="AE17" s="213"/>
    </row>
    <row r="18" spans="1:31" s="210" customFormat="1" ht="12">
      <c r="A18" s="357"/>
      <c r="B18" s="358"/>
      <c r="C18" s="359"/>
      <c r="D18" s="357"/>
      <c r="E18" s="359"/>
      <c r="F18" s="352"/>
      <c r="G18" s="344" t="s">
        <v>48</v>
      </c>
      <c r="H18" s="344" t="s">
        <v>144</v>
      </c>
      <c r="I18" s="355"/>
      <c r="J18" s="355"/>
      <c r="K18" s="356"/>
      <c r="L18" s="213" t="s">
        <v>24</v>
      </c>
      <c r="M18" s="347" t="s">
        <v>26</v>
      </c>
      <c r="N18" s="346"/>
      <c r="O18" s="213" t="s">
        <v>25</v>
      </c>
      <c r="P18" s="348">
        <v>45352</v>
      </c>
      <c r="Q18" s="346"/>
      <c r="R18" s="214">
        <v>45596</v>
      </c>
      <c r="S18" s="214">
        <v>45526.221108831</v>
      </c>
      <c r="T18" s="215">
        <v>-14659.836101000001</v>
      </c>
      <c r="U18" s="215">
        <v>0</v>
      </c>
      <c r="V18" s="215">
        <v>-4764.4467329999998</v>
      </c>
      <c r="W18" s="349">
        <v>-989.38500799999997</v>
      </c>
      <c r="X18" s="346"/>
      <c r="Y18" s="215">
        <v>-374.866668</v>
      </c>
      <c r="Z18" s="215">
        <v>-2565.4713179999999</v>
      </c>
      <c r="AA18" s="215">
        <v>0</v>
      </c>
      <c r="AB18" s="215">
        <v>0</v>
      </c>
      <c r="AC18" s="215">
        <v>-7329.9180500000002</v>
      </c>
      <c r="AD18" s="215">
        <v>-1280.2434860000001</v>
      </c>
      <c r="AE18" s="215">
        <v>-532.73844299999996</v>
      </c>
    </row>
    <row r="19" spans="1:31" s="210" customFormat="1" ht="12">
      <c r="A19" s="357"/>
      <c r="B19" s="358"/>
      <c r="C19" s="359"/>
      <c r="D19" s="357"/>
      <c r="E19" s="359"/>
      <c r="F19" s="352"/>
      <c r="G19" s="352"/>
      <c r="H19" s="360"/>
      <c r="I19" s="361"/>
      <c r="J19" s="361"/>
      <c r="K19" s="362"/>
      <c r="L19" s="213" t="s">
        <v>26</v>
      </c>
      <c r="M19" s="347" t="s">
        <v>24</v>
      </c>
      <c r="N19" s="346"/>
      <c r="O19" s="213" t="s">
        <v>25</v>
      </c>
      <c r="P19" s="348">
        <v>45352</v>
      </c>
      <c r="Q19" s="346"/>
      <c r="R19" s="214">
        <v>45596</v>
      </c>
      <c r="S19" s="214">
        <v>45526.221108831</v>
      </c>
      <c r="T19" s="215">
        <v>-6578.8525</v>
      </c>
      <c r="U19" s="215">
        <v>0</v>
      </c>
      <c r="V19" s="215">
        <v>-4276.2541250000004</v>
      </c>
      <c r="W19" s="349">
        <v>-888.00693100000001</v>
      </c>
      <c r="X19" s="346"/>
      <c r="Y19" s="215">
        <v>-336.45567399999999</v>
      </c>
      <c r="Z19" s="215">
        <v>-2302.598375</v>
      </c>
      <c r="AA19" s="215">
        <v>0</v>
      </c>
      <c r="AB19" s="215">
        <v>0</v>
      </c>
      <c r="AC19" s="213"/>
      <c r="AD19" s="213"/>
      <c r="AE19" s="213"/>
    </row>
    <row r="20" spans="1:31" s="210" customFormat="1" ht="12">
      <c r="A20" s="357"/>
      <c r="B20" s="358"/>
      <c r="C20" s="359"/>
      <c r="D20" s="357"/>
      <c r="E20" s="359"/>
      <c r="F20" s="352"/>
      <c r="G20" s="352"/>
      <c r="H20" s="344" t="s">
        <v>156</v>
      </c>
      <c r="I20" s="345"/>
      <c r="J20" s="345"/>
      <c r="K20" s="346"/>
      <c r="L20" s="213" t="s">
        <v>24</v>
      </c>
      <c r="M20" s="347" t="s">
        <v>24</v>
      </c>
      <c r="N20" s="346"/>
      <c r="O20" s="213" t="s">
        <v>25</v>
      </c>
      <c r="P20" s="348">
        <v>45200</v>
      </c>
      <c r="Q20" s="346"/>
      <c r="R20" s="214">
        <v>45565</v>
      </c>
      <c r="S20" s="214">
        <v>45526.526064467602</v>
      </c>
      <c r="T20" s="215">
        <v>-354.2</v>
      </c>
      <c r="U20" s="215">
        <v>0</v>
      </c>
      <c r="V20" s="215">
        <v>-230.23</v>
      </c>
      <c r="W20" s="349">
        <v>-47.809561000000002</v>
      </c>
      <c r="X20" s="346"/>
      <c r="Y20" s="215">
        <v>-18.114495999999999</v>
      </c>
      <c r="Z20" s="215">
        <v>-123.97</v>
      </c>
      <c r="AA20" s="215">
        <v>0</v>
      </c>
      <c r="AB20" s="215">
        <v>0</v>
      </c>
      <c r="AC20" s="213"/>
      <c r="AD20" s="213"/>
      <c r="AE20" s="213"/>
    </row>
    <row r="21" spans="1:31" s="210" customFormat="1" ht="12">
      <c r="A21" s="357"/>
      <c r="B21" s="358"/>
      <c r="C21" s="359"/>
      <c r="D21" s="357"/>
      <c r="E21" s="359"/>
      <c r="F21" s="352"/>
      <c r="G21" s="353"/>
      <c r="H21" s="344" t="s">
        <v>154</v>
      </c>
      <c r="I21" s="345"/>
      <c r="J21" s="345"/>
      <c r="K21" s="346"/>
      <c r="L21" s="213" t="s">
        <v>24</v>
      </c>
      <c r="M21" s="347" t="s">
        <v>24</v>
      </c>
      <c r="N21" s="346"/>
      <c r="O21" s="213" t="s">
        <v>25</v>
      </c>
      <c r="P21" s="348">
        <v>45231</v>
      </c>
      <c r="Q21" s="346"/>
      <c r="R21" s="214">
        <v>45596</v>
      </c>
      <c r="S21" s="214">
        <v>45526.271056863399</v>
      </c>
      <c r="T21" s="215">
        <v>-1235.52</v>
      </c>
      <c r="U21" s="215">
        <v>0</v>
      </c>
      <c r="V21" s="215">
        <v>-803.08799999999997</v>
      </c>
      <c r="W21" s="349">
        <v>-166.76925399999999</v>
      </c>
      <c r="X21" s="346"/>
      <c r="Y21" s="215">
        <v>-63.186962999999999</v>
      </c>
      <c r="Z21" s="215">
        <v>-432.43200000000002</v>
      </c>
      <c r="AA21" s="215">
        <v>0</v>
      </c>
      <c r="AB21" s="215">
        <v>0</v>
      </c>
      <c r="AC21" s="213"/>
      <c r="AD21" s="213"/>
      <c r="AE21" s="213"/>
    </row>
    <row r="22" spans="1:31" s="210" customFormat="1" ht="12">
      <c r="A22" s="357"/>
      <c r="B22" s="358"/>
      <c r="C22" s="359"/>
      <c r="D22" s="357"/>
      <c r="E22" s="359"/>
      <c r="F22" s="352"/>
      <c r="G22" s="344" t="s">
        <v>22</v>
      </c>
      <c r="H22" s="344" t="s">
        <v>144</v>
      </c>
      <c r="I22" s="355"/>
      <c r="J22" s="355"/>
      <c r="K22" s="356"/>
      <c r="L22" s="213" t="s">
        <v>24</v>
      </c>
      <c r="M22" s="347" t="s">
        <v>24</v>
      </c>
      <c r="N22" s="346"/>
      <c r="O22" s="213" t="s">
        <v>25</v>
      </c>
      <c r="P22" s="348">
        <v>45231</v>
      </c>
      <c r="Q22" s="346"/>
      <c r="R22" s="214">
        <v>45596</v>
      </c>
      <c r="S22" s="214">
        <v>45526.215813344897</v>
      </c>
      <c r="T22" s="215">
        <v>56699.99</v>
      </c>
      <c r="U22" s="215">
        <v>1820</v>
      </c>
      <c r="V22" s="215">
        <v>8189.99</v>
      </c>
      <c r="W22" s="349">
        <v>1700.73</v>
      </c>
      <c r="X22" s="346"/>
      <c r="Y22" s="215">
        <v>644.38</v>
      </c>
      <c r="Z22" s="215">
        <v>4410</v>
      </c>
      <c r="AA22" s="215">
        <v>0</v>
      </c>
      <c r="AB22" s="215">
        <v>0</v>
      </c>
      <c r="AC22" s="215">
        <v>44100</v>
      </c>
      <c r="AD22" s="215">
        <v>7702.5</v>
      </c>
      <c r="AE22" s="215">
        <v>3205.18</v>
      </c>
    </row>
    <row r="23" spans="1:31" s="210" customFormat="1" ht="12">
      <c r="A23" s="357"/>
      <c r="B23" s="358"/>
      <c r="C23" s="359"/>
      <c r="D23" s="357"/>
      <c r="E23" s="359"/>
      <c r="F23" s="352"/>
      <c r="G23" s="352"/>
      <c r="H23" s="357"/>
      <c r="I23" s="358"/>
      <c r="J23" s="358"/>
      <c r="K23" s="359"/>
      <c r="L23" s="213" t="s">
        <v>24</v>
      </c>
      <c r="M23" s="347" t="s">
        <v>26</v>
      </c>
      <c r="N23" s="346"/>
      <c r="O23" s="213" t="s">
        <v>25</v>
      </c>
      <c r="P23" s="348">
        <v>45231</v>
      </c>
      <c r="Q23" s="346"/>
      <c r="R23" s="214">
        <v>45596</v>
      </c>
      <c r="S23" s="214">
        <v>45526.215813344897</v>
      </c>
      <c r="T23" s="215">
        <v>21900</v>
      </c>
      <c r="U23" s="215">
        <v>1820</v>
      </c>
      <c r="V23" s="215">
        <v>7117.5</v>
      </c>
      <c r="W23" s="349">
        <v>1478.02</v>
      </c>
      <c r="X23" s="346"/>
      <c r="Y23" s="215">
        <v>560</v>
      </c>
      <c r="Z23" s="215">
        <v>3832.5</v>
      </c>
      <c r="AA23" s="215">
        <v>0</v>
      </c>
      <c r="AB23" s="215">
        <v>0</v>
      </c>
      <c r="AC23" s="215">
        <v>10950</v>
      </c>
      <c r="AD23" s="215">
        <v>1912.52</v>
      </c>
      <c r="AE23" s="215">
        <v>795.84</v>
      </c>
    </row>
    <row r="24" spans="1:31" s="210" customFormat="1" ht="12">
      <c r="A24" s="357"/>
      <c r="B24" s="358"/>
      <c r="C24" s="359"/>
      <c r="D24" s="357"/>
      <c r="E24" s="359"/>
      <c r="F24" s="352"/>
      <c r="G24" s="352"/>
      <c r="H24" s="360"/>
      <c r="I24" s="361"/>
      <c r="J24" s="361"/>
      <c r="K24" s="362"/>
      <c r="L24" s="213" t="s">
        <v>26</v>
      </c>
      <c r="M24" s="347" t="s">
        <v>24</v>
      </c>
      <c r="N24" s="346"/>
      <c r="O24" s="213" t="s">
        <v>25</v>
      </c>
      <c r="P24" s="348">
        <v>45231</v>
      </c>
      <c r="Q24" s="346"/>
      <c r="R24" s="214">
        <v>45596</v>
      </c>
      <c r="S24" s="214">
        <v>45526.215813344897</v>
      </c>
      <c r="T24" s="215">
        <v>9828</v>
      </c>
      <c r="U24" s="215">
        <v>1820</v>
      </c>
      <c r="V24" s="215">
        <v>6388.2</v>
      </c>
      <c r="W24" s="349">
        <v>1326.57</v>
      </c>
      <c r="X24" s="346"/>
      <c r="Y24" s="215">
        <v>502.62</v>
      </c>
      <c r="Z24" s="215">
        <v>3439.8</v>
      </c>
      <c r="AA24" s="215">
        <v>0</v>
      </c>
      <c r="AB24" s="215">
        <v>0</v>
      </c>
      <c r="AC24" s="213"/>
      <c r="AD24" s="213"/>
      <c r="AE24" s="213"/>
    </row>
    <row r="25" spans="1:31" s="210" customFormat="1" ht="12">
      <c r="A25" s="357"/>
      <c r="B25" s="358"/>
      <c r="C25" s="359"/>
      <c r="D25" s="357"/>
      <c r="E25" s="359"/>
      <c r="F25" s="352"/>
      <c r="G25" s="352"/>
      <c r="H25" s="344" t="s">
        <v>155</v>
      </c>
      <c r="I25" s="345"/>
      <c r="J25" s="345"/>
      <c r="K25" s="346"/>
      <c r="L25" s="213" t="s">
        <v>24</v>
      </c>
      <c r="M25" s="347" t="s">
        <v>24</v>
      </c>
      <c r="N25" s="346"/>
      <c r="O25" s="213" t="s">
        <v>25</v>
      </c>
      <c r="P25" s="348">
        <v>45231</v>
      </c>
      <c r="Q25" s="346"/>
      <c r="R25" s="214">
        <v>45596</v>
      </c>
      <c r="S25" s="214">
        <v>45526.401914583301</v>
      </c>
      <c r="T25" s="215">
        <v>8455</v>
      </c>
      <c r="U25" s="215">
        <v>222.5</v>
      </c>
      <c r="V25" s="215">
        <v>5495.75</v>
      </c>
      <c r="W25" s="349">
        <v>1141.24</v>
      </c>
      <c r="X25" s="346"/>
      <c r="Y25" s="215">
        <v>432.4</v>
      </c>
      <c r="Z25" s="215">
        <v>2959.25</v>
      </c>
      <c r="AA25" s="215">
        <v>0</v>
      </c>
      <c r="AB25" s="215">
        <v>0</v>
      </c>
      <c r="AC25" s="213"/>
      <c r="AD25" s="213"/>
      <c r="AE25" s="213"/>
    </row>
    <row r="26" spans="1:31" s="210" customFormat="1" ht="12">
      <c r="A26" s="357"/>
      <c r="B26" s="358"/>
      <c r="C26" s="359"/>
      <c r="D26" s="357"/>
      <c r="E26" s="359"/>
      <c r="F26" s="352"/>
      <c r="G26" s="352"/>
      <c r="H26" s="344" t="s">
        <v>156</v>
      </c>
      <c r="I26" s="345"/>
      <c r="J26" s="345"/>
      <c r="K26" s="346"/>
      <c r="L26" s="213" t="s">
        <v>24</v>
      </c>
      <c r="M26" s="347" t="s">
        <v>24</v>
      </c>
      <c r="N26" s="346"/>
      <c r="O26" s="213" t="s">
        <v>25</v>
      </c>
      <c r="P26" s="348">
        <v>45200</v>
      </c>
      <c r="Q26" s="346"/>
      <c r="R26" s="214">
        <v>45565</v>
      </c>
      <c r="S26" s="214">
        <v>45526.516451932897</v>
      </c>
      <c r="T26" s="215">
        <v>1771</v>
      </c>
      <c r="U26" s="215">
        <v>57.5</v>
      </c>
      <c r="V26" s="215">
        <v>1151.1500000000001</v>
      </c>
      <c r="W26" s="349">
        <v>239.04</v>
      </c>
      <c r="X26" s="346"/>
      <c r="Y26" s="215">
        <v>90.57</v>
      </c>
      <c r="Z26" s="215">
        <v>619.85</v>
      </c>
      <c r="AA26" s="215">
        <v>0</v>
      </c>
      <c r="AB26" s="215">
        <v>0</v>
      </c>
      <c r="AC26" s="213"/>
      <c r="AD26" s="213"/>
      <c r="AE26" s="213"/>
    </row>
    <row r="27" spans="1:31" s="221" customFormat="1" ht="12">
      <c r="A27" s="357"/>
      <c r="B27" s="358"/>
      <c r="C27" s="359"/>
      <c r="D27" s="357"/>
      <c r="E27" s="359"/>
      <c r="F27" s="352"/>
      <c r="G27" s="352"/>
      <c r="H27" s="363" t="s">
        <v>162</v>
      </c>
      <c r="I27" s="364"/>
      <c r="J27" s="364"/>
      <c r="K27" s="365"/>
      <c r="L27" s="218" t="s">
        <v>24</v>
      </c>
      <c r="M27" s="366" t="s">
        <v>24</v>
      </c>
      <c r="N27" s="365"/>
      <c r="O27" s="218" t="s">
        <v>25</v>
      </c>
      <c r="P27" s="367">
        <v>45231</v>
      </c>
      <c r="Q27" s="365"/>
      <c r="R27" s="219">
        <v>45596</v>
      </c>
      <c r="S27" s="219">
        <v>45526.5453813657</v>
      </c>
      <c r="T27" s="222">
        <v>29479.99</v>
      </c>
      <c r="U27" s="222">
        <v>1675</v>
      </c>
      <c r="V27" s="222">
        <v>3574.99</v>
      </c>
      <c r="W27" s="368">
        <v>742.38</v>
      </c>
      <c r="X27" s="365"/>
      <c r="Y27" s="220">
        <v>281.27999999999997</v>
      </c>
      <c r="Z27" s="222">
        <v>1925</v>
      </c>
      <c r="AA27" s="220">
        <v>0</v>
      </c>
      <c r="AB27" s="220">
        <v>0</v>
      </c>
      <c r="AC27" s="222">
        <v>23980</v>
      </c>
      <c r="AD27" s="220">
        <v>4188.34</v>
      </c>
      <c r="AE27" s="220">
        <v>1742.86</v>
      </c>
    </row>
    <row r="28" spans="1:31" s="210" customFormat="1" ht="12">
      <c r="A28" s="360"/>
      <c r="B28" s="361"/>
      <c r="C28" s="362"/>
      <c r="D28" s="360"/>
      <c r="E28" s="362"/>
      <c r="F28" s="353"/>
      <c r="G28" s="353"/>
      <c r="H28" s="344" t="s">
        <v>154</v>
      </c>
      <c r="I28" s="345"/>
      <c r="J28" s="345"/>
      <c r="K28" s="346"/>
      <c r="L28" s="213" t="s">
        <v>24</v>
      </c>
      <c r="M28" s="347" t="s">
        <v>24</v>
      </c>
      <c r="N28" s="346"/>
      <c r="O28" s="213" t="s">
        <v>25</v>
      </c>
      <c r="P28" s="348">
        <v>45231</v>
      </c>
      <c r="Q28" s="346"/>
      <c r="R28" s="214">
        <v>45596</v>
      </c>
      <c r="S28" s="214">
        <v>45526.2608869213</v>
      </c>
      <c r="T28" s="215">
        <v>7722</v>
      </c>
      <c r="U28" s="215">
        <v>195</v>
      </c>
      <c r="V28" s="215">
        <v>5019.3</v>
      </c>
      <c r="W28" s="349">
        <v>1042.3</v>
      </c>
      <c r="X28" s="346"/>
      <c r="Y28" s="215">
        <v>394.91</v>
      </c>
      <c r="Z28" s="215">
        <v>2702.7</v>
      </c>
      <c r="AA28" s="215">
        <v>0</v>
      </c>
      <c r="AB28" s="215">
        <v>0</v>
      </c>
      <c r="AC28" s="213"/>
      <c r="AD28" s="213"/>
      <c r="AE28" s="213"/>
    </row>
    <row r="29" spans="1:31" s="210" customFormat="1" ht="14">
      <c r="A29" s="350" t="s">
        <v>1</v>
      </c>
      <c r="B29" s="345"/>
      <c r="C29" s="346"/>
      <c r="D29" s="351" t="s">
        <v>1</v>
      </c>
      <c r="E29" s="346"/>
      <c r="F29" s="216" t="s">
        <v>1</v>
      </c>
      <c r="G29" s="216" t="s">
        <v>1</v>
      </c>
      <c r="H29" s="351" t="s">
        <v>1</v>
      </c>
      <c r="I29" s="345"/>
      <c r="J29" s="345"/>
      <c r="K29" s="346"/>
      <c r="L29" s="216" t="s">
        <v>1</v>
      </c>
      <c r="M29" s="351" t="s">
        <v>1</v>
      </c>
      <c r="N29" s="346"/>
      <c r="O29" s="216" t="s">
        <v>1</v>
      </c>
      <c r="P29" s="351" t="s">
        <v>1</v>
      </c>
      <c r="Q29" s="346"/>
      <c r="R29" s="211" t="s">
        <v>27</v>
      </c>
      <c r="S29" s="217" t="s">
        <v>1</v>
      </c>
      <c r="T29" s="215">
        <v>112334.57139899999</v>
      </c>
      <c r="U29" s="215">
        <v>7610</v>
      </c>
      <c r="V29" s="215">
        <v>26412.411142000001</v>
      </c>
      <c r="W29" s="349">
        <v>5484.7692459999998</v>
      </c>
      <c r="X29" s="346"/>
      <c r="Y29" s="215">
        <v>2078.0961990000001</v>
      </c>
      <c r="Z29" s="215">
        <v>14222.078307</v>
      </c>
      <c r="AA29" s="215">
        <v>0</v>
      </c>
      <c r="AB29" s="215">
        <v>0</v>
      </c>
      <c r="AC29" s="215">
        <v>71700.081950000007</v>
      </c>
      <c r="AD29" s="215">
        <v>12523.116513999999</v>
      </c>
      <c r="AE29" s="215">
        <v>5211.1415569999999</v>
      </c>
    </row>
    <row r="30" spans="1:31" ht="18" customHeight="1"/>
    <row r="32" spans="1:31">
      <c r="S32" s="22" t="s">
        <v>163</v>
      </c>
      <c r="T32" s="195">
        <v>36850</v>
      </c>
    </row>
    <row r="33" spans="19:29">
      <c r="S33" s="22" t="s">
        <v>158</v>
      </c>
      <c r="T33" s="195">
        <v>20</v>
      </c>
    </row>
    <row r="34" spans="19:29">
      <c r="S34" s="22"/>
    </row>
    <row r="35" spans="19:29">
      <c r="S35" s="22" t="s">
        <v>159</v>
      </c>
      <c r="T35" s="195">
        <f>T32*T33%</f>
        <v>7370</v>
      </c>
    </row>
    <row r="36" spans="19:29">
      <c r="S36" s="22"/>
    </row>
    <row r="37" spans="19:29">
      <c r="S37" s="22" t="s">
        <v>164</v>
      </c>
      <c r="T37" s="195">
        <f>T32-T35</f>
        <v>29480</v>
      </c>
    </row>
    <row r="38" spans="19:29">
      <c r="S38" s="22" t="s">
        <v>28</v>
      </c>
      <c r="T38" s="195">
        <v>6700000</v>
      </c>
    </row>
    <row r="39" spans="19:29">
      <c r="S39" s="22" t="s">
        <v>165</v>
      </c>
      <c r="T39" s="195">
        <f>T38-(T38*20%)</f>
        <v>5360000</v>
      </c>
      <c r="V39" s="195">
        <f>650000/T39*T27</f>
        <v>3574.9987873134332</v>
      </c>
      <c r="Z39" s="195">
        <f>350000/T39*T27</f>
        <v>1924.9993470149252</v>
      </c>
      <c r="AC39" s="195">
        <f>(T39-1000000)/T39*T27</f>
        <v>23979.991865671644</v>
      </c>
    </row>
  </sheetData>
  <mergeCells count="77">
    <mergeCell ref="J13:M13"/>
    <mergeCell ref="N13:P13"/>
    <mergeCell ref="B3:B8"/>
    <mergeCell ref="E4:H4"/>
    <mergeCell ref="E6:H6"/>
    <mergeCell ref="E8:H9"/>
    <mergeCell ref="A11:W11"/>
    <mergeCell ref="Z15:AB15"/>
    <mergeCell ref="AC15:AE15"/>
    <mergeCell ref="A16:C16"/>
    <mergeCell ref="D16:E16"/>
    <mergeCell ref="H16:K16"/>
    <mergeCell ref="M16:N16"/>
    <mergeCell ref="P16:Q16"/>
    <mergeCell ref="W16:X16"/>
    <mergeCell ref="A15:C15"/>
    <mergeCell ref="D15:E15"/>
    <mergeCell ref="H15:K15"/>
    <mergeCell ref="M15:N15"/>
    <mergeCell ref="P15:Q15"/>
    <mergeCell ref="V15:Y15"/>
    <mergeCell ref="W17:X17"/>
    <mergeCell ref="G18:G21"/>
    <mergeCell ref="H18:K19"/>
    <mergeCell ref="M18:N18"/>
    <mergeCell ref="P18:Q18"/>
    <mergeCell ref="W18:X18"/>
    <mergeCell ref="M19:N19"/>
    <mergeCell ref="P19:Q19"/>
    <mergeCell ref="W19:X19"/>
    <mergeCell ref="H20:K20"/>
    <mergeCell ref="H17:K17"/>
    <mergeCell ref="M17:N17"/>
    <mergeCell ref="P17:Q17"/>
    <mergeCell ref="M20:N20"/>
    <mergeCell ref="P20:Q20"/>
    <mergeCell ref="W20:X20"/>
    <mergeCell ref="H21:K21"/>
    <mergeCell ref="M21:N21"/>
    <mergeCell ref="P21:Q21"/>
    <mergeCell ref="W21:X21"/>
    <mergeCell ref="W23:X23"/>
    <mergeCell ref="M24:N24"/>
    <mergeCell ref="P24:Q24"/>
    <mergeCell ref="W24:X24"/>
    <mergeCell ref="H25:K25"/>
    <mergeCell ref="M25:N25"/>
    <mergeCell ref="P25:Q25"/>
    <mergeCell ref="W25:X25"/>
    <mergeCell ref="H22:K24"/>
    <mergeCell ref="M22:N22"/>
    <mergeCell ref="P22:Q22"/>
    <mergeCell ref="W22:X22"/>
    <mergeCell ref="M23:N23"/>
    <mergeCell ref="P23:Q23"/>
    <mergeCell ref="P26:Q26"/>
    <mergeCell ref="W26:X26"/>
    <mergeCell ref="H27:K27"/>
    <mergeCell ref="M27:N27"/>
    <mergeCell ref="P27:Q27"/>
    <mergeCell ref="W27:X27"/>
    <mergeCell ref="H28:K28"/>
    <mergeCell ref="M28:N28"/>
    <mergeCell ref="P28:Q28"/>
    <mergeCell ref="W28:X28"/>
    <mergeCell ref="A29:C29"/>
    <mergeCell ref="D29:E29"/>
    <mergeCell ref="H29:K29"/>
    <mergeCell ref="M29:N29"/>
    <mergeCell ref="P29:Q29"/>
    <mergeCell ref="W29:X29"/>
    <mergeCell ref="G22:G28"/>
    <mergeCell ref="A17:C28"/>
    <mergeCell ref="D17:E28"/>
    <mergeCell ref="F17:F28"/>
    <mergeCell ref="H26:K26"/>
    <mergeCell ref="M26:N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FBEF-0CC5-4552-8C25-A7DAD4A8724C}">
  <dimension ref="A1:M79"/>
  <sheetViews>
    <sheetView workbookViewId="0">
      <selection activeCell="Q90" sqref="Q90"/>
    </sheetView>
  </sheetViews>
  <sheetFormatPr defaultRowHeight="14.5"/>
  <cols>
    <col min="1" max="1" width="16.6328125" customWidth="1"/>
    <col min="7" max="7" width="8.1796875" customWidth="1"/>
    <col min="8" max="8" width="9.6328125" customWidth="1"/>
    <col min="9" max="9" width="7.81640625" customWidth="1"/>
    <col min="10" max="10" width="6.81640625" customWidth="1"/>
    <col min="11" max="11" width="7.81640625" customWidth="1"/>
    <col min="12" max="12" width="6.7265625" customWidth="1"/>
    <col min="13" max="13" width="7.08984375" customWidth="1"/>
  </cols>
  <sheetData>
    <row r="1" spans="1:13" ht="15">
      <c r="A1" s="226" t="s">
        <v>166</v>
      </c>
    </row>
    <row r="11" spans="1:13">
      <c r="F11" s="228" t="s">
        <v>167</v>
      </c>
      <c r="H11" s="227">
        <v>3585</v>
      </c>
      <c r="J11" s="227">
        <f>H11*0.65</f>
        <v>2330.25</v>
      </c>
      <c r="M11" s="223">
        <f>H11*0.35</f>
        <v>1254.75</v>
      </c>
    </row>
    <row r="14" spans="1:13" ht="14.5" customHeight="1">
      <c r="E14" s="372" t="s">
        <v>168</v>
      </c>
      <c r="F14" s="372"/>
      <c r="G14" s="372"/>
    </row>
    <row r="41" spans="1:1">
      <c r="A41" s="229" t="s">
        <v>169</v>
      </c>
    </row>
    <row r="49" spans="6:6">
      <c r="F49" t="s">
        <v>170</v>
      </c>
    </row>
    <row r="79" spans="1:3">
      <c r="A79" s="230" t="s">
        <v>171</v>
      </c>
      <c r="B79" s="230"/>
      <c r="C79" s="230"/>
    </row>
  </sheetData>
  <mergeCells count="1">
    <mergeCell ref="E14:G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B5A1-A94A-448A-8E12-91D6249ED21B}">
  <dimension ref="A1"/>
  <sheetViews>
    <sheetView topLeftCell="A13" zoomScale="60" zoomScaleNormal="60" workbookViewId="0">
      <selection activeCell="A27" sqref="A27"/>
    </sheetView>
  </sheetViews>
  <sheetFormatPr defaultRowHeight="14.5"/>
  <cols>
    <col min="1" max="16384" width="8.7265625" style="208"/>
  </cols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5DD9-E3E7-46F1-929E-F74058C25CC0}">
  <sheetPr codeName="Sheet2"/>
  <dimension ref="A1:O63"/>
  <sheetViews>
    <sheetView topLeftCell="A46" workbookViewId="0">
      <selection activeCell="B60" sqref="B60"/>
    </sheetView>
  </sheetViews>
  <sheetFormatPr defaultRowHeight="14.5"/>
  <cols>
    <col min="2" max="2" width="16.26953125" customWidth="1"/>
    <col min="4" max="4" width="14.453125" customWidth="1"/>
    <col min="5" max="5" width="15.1796875" customWidth="1"/>
    <col min="6" max="6" width="9.1796875" bestFit="1" customWidth="1"/>
    <col min="7" max="7" width="11.26953125" customWidth="1"/>
    <col min="8" max="9" width="8.81640625" bestFit="1" customWidth="1"/>
    <col min="10" max="10" width="12.90625" customWidth="1"/>
    <col min="11" max="11" width="10.08984375" customWidth="1"/>
    <col min="12" max="12" width="8.81640625" bestFit="1" customWidth="1"/>
    <col min="13" max="13" width="11.1796875" customWidth="1"/>
    <col min="14" max="14" width="10.26953125" customWidth="1"/>
    <col min="15" max="16" width="8.81640625" bestFit="1" customWidth="1"/>
  </cols>
  <sheetData>
    <row r="1" spans="1:13" ht="23.5" customHeight="1">
      <c r="A1" s="65"/>
      <c r="B1" s="65" t="s">
        <v>28</v>
      </c>
      <c r="C1" s="65" t="s">
        <v>50</v>
      </c>
      <c r="D1" s="65" t="s">
        <v>51</v>
      </c>
      <c r="E1" s="65" t="s">
        <v>52</v>
      </c>
      <c r="F1" s="65" t="s">
        <v>53</v>
      </c>
      <c r="G1" s="66" t="s">
        <v>54</v>
      </c>
      <c r="H1" s="65" t="s">
        <v>55</v>
      </c>
      <c r="I1" s="65" t="s">
        <v>56</v>
      </c>
      <c r="J1" s="66" t="s">
        <v>57</v>
      </c>
    </row>
    <row r="2" spans="1:13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3">
      <c r="A3" s="68" t="s">
        <v>7</v>
      </c>
      <c r="B3" s="69">
        <v>2300000</v>
      </c>
      <c r="C3" s="69">
        <v>19665</v>
      </c>
      <c r="D3" s="69">
        <v>2305000</v>
      </c>
      <c r="E3" s="70">
        <v>19707.75</v>
      </c>
      <c r="F3" s="79">
        <f>D3-B3</f>
        <v>5000</v>
      </c>
      <c r="G3" s="80">
        <v>35.630000000000003</v>
      </c>
      <c r="H3" s="81">
        <f>E3-C3</f>
        <v>42.75</v>
      </c>
      <c r="I3" s="79">
        <f>H3/366</f>
        <v>0.11680327868852459</v>
      </c>
      <c r="J3" s="80">
        <f>I3*(366-61)</f>
        <v>35.625</v>
      </c>
    </row>
    <row r="4" spans="1:13">
      <c r="A4" s="68" t="s">
        <v>58</v>
      </c>
      <c r="B4" s="69">
        <v>12000</v>
      </c>
      <c r="C4" s="71">
        <v>102.6</v>
      </c>
      <c r="D4" s="69">
        <v>12000</v>
      </c>
      <c r="E4" s="72">
        <v>102.6</v>
      </c>
      <c r="F4" s="79"/>
      <c r="G4" s="79"/>
      <c r="H4" s="79"/>
      <c r="I4" s="79"/>
      <c r="J4" s="79"/>
    </row>
    <row r="5" spans="1:13">
      <c r="A5" s="68" t="s">
        <v>59</v>
      </c>
      <c r="B5" s="67"/>
      <c r="C5" s="67"/>
      <c r="D5" s="67"/>
      <c r="E5" s="67"/>
      <c r="F5" s="79"/>
      <c r="G5" s="79"/>
      <c r="H5" s="79"/>
      <c r="I5" s="79"/>
      <c r="J5" s="79"/>
    </row>
    <row r="6" spans="1:13">
      <c r="A6" s="73" t="s">
        <v>60</v>
      </c>
      <c r="B6" s="14">
        <f>B3+B4+B5</f>
        <v>2312000</v>
      </c>
      <c r="C6" s="74">
        <f>C3+C4+C5</f>
        <v>19767.599999999999</v>
      </c>
      <c r="D6" s="14">
        <f>D3+D4+D5</f>
        <v>2317000</v>
      </c>
      <c r="E6" s="74">
        <f>E3+E4+E5</f>
        <v>19810.349999999999</v>
      </c>
      <c r="F6" s="79"/>
      <c r="G6" s="79"/>
      <c r="H6" s="79"/>
      <c r="I6" s="79"/>
      <c r="J6" s="79"/>
    </row>
    <row r="7" spans="1:13">
      <c r="A7" s="73"/>
      <c r="B7" s="74"/>
      <c r="C7" s="67"/>
      <c r="D7" s="67"/>
      <c r="E7" s="67"/>
      <c r="F7" s="79"/>
      <c r="G7" s="79"/>
      <c r="H7" s="79"/>
      <c r="I7" s="79"/>
      <c r="J7" s="79"/>
    </row>
    <row r="8" spans="1:13">
      <c r="A8" s="68" t="s">
        <v>7</v>
      </c>
      <c r="B8" s="181">
        <v>421500</v>
      </c>
      <c r="C8" s="194">
        <v>2339.3200000000002</v>
      </c>
      <c r="D8" s="69">
        <v>135000</v>
      </c>
      <c r="E8" s="70">
        <v>1289.25</v>
      </c>
      <c r="F8" s="79">
        <f>D8-B8</f>
        <v>-286500</v>
      </c>
      <c r="G8" s="82">
        <v>-31.96</v>
      </c>
      <c r="H8" s="81">
        <f>E8-C8</f>
        <v>-1050.0700000000002</v>
      </c>
      <c r="I8" s="79">
        <f>H8/366</f>
        <v>-2.869043715846995</v>
      </c>
      <c r="J8" s="80">
        <f>I8*(366-121)</f>
        <v>-702.91571038251379</v>
      </c>
    </row>
    <row r="9" spans="1:13">
      <c r="A9" s="68" t="s">
        <v>58</v>
      </c>
      <c r="B9" s="116">
        <v>1560000</v>
      </c>
      <c r="C9" s="71">
        <v>12012</v>
      </c>
      <c r="D9" s="115">
        <v>0</v>
      </c>
      <c r="E9" s="113"/>
      <c r="F9" s="79"/>
      <c r="G9" s="79"/>
      <c r="H9" s="79"/>
      <c r="I9" s="79"/>
      <c r="J9" s="79"/>
    </row>
    <row r="10" spans="1:13">
      <c r="A10" s="68" t="s">
        <v>59</v>
      </c>
      <c r="B10" s="67"/>
      <c r="C10" s="67"/>
      <c r="D10" s="114"/>
      <c r="E10" s="67"/>
      <c r="F10" s="79"/>
      <c r="G10" s="79"/>
      <c r="H10" s="79"/>
      <c r="I10" s="79"/>
      <c r="J10" s="79"/>
    </row>
    <row r="11" spans="1:13">
      <c r="A11" s="73" t="s">
        <v>60</v>
      </c>
      <c r="B11" s="74">
        <f>B8+B9+B10</f>
        <v>1981500</v>
      </c>
      <c r="C11" s="14">
        <f>C8+C9+C10</f>
        <v>14351.32</v>
      </c>
      <c r="D11" s="74">
        <f>D8+D9+D10</f>
        <v>135000</v>
      </c>
      <c r="E11" s="14">
        <f>E8+E9+E10</f>
        <v>1289.25</v>
      </c>
      <c r="F11" s="79"/>
      <c r="G11" s="79"/>
      <c r="H11" s="79"/>
      <c r="I11" s="79"/>
      <c r="J11" s="79"/>
    </row>
    <row r="12" spans="1:13">
      <c r="A12" s="67"/>
      <c r="B12" s="67"/>
      <c r="C12" s="67"/>
      <c r="D12" s="67"/>
      <c r="E12" s="67"/>
      <c r="F12" s="79"/>
      <c r="G12" s="79"/>
      <c r="H12" s="79"/>
      <c r="I12" s="79"/>
      <c r="J12" s="79"/>
    </row>
    <row r="15" spans="1:13" s="132" customFormat="1" ht="37" customHeight="1">
      <c r="A15" s="130" t="s">
        <v>84</v>
      </c>
      <c r="B15" s="130" t="s">
        <v>5</v>
      </c>
      <c r="C15" s="130" t="s">
        <v>85</v>
      </c>
      <c r="D15" s="130" t="s">
        <v>9</v>
      </c>
      <c r="E15" s="130" t="s">
        <v>10</v>
      </c>
      <c r="F15" s="130" t="s">
        <v>86</v>
      </c>
      <c r="G15" s="130" t="s">
        <v>87</v>
      </c>
      <c r="H15" s="130" t="s">
        <v>88</v>
      </c>
      <c r="I15" s="130" t="s">
        <v>89</v>
      </c>
      <c r="J15" s="130" t="s">
        <v>90</v>
      </c>
      <c r="K15" s="131" t="s">
        <v>91</v>
      </c>
      <c r="M15" s="131" t="s">
        <v>92</v>
      </c>
    </row>
    <row r="16" spans="1:13" s="132" customFormat="1" ht="21" customHeight="1">
      <c r="A16" s="373" t="s">
        <v>74</v>
      </c>
      <c r="B16" s="166" t="s">
        <v>102</v>
      </c>
      <c r="C16" s="133" t="s">
        <v>50</v>
      </c>
      <c r="D16" s="134" t="s">
        <v>93</v>
      </c>
      <c r="E16" s="134">
        <v>45627</v>
      </c>
      <c r="F16" s="135">
        <v>2120000</v>
      </c>
      <c r="G16" s="135">
        <v>15498</v>
      </c>
      <c r="H16" s="133">
        <v>530</v>
      </c>
      <c r="I16" s="135">
        <v>15498</v>
      </c>
      <c r="J16" s="133">
        <v>530</v>
      </c>
      <c r="K16" s="135">
        <v>16028</v>
      </c>
      <c r="M16" s="132">
        <v>1000</v>
      </c>
    </row>
    <row r="17" spans="1:15" s="132" customFormat="1" ht="21">
      <c r="A17" s="373"/>
      <c r="B17" s="166" t="s">
        <v>102</v>
      </c>
      <c r="C17" s="136" t="s">
        <v>94</v>
      </c>
      <c r="D17" s="134">
        <v>45323</v>
      </c>
      <c r="E17" s="134">
        <v>45627</v>
      </c>
      <c r="F17" s="137">
        <v>3010000</v>
      </c>
      <c r="G17" s="135">
        <v>24843</v>
      </c>
      <c r="H17" s="133">
        <v>752.5</v>
      </c>
      <c r="I17" s="133">
        <v>9345</v>
      </c>
      <c r="J17" s="133">
        <v>222.5</v>
      </c>
      <c r="K17" s="138">
        <f>(I17+J17+K16)</f>
        <v>25595.5</v>
      </c>
      <c r="M17" s="132">
        <f>2000/366*306</f>
        <v>1672.1311475409836</v>
      </c>
      <c r="N17" s="132">
        <f>1000/366*60</f>
        <v>163.9344262295082</v>
      </c>
      <c r="O17" s="132">
        <f>N17</f>
        <v>163.9344262295082</v>
      </c>
    </row>
    <row r="18" spans="1:15" s="132" customFormat="1" ht="21">
      <c r="A18" s="373"/>
      <c r="B18" s="166" t="s">
        <v>102</v>
      </c>
      <c r="C18" s="136" t="s">
        <v>95</v>
      </c>
      <c r="D18" s="134">
        <v>45356</v>
      </c>
      <c r="E18" s="134">
        <v>45627</v>
      </c>
      <c r="F18" s="135">
        <v>2810000</v>
      </c>
      <c r="G18" s="135">
        <v>22970.21</v>
      </c>
      <c r="H18" s="135">
        <v>752.5</v>
      </c>
      <c r="I18" s="133">
        <v>-1872.79</v>
      </c>
      <c r="J18" s="133">
        <v>0</v>
      </c>
      <c r="K18" s="138">
        <f>(I18+J18+K17)</f>
        <v>23722.71</v>
      </c>
      <c r="M18" s="132">
        <f>-(1000/366*275)</f>
        <v>-751.36612021857923</v>
      </c>
      <c r="N18" s="132">
        <f>3000/366*31</f>
        <v>254.09836065573768</v>
      </c>
      <c r="O18" s="132">
        <f>3000/366*306</f>
        <v>2508.1967213114754</v>
      </c>
    </row>
    <row r="19" spans="1:15" s="145" customFormat="1" ht="10.5">
      <c r="A19" s="140"/>
      <c r="B19" s="136"/>
      <c r="C19" s="141"/>
      <c r="D19" s="142"/>
      <c r="E19" s="139"/>
      <c r="F19" s="133"/>
      <c r="G19" s="143"/>
      <c r="H19" s="143"/>
      <c r="I19" s="144"/>
      <c r="J19" s="144"/>
      <c r="K19" s="143"/>
      <c r="M19" s="146">
        <f>3000/366*244</f>
        <v>1999.9999999999998</v>
      </c>
      <c r="N19" s="132"/>
      <c r="O19" s="132"/>
    </row>
    <row r="20" spans="1:15" s="132" customFormat="1" ht="10.5">
      <c r="A20" s="140"/>
      <c r="B20" s="166" t="s">
        <v>102</v>
      </c>
      <c r="C20" s="141" t="s">
        <v>75</v>
      </c>
      <c r="D20" s="153">
        <v>45474</v>
      </c>
      <c r="E20" s="134">
        <v>45627</v>
      </c>
      <c r="F20" s="136">
        <v>500000</v>
      </c>
      <c r="G20" s="139">
        <v>5000</v>
      </c>
      <c r="H20" s="148">
        <v>150</v>
      </c>
      <c r="I20" s="149">
        <f>-E25</f>
        <v>-10179.15</v>
      </c>
      <c r="J20" s="150">
        <v>0</v>
      </c>
      <c r="K20" s="151">
        <v>3824.86</v>
      </c>
      <c r="M20" s="152">
        <v>-1161.2</v>
      </c>
    </row>
    <row r="21" spans="1:15" s="132" customFormat="1" ht="11.5">
      <c r="A21" s="140"/>
      <c r="B21" s="166" t="s">
        <v>102</v>
      </c>
      <c r="C21" s="141" t="s">
        <v>76</v>
      </c>
      <c r="D21" s="153">
        <v>45505</v>
      </c>
      <c r="E21" s="134">
        <v>45627</v>
      </c>
      <c r="F21" s="154">
        <v>500000</v>
      </c>
      <c r="G21" s="155">
        <f>-(I20/154*122)</f>
        <v>8064.0019480519477</v>
      </c>
      <c r="H21" s="133"/>
      <c r="I21" s="156">
        <f>G21</f>
        <v>8064.0019480519477</v>
      </c>
      <c r="J21" s="156"/>
      <c r="K21" s="155">
        <f>I21</f>
        <v>8064.0019480519477</v>
      </c>
    </row>
    <row r="22" spans="1:15" s="132" customFormat="1" ht="10.5">
      <c r="A22" s="140"/>
      <c r="B22" s="140"/>
      <c r="C22" s="140"/>
      <c r="D22" s="144"/>
      <c r="E22" s="147"/>
      <c r="F22" s="144"/>
      <c r="G22" s="144"/>
      <c r="H22" s="144"/>
      <c r="I22" s="144"/>
      <c r="J22" s="144"/>
      <c r="K22" s="144"/>
      <c r="L22" s="144"/>
    </row>
    <row r="23" spans="1:15" s="132" customFormat="1" ht="10.5">
      <c r="A23" s="140"/>
      <c r="B23" s="140"/>
      <c r="C23" s="140"/>
      <c r="D23" s="144"/>
      <c r="F23" s="157" t="s">
        <v>96</v>
      </c>
      <c r="G23" s="144"/>
      <c r="H23" s="144"/>
      <c r="J23" s="144"/>
      <c r="K23" s="144"/>
      <c r="L23" s="144"/>
    </row>
    <row r="24" spans="1:15" s="132" customFormat="1" ht="10.5">
      <c r="B24" s="162" t="s">
        <v>97</v>
      </c>
      <c r="C24" s="163"/>
      <c r="D24" s="158" t="s">
        <v>98</v>
      </c>
      <c r="E24" s="164">
        <f>K18-752.5</f>
        <v>22970.21</v>
      </c>
      <c r="F24" s="159">
        <v>12791.06</v>
      </c>
      <c r="I24" s="132">
        <f>ABS(I20)/(E20-D20+1)*(E21-D21+1)</f>
        <v>8130.1003246753244</v>
      </c>
      <c r="M24" s="179">
        <v>45511</v>
      </c>
      <c r="N24" s="179">
        <v>45639</v>
      </c>
    </row>
    <row r="25" spans="1:15" s="132" customFormat="1" ht="23" customHeight="1">
      <c r="D25" s="160" t="s">
        <v>99</v>
      </c>
      <c r="E25" s="165">
        <f>E24-F24</f>
        <v>10179.15</v>
      </c>
      <c r="M25" s="179">
        <v>45519</v>
      </c>
      <c r="N25" s="179">
        <v>45639</v>
      </c>
    </row>
    <row r="26" spans="1:15" s="132" customFormat="1" ht="25" customHeight="1">
      <c r="D26" s="160" t="s">
        <v>100</v>
      </c>
      <c r="E26" s="165">
        <f>E25/E28*E30</f>
        <v>8130.1003246753244</v>
      </c>
      <c r="I26" s="132">
        <f>ABS(12950.99)/(N24-M24+1)*(N25-M25+1)</f>
        <v>12147.827829457365</v>
      </c>
    </row>
    <row r="27" spans="1:15" s="132" customFormat="1" ht="10.5"/>
    <row r="28" spans="1:15" s="132" customFormat="1" ht="10.5">
      <c r="D28" s="161" t="s">
        <v>101</v>
      </c>
      <c r="E28" s="165">
        <f>E20-D20 +1</f>
        <v>154</v>
      </c>
    </row>
    <row r="29" spans="1:15" s="132" customFormat="1" ht="10.5"/>
    <row r="30" spans="1:15" s="132" customFormat="1" ht="10.5">
      <c r="D30" s="161" t="s">
        <v>101</v>
      </c>
      <c r="E30" s="165">
        <f>E21-D21 + 1</f>
        <v>123</v>
      </c>
    </row>
    <row r="33" spans="1:13" ht="21">
      <c r="A33" s="130" t="s">
        <v>84</v>
      </c>
      <c r="B33" s="130" t="s">
        <v>5</v>
      </c>
      <c r="C33" s="130" t="s">
        <v>85</v>
      </c>
      <c r="D33" s="130" t="s">
        <v>9</v>
      </c>
      <c r="E33" s="130" t="s">
        <v>10</v>
      </c>
      <c r="F33" s="130" t="s">
        <v>86</v>
      </c>
      <c r="G33" s="130" t="s">
        <v>87</v>
      </c>
      <c r="H33" s="130" t="s">
        <v>88</v>
      </c>
      <c r="I33" s="130" t="s">
        <v>89</v>
      </c>
      <c r="J33" s="130" t="s">
        <v>90</v>
      </c>
      <c r="K33" s="131" t="s">
        <v>91</v>
      </c>
    </row>
    <row r="34" spans="1:13">
      <c r="A34" s="373" t="s">
        <v>74</v>
      </c>
      <c r="B34" s="180" t="s">
        <v>73</v>
      </c>
      <c r="C34" s="133" t="s">
        <v>50</v>
      </c>
      <c r="D34" s="134" t="s">
        <v>128</v>
      </c>
      <c r="E34" s="134">
        <v>45639</v>
      </c>
      <c r="F34" s="181">
        <v>2000000</v>
      </c>
      <c r="G34" s="182">
        <v>20000</v>
      </c>
      <c r="H34" s="183">
        <v>500</v>
      </c>
      <c r="I34" s="182">
        <v>20000</v>
      </c>
      <c r="J34" s="183">
        <v>500</v>
      </c>
      <c r="K34" s="135">
        <f>I34+J34</f>
        <v>20500</v>
      </c>
    </row>
    <row r="35" spans="1:13">
      <c r="A35" s="373"/>
      <c r="B35" s="180"/>
      <c r="C35" s="136"/>
      <c r="D35" s="134"/>
      <c r="E35" s="134"/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8">
        <f>(I35+J35+K34)</f>
        <v>20500</v>
      </c>
    </row>
    <row r="36" spans="1:13">
      <c r="A36" s="373"/>
      <c r="B36" s="180"/>
      <c r="C36" s="136"/>
      <c r="D36" s="134"/>
      <c r="E36" s="134"/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8">
        <f>(I36+J36+K35)</f>
        <v>20500</v>
      </c>
    </row>
    <row r="37" spans="1:13">
      <c r="A37" s="140"/>
      <c r="B37" s="136"/>
      <c r="C37" s="141"/>
      <c r="D37" s="142"/>
      <c r="E37" s="139"/>
      <c r="F37" s="133"/>
      <c r="G37" s="143"/>
      <c r="H37" s="143"/>
      <c r="I37" s="144"/>
      <c r="J37" s="144"/>
      <c r="K37" s="143"/>
    </row>
    <row r="38" spans="1:13">
      <c r="A38" s="140"/>
      <c r="B38" s="180" t="s">
        <v>73</v>
      </c>
      <c r="C38" s="141" t="s">
        <v>75</v>
      </c>
      <c r="D38" s="134">
        <v>45511</v>
      </c>
      <c r="E38" s="134">
        <v>45639</v>
      </c>
      <c r="F38" s="136"/>
      <c r="G38" s="139"/>
      <c r="H38" s="148"/>
      <c r="I38" s="149">
        <f>-F42</f>
        <v>0</v>
      </c>
      <c r="J38" s="150">
        <v>0</v>
      </c>
      <c r="K38" s="151">
        <v>3824.86</v>
      </c>
    </row>
    <row r="39" spans="1:13">
      <c r="A39" s="140"/>
      <c r="B39" s="180" t="s">
        <v>73</v>
      </c>
      <c r="C39" s="141" t="s">
        <v>76</v>
      </c>
      <c r="D39" s="153">
        <v>45519</v>
      </c>
      <c r="E39" s="134">
        <v>45639</v>
      </c>
      <c r="F39" s="154">
        <v>500000</v>
      </c>
      <c r="G39" s="155">
        <f>-(I38/154*122)</f>
        <v>0</v>
      </c>
      <c r="H39" s="133"/>
      <c r="I39" s="156">
        <f>G39</f>
        <v>0</v>
      </c>
      <c r="J39" s="156"/>
      <c r="K39" s="155">
        <f>I39</f>
        <v>0</v>
      </c>
    </row>
    <row r="42" spans="1:13">
      <c r="E42" s="182"/>
      <c r="F42" s="103"/>
      <c r="G42" s="103"/>
    </row>
    <row r="43" spans="1:13" ht="15" thickBot="1">
      <c r="B43" s="192"/>
      <c r="I43" s="189"/>
    </row>
    <row r="44" spans="1:13" ht="15" thickBot="1">
      <c r="B44" s="190"/>
      <c r="C44" s="191"/>
      <c r="I44" s="189"/>
    </row>
    <row r="46" spans="1:13">
      <c r="C46" s="185"/>
      <c r="D46" s="185"/>
      <c r="M46" s="193"/>
    </row>
    <row r="47" spans="1:13">
      <c r="B47" s="182"/>
    </row>
    <row r="48" spans="1:13" ht="21">
      <c r="A48" s="130" t="s">
        <v>84</v>
      </c>
      <c r="B48" s="130" t="s">
        <v>5</v>
      </c>
      <c r="C48" s="130" t="s">
        <v>85</v>
      </c>
      <c r="D48" s="130" t="s">
        <v>9</v>
      </c>
      <c r="E48" s="130" t="s">
        <v>10</v>
      </c>
      <c r="F48" s="130" t="s">
        <v>86</v>
      </c>
      <c r="G48" s="130" t="s">
        <v>87</v>
      </c>
      <c r="H48" s="130" t="s">
        <v>88</v>
      </c>
      <c r="I48" s="130" t="s">
        <v>89</v>
      </c>
      <c r="J48" s="130" t="s">
        <v>90</v>
      </c>
      <c r="K48" s="131" t="s">
        <v>91</v>
      </c>
    </row>
    <row r="49" spans="1:14">
      <c r="A49" s="373" t="s">
        <v>74</v>
      </c>
      <c r="B49" s="166" t="s">
        <v>172</v>
      </c>
      <c r="C49" s="133" t="s">
        <v>50</v>
      </c>
      <c r="D49" s="134">
        <v>45261</v>
      </c>
      <c r="E49" s="134">
        <v>45626</v>
      </c>
      <c r="F49" s="135">
        <v>450000</v>
      </c>
      <c r="G49" s="135">
        <v>5670</v>
      </c>
      <c r="H49" s="133">
        <v>0</v>
      </c>
      <c r="I49" s="135">
        <v>5670</v>
      </c>
      <c r="J49" s="133">
        <v>0</v>
      </c>
      <c r="K49" s="135">
        <f>SUM(I49:J49)</f>
        <v>5670</v>
      </c>
      <c r="L49" s="374"/>
      <c r="M49" s="224" t="s">
        <v>175</v>
      </c>
    </row>
    <row r="50" spans="1:14">
      <c r="A50" s="373"/>
      <c r="B50" s="166"/>
      <c r="C50" s="225"/>
      <c r="D50" s="134"/>
      <c r="E50" s="134"/>
      <c r="F50" s="137"/>
      <c r="G50" s="135"/>
      <c r="H50" s="133"/>
      <c r="I50" s="133"/>
      <c r="J50" s="133"/>
      <c r="K50" s="138"/>
      <c r="M50" t="s">
        <v>176</v>
      </c>
      <c r="N50" t="s">
        <v>181</v>
      </c>
    </row>
    <row r="51" spans="1:14">
      <c r="A51" s="140"/>
      <c r="B51" s="166" t="s">
        <v>173</v>
      </c>
      <c r="C51" s="141" t="s">
        <v>75</v>
      </c>
      <c r="D51" s="134">
        <v>45292</v>
      </c>
      <c r="E51" s="134">
        <v>45626</v>
      </c>
      <c r="F51" s="135">
        <v>450000</v>
      </c>
      <c r="G51" s="135">
        <f>-5670</f>
        <v>-5670</v>
      </c>
      <c r="H51" s="133">
        <v>0</v>
      </c>
      <c r="I51" s="135">
        <v>-480</v>
      </c>
      <c r="J51" s="150">
        <v>0</v>
      </c>
      <c r="K51" s="135">
        <v>0</v>
      </c>
      <c r="M51" t="s">
        <v>177</v>
      </c>
    </row>
    <row r="52" spans="1:14">
      <c r="A52" s="140"/>
      <c r="B52" s="166"/>
      <c r="C52" s="141" t="s">
        <v>76</v>
      </c>
      <c r="D52" s="134">
        <v>45292</v>
      </c>
      <c r="E52" s="134">
        <v>45626</v>
      </c>
      <c r="F52" s="135">
        <v>450000</v>
      </c>
      <c r="G52" s="375">
        <v>5190</v>
      </c>
      <c r="H52" s="133"/>
      <c r="I52" s="156">
        <f>G52</f>
        <v>5190</v>
      </c>
      <c r="J52" s="156"/>
      <c r="K52" s="155">
        <f>I52</f>
        <v>5190</v>
      </c>
      <c r="M52" t="s">
        <v>178</v>
      </c>
    </row>
    <row r="53" spans="1:14">
      <c r="A53" s="140"/>
      <c r="B53" s="140"/>
      <c r="C53" s="140" t="s">
        <v>174</v>
      </c>
      <c r="D53" s="134">
        <v>45323</v>
      </c>
      <c r="E53" s="134">
        <v>45626</v>
      </c>
      <c r="F53" s="135">
        <v>950000</v>
      </c>
      <c r="G53" s="182">
        <v>11383.05</v>
      </c>
      <c r="H53" s="144"/>
      <c r="I53" s="144"/>
      <c r="J53" s="144"/>
      <c r="K53" s="144"/>
      <c r="M53" t="s">
        <v>179</v>
      </c>
    </row>
    <row r="54" spans="1:14" s="224" customFormat="1">
      <c r="A54" s="140"/>
      <c r="B54" s="140"/>
      <c r="C54" s="140"/>
      <c r="D54" s="134">
        <v>45474</v>
      </c>
      <c r="E54" s="134">
        <v>45657</v>
      </c>
      <c r="F54" s="144"/>
      <c r="G54" s="144"/>
      <c r="H54" s="144"/>
      <c r="I54" s="144"/>
      <c r="J54" s="144"/>
      <c r="K54" s="144"/>
      <c r="M54" s="224" t="s">
        <v>180</v>
      </c>
    </row>
    <row r="55" spans="1:14">
      <c r="A55" s="140"/>
      <c r="B55" s="140"/>
      <c r="C55" s="140"/>
      <c r="D55" s="144"/>
      <c r="E55" s="132"/>
      <c r="F55" s="157" t="s">
        <v>96</v>
      </c>
      <c r="G55" s="144"/>
      <c r="H55" s="144"/>
      <c r="I55" s="132"/>
      <c r="J55" s="144"/>
      <c r="K55" s="144"/>
    </row>
    <row r="56" spans="1:14">
      <c r="A56" s="132"/>
      <c r="B56" s="162" t="s">
        <v>97</v>
      </c>
      <c r="C56" s="163"/>
      <c r="D56" s="158" t="s">
        <v>98</v>
      </c>
      <c r="E56" s="164"/>
      <c r="F56" s="135">
        <v>5670</v>
      </c>
      <c r="G56" s="132"/>
      <c r="H56" s="132"/>
      <c r="I56" s="375">
        <f>I49+I51</f>
        <v>5190</v>
      </c>
      <c r="J56" s="132">
        <f>I56/E60</f>
        <v>15.492537313432836</v>
      </c>
      <c r="K56" s="132">
        <f>J56*B58</f>
        <v>480.26865671641792</v>
      </c>
      <c r="M56">
        <f>E54-D54+1</f>
        <v>184</v>
      </c>
    </row>
    <row r="57" spans="1:14" ht="21">
      <c r="A57" s="132"/>
      <c r="B57" s="132"/>
      <c r="C57" s="132"/>
      <c r="D57" s="160" t="s">
        <v>99</v>
      </c>
      <c r="E57" s="165"/>
      <c r="F57" s="132"/>
      <c r="G57" s="132"/>
      <c r="H57" s="132"/>
      <c r="I57" s="132"/>
      <c r="J57" s="132"/>
      <c r="K57" s="132"/>
    </row>
    <row r="58" spans="1:14" ht="21">
      <c r="A58" s="132"/>
      <c r="B58" s="132">
        <f>D53-D52</f>
        <v>31</v>
      </c>
      <c r="C58" s="132"/>
      <c r="D58" s="160" t="s">
        <v>100</v>
      </c>
      <c r="E58" s="165"/>
      <c r="F58" s="132"/>
      <c r="G58" s="132"/>
      <c r="H58" s="132"/>
      <c r="I58" s="132"/>
      <c r="J58" s="132">
        <f>G53/366</f>
        <v>31.10122950819672</v>
      </c>
      <c r="K58" s="132"/>
    </row>
    <row r="59" spans="1:14">
      <c r="A59" s="132"/>
      <c r="B59" s="132"/>
      <c r="C59" s="132"/>
      <c r="D59" s="132"/>
      <c r="E59" s="132"/>
      <c r="F59" s="132"/>
      <c r="G59" s="132"/>
      <c r="H59" s="132"/>
      <c r="I59" s="132">
        <f>J58*(E53-D53+1)</f>
        <v>9454.7737704918036</v>
      </c>
      <c r="J59" s="132"/>
      <c r="K59" s="132"/>
    </row>
    <row r="60" spans="1:14">
      <c r="A60" s="132"/>
      <c r="B60" s="132"/>
      <c r="C60" s="132"/>
      <c r="D60" s="161" t="s">
        <v>101</v>
      </c>
      <c r="E60" s="165">
        <f>E52-D52+1</f>
        <v>335</v>
      </c>
      <c r="F60" s="182">
        <v>11970</v>
      </c>
      <c r="G60" s="132"/>
      <c r="H60" s="132"/>
      <c r="I60" s="132"/>
      <c r="J60" s="132"/>
      <c r="K60" s="132"/>
    </row>
    <row r="61" spans="1:14">
      <c r="A61" s="132"/>
      <c r="B61" s="132"/>
      <c r="C61" s="132"/>
      <c r="D61" s="132"/>
      <c r="E61" s="132"/>
      <c r="F61" s="132"/>
      <c r="G61" s="159"/>
      <c r="H61" s="132"/>
      <c r="I61" s="132"/>
      <c r="J61" s="132"/>
      <c r="K61" s="132"/>
    </row>
    <row r="62" spans="1:14">
      <c r="A62" s="132"/>
      <c r="B62" s="132"/>
      <c r="C62" s="132"/>
      <c r="D62" s="161" t="s">
        <v>101</v>
      </c>
      <c r="E62" s="165">
        <f>E53-D53+1</f>
        <v>304</v>
      </c>
      <c r="F62" s="132">
        <f>F60/366*E62</f>
        <v>9942.2950819672133</v>
      </c>
      <c r="G62" s="132"/>
      <c r="H62" s="132"/>
      <c r="I62" s="132"/>
      <c r="J62" s="132"/>
      <c r="K62" s="132"/>
    </row>
    <row r="63" spans="1:14">
      <c r="F63">
        <f>F62+K56</f>
        <v>10422.563738683632</v>
      </c>
      <c r="G63" s="374">
        <f>F63-G52</f>
        <v>5232.5637386836315</v>
      </c>
    </row>
  </sheetData>
  <mergeCells count="3">
    <mergeCell ref="A16:A18"/>
    <mergeCell ref="A34:A36"/>
    <mergeCell ref="A49:A50"/>
  </mergeCells>
  <hyperlinks>
    <hyperlink ref="E8" r:id="rId1" tooltip="&lt;table border='0' width='100%' class='grid' cellspacing='0' cellpadding='0'&gt;&lt;tbody&gt;&lt;tr&gt;&lt;th style='border-right: dotted 1px; text-align: left'&gt;Description&lt;/th&gt;&lt;th style='border-right: dotted 1px; text-align: left'&gt;Factor(%)&lt;/th&gt;&lt;th style='border-right: dot" display="javascript:" xr:uid="{6FE28B6A-4AB6-4DE5-8A2C-0B83290110C8}"/>
    <hyperlink ref="C9" r:id="rId2" tooltip="&lt;table border='0' width='100%' class='grid' cellspacing='0' cellpadding='0'&gt;&lt;tbody&gt;&lt;tr&gt;&lt;th style='border-right: dotted 1px; text-align: left'&gt;Description&lt;/th&gt;&lt;th style='border-right: dotted 1px; text-align: left'&gt;Factor(%)&lt;/th&gt;&lt;th style='border-right: dot" display="javascript:" xr:uid="{7E48FCF4-0CD9-43B7-A95A-0A6F3B667D4E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W32"/>
  <sheetViews>
    <sheetView showGridLines="0" tabSelected="1" topLeftCell="A13" zoomScale="60" zoomScaleNormal="60" workbookViewId="0">
      <selection activeCell="Q31" sqref="Q31"/>
    </sheetView>
  </sheetViews>
  <sheetFormatPr defaultRowHeight="14.5"/>
  <cols>
    <col min="1" max="1" width="10.54296875" bestFit="1" customWidth="1"/>
    <col min="2" max="2" width="6.90625" customWidth="1"/>
    <col min="3" max="3" width="7.81640625" customWidth="1"/>
    <col min="4" max="4" width="11.6328125" customWidth="1"/>
    <col min="5" max="5" width="14.90625" bestFit="1" customWidth="1"/>
    <col min="6" max="6" width="8.453125" bestFit="1" customWidth="1"/>
    <col min="7" max="7" width="7.453125" customWidth="1"/>
    <col min="8" max="8" width="10" customWidth="1"/>
    <col min="9" max="9" width="16.453125" customWidth="1"/>
    <col min="10" max="10" width="6.453125" customWidth="1"/>
    <col min="11" max="11" width="14.90625" customWidth="1"/>
    <col min="12" max="12" width="13.54296875" customWidth="1"/>
    <col min="13" max="13" width="11.1796875" customWidth="1"/>
    <col min="14" max="14" width="12.453125" customWidth="1"/>
    <col min="15" max="15" width="12.54296875" customWidth="1"/>
    <col min="16" max="16" width="10.54296875" customWidth="1"/>
    <col min="17" max="17" width="12.453125" customWidth="1"/>
    <col min="18" max="18" width="9.36328125" customWidth="1"/>
    <col min="19" max="19" width="8.36328125" customWidth="1"/>
    <col min="20" max="20" width="12.1796875" customWidth="1"/>
    <col min="21" max="21" width="12.36328125" customWidth="1"/>
    <col min="22" max="22" width="15.81640625" bestFit="1" customWidth="1"/>
    <col min="23" max="23" width="26" customWidth="1"/>
  </cols>
  <sheetData>
    <row r="1" spans="1:23" ht="13.5" customHeight="1"/>
    <row r="2" spans="1:23" ht="0" hidden="1" customHeight="1"/>
    <row r="3" spans="1:23" ht="0.9" customHeight="1"/>
    <row r="4" spans="1:23" ht="17" customHeight="1"/>
    <row r="5" spans="1:23" ht="3" customHeight="1"/>
    <row r="6" spans="1:23" ht="16" customHeight="1"/>
    <row r="7" spans="1:23" ht="2.75" customHeight="1"/>
    <row r="8" spans="1:23" ht="17.649999999999999" customHeight="1"/>
    <row r="9" spans="1:23">
      <c r="A9" s="1"/>
      <c r="B9" s="1"/>
      <c r="C9" s="1"/>
      <c r="D9" s="1"/>
      <c r="E9" s="1"/>
    </row>
    <row r="10" spans="1:23" ht="23" customHeight="1"/>
    <row r="11" spans="1:23" ht="18" customHeight="1">
      <c r="A11" s="2" t="s">
        <v>0</v>
      </c>
    </row>
    <row r="12" spans="1:23" ht="11" customHeight="1"/>
    <row r="13" spans="1:23" ht="18" customHeight="1"/>
    <row r="14" spans="1:23" ht="30" customHeight="1" thickBot="1">
      <c r="A14" s="237" t="s">
        <v>45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</row>
    <row r="15" spans="1:23" ht="14.5" customHeight="1">
      <c r="A15" s="40" t="s">
        <v>1</v>
      </c>
      <c r="B15" s="41" t="s">
        <v>2</v>
      </c>
      <c r="C15" s="42" t="s">
        <v>3</v>
      </c>
      <c r="D15" s="42" t="s">
        <v>4</v>
      </c>
      <c r="E15" s="42" t="s">
        <v>5</v>
      </c>
      <c r="F15" s="42" t="s">
        <v>6</v>
      </c>
      <c r="G15" s="42" t="s">
        <v>7</v>
      </c>
      <c r="H15" s="42" t="s">
        <v>8</v>
      </c>
      <c r="I15" s="42" t="s">
        <v>9</v>
      </c>
      <c r="J15" s="42" t="s">
        <v>10</v>
      </c>
      <c r="K15" s="42" t="s">
        <v>11</v>
      </c>
      <c r="L15" s="42" t="s">
        <v>12</v>
      </c>
      <c r="M15" s="42" t="s">
        <v>13</v>
      </c>
      <c r="N15" s="258" t="s">
        <v>14</v>
      </c>
      <c r="O15" s="259"/>
      <c r="P15" s="260"/>
      <c r="Q15" s="258" t="s">
        <v>15</v>
      </c>
      <c r="R15" s="259"/>
      <c r="S15" s="260"/>
      <c r="T15" s="258" t="s">
        <v>16</v>
      </c>
      <c r="U15" s="259"/>
      <c r="V15" s="259"/>
      <c r="W15" s="43" t="s">
        <v>32</v>
      </c>
    </row>
    <row r="16" spans="1:23" ht="14.5" customHeight="1">
      <c r="A16" s="31" t="s">
        <v>1</v>
      </c>
      <c r="B16" s="4" t="s">
        <v>1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4" t="s">
        <v>1</v>
      </c>
      <c r="N16" s="4" t="s">
        <v>0</v>
      </c>
      <c r="O16" s="4" t="s">
        <v>17</v>
      </c>
      <c r="P16" s="4" t="s">
        <v>18</v>
      </c>
      <c r="Q16" s="4" t="s">
        <v>0</v>
      </c>
      <c r="R16" s="4" t="s">
        <v>17</v>
      </c>
      <c r="S16" s="4" t="s">
        <v>18</v>
      </c>
      <c r="T16" s="4" t="s">
        <v>0</v>
      </c>
      <c r="U16" s="4" t="s">
        <v>17</v>
      </c>
      <c r="V16" s="19" t="s">
        <v>18</v>
      </c>
      <c r="W16" s="44"/>
    </row>
    <row r="17" spans="1:23" ht="29" customHeight="1">
      <c r="A17" s="45" t="s">
        <v>19</v>
      </c>
      <c r="B17" s="6" t="s">
        <v>20</v>
      </c>
      <c r="C17" s="6" t="s">
        <v>21</v>
      </c>
      <c r="D17" s="6" t="s">
        <v>22</v>
      </c>
      <c r="E17" s="6" t="s">
        <v>23</v>
      </c>
      <c r="F17" s="7" t="s">
        <v>24</v>
      </c>
      <c r="G17" s="7" t="s">
        <v>24</v>
      </c>
      <c r="H17" s="7" t="s">
        <v>25</v>
      </c>
      <c r="I17" s="8">
        <v>45231</v>
      </c>
      <c r="J17" s="8">
        <v>45596</v>
      </c>
      <c r="K17" s="8">
        <v>45513.455275347202</v>
      </c>
      <c r="L17" s="15">
        <v>19767.59</v>
      </c>
      <c r="M17" s="17">
        <v>613</v>
      </c>
      <c r="N17" s="15">
        <v>5557.49</v>
      </c>
      <c r="O17" s="15">
        <v>1154.07</v>
      </c>
      <c r="P17" s="15">
        <v>437.26</v>
      </c>
      <c r="Q17" s="15">
        <v>2992.5</v>
      </c>
      <c r="R17" s="15">
        <v>0</v>
      </c>
      <c r="S17" s="15">
        <v>0</v>
      </c>
      <c r="T17" s="15">
        <v>11217.6</v>
      </c>
      <c r="U17" s="15">
        <v>1959.26</v>
      </c>
      <c r="V17" s="23">
        <v>815.29</v>
      </c>
      <c r="W17" s="249" t="s">
        <v>31</v>
      </c>
    </row>
    <row r="18" spans="1:23">
      <c r="A18" s="46"/>
      <c r="B18" s="10"/>
      <c r="C18" s="11"/>
      <c r="D18" s="11"/>
      <c r="E18" s="10"/>
      <c r="F18" s="7" t="s">
        <v>26</v>
      </c>
      <c r="G18" s="7" t="s">
        <v>24</v>
      </c>
      <c r="H18" s="7" t="s">
        <v>25</v>
      </c>
      <c r="I18" s="8">
        <v>45231</v>
      </c>
      <c r="J18" s="8">
        <v>45596</v>
      </c>
      <c r="K18" s="8">
        <v>45513.455275347202</v>
      </c>
      <c r="L18" s="15">
        <v>1337</v>
      </c>
      <c r="M18" s="17">
        <v>613</v>
      </c>
      <c r="N18" s="15">
        <v>869.05</v>
      </c>
      <c r="O18" s="15">
        <v>180.46</v>
      </c>
      <c r="P18" s="15">
        <v>68.37</v>
      </c>
      <c r="Q18" s="15">
        <v>467.95</v>
      </c>
      <c r="R18" s="15">
        <v>0</v>
      </c>
      <c r="S18" s="15">
        <v>0</v>
      </c>
      <c r="T18" s="16"/>
      <c r="U18" s="16"/>
      <c r="V18" s="21"/>
      <c r="W18" s="250"/>
    </row>
    <row r="19" spans="1:23">
      <c r="A19" s="31" t="s">
        <v>1</v>
      </c>
      <c r="B19" s="12" t="s">
        <v>1</v>
      </c>
      <c r="C19" s="12" t="s">
        <v>1</v>
      </c>
      <c r="D19" s="12" t="s">
        <v>1</v>
      </c>
      <c r="E19" s="12" t="s">
        <v>1</v>
      </c>
      <c r="F19" s="12" t="s">
        <v>1</v>
      </c>
      <c r="G19" s="12" t="s">
        <v>1</v>
      </c>
      <c r="H19" s="12" t="s">
        <v>1</v>
      </c>
      <c r="I19" s="12" t="s">
        <v>1</v>
      </c>
      <c r="J19" s="4" t="s">
        <v>27</v>
      </c>
      <c r="K19" s="4" t="s">
        <v>1</v>
      </c>
      <c r="L19" s="15">
        <v>21104.59</v>
      </c>
      <c r="M19" s="15">
        <v>1226</v>
      </c>
      <c r="N19" s="15">
        <v>6426.54</v>
      </c>
      <c r="O19" s="15">
        <v>1334.53</v>
      </c>
      <c r="P19" s="15">
        <v>505.63</v>
      </c>
      <c r="Q19" s="15">
        <v>3460.45</v>
      </c>
      <c r="R19" s="15">
        <v>0</v>
      </c>
      <c r="S19" s="15">
        <v>0</v>
      </c>
      <c r="T19" s="15">
        <v>11217.6</v>
      </c>
      <c r="U19" s="15">
        <v>1959.26</v>
      </c>
      <c r="V19" s="23">
        <v>815.29</v>
      </c>
      <c r="W19" s="250"/>
    </row>
    <row r="20" spans="1:23" ht="16.5" thickBot="1">
      <c r="A20" s="47" t="s">
        <v>1</v>
      </c>
      <c r="B20" s="36" t="s">
        <v>1</v>
      </c>
      <c r="C20" s="36" t="s">
        <v>1</v>
      </c>
      <c r="D20" s="36" t="s">
        <v>1</v>
      </c>
      <c r="E20" s="36" t="s">
        <v>1</v>
      </c>
      <c r="F20" s="36" t="s">
        <v>1</v>
      </c>
      <c r="G20" s="36" t="s">
        <v>1</v>
      </c>
      <c r="H20" s="36" t="s">
        <v>1</v>
      </c>
      <c r="I20" s="36" t="s">
        <v>1</v>
      </c>
      <c r="J20" s="48" t="s">
        <v>27</v>
      </c>
      <c r="K20" s="49" t="s">
        <v>1</v>
      </c>
      <c r="L20" s="50">
        <v>21104.59</v>
      </c>
      <c r="M20" s="50">
        <v>1226</v>
      </c>
      <c r="N20" s="50">
        <v>6426.54</v>
      </c>
      <c r="O20" s="50">
        <v>1334.53</v>
      </c>
      <c r="P20" s="50">
        <v>505.63</v>
      </c>
      <c r="Q20" s="50">
        <v>3460.45</v>
      </c>
      <c r="R20" s="50">
        <v>0</v>
      </c>
      <c r="S20" s="50">
        <v>0</v>
      </c>
      <c r="T20" s="50">
        <v>11217.6</v>
      </c>
      <c r="U20" s="50">
        <v>1959.26</v>
      </c>
      <c r="V20" s="51">
        <v>815.29</v>
      </c>
      <c r="W20" s="251"/>
    </row>
    <row r="22" spans="1:23" ht="15" thickBot="1"/>
    <row r="23" spans="1:23" ht="23" customHeight="1">
      <c r="A23" s="261" t="s">
        <v>43</v>
      </c>
      <c r="B23" s="262"/>
      <c r="C23" s="262"/>
      <c r="D23" s="262"/>
      <c r="E23" s="263"/>
      <c r="G23" s="261" t="s">
        <v>44</v>
      </c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3"/>
    </row>
    <row r="24" spans="1:23" ht="39.5" thickBot="1">
      <c r="A24" s="252" t="s">
        <v>34</v>
      </c>
      <c r="B24" s="253"/>
      <c r="C24" s="264" t="s">
        <v>35</v>
      </c>
      <c r="D24" s="253"/>
      <c r="E24" s="39" t="s">
        <v>40</v>
      </c>
      <c r="G24" s="30" t="s">
        <v>4</v>
      </c>
      <c r="H24" s="29" t="s">
        <v>5</v>
      </c>
      <c r="I24" s="29" t="s">
        <v>6</v>
      </c>
      <c r="J24" s="29" t="s">
        <v>7</v>
      </c>
      <c r="K24" s="29" t="s">
        <v>28</v>
      </c>
      <c r="L24" s="29" t="s">
        <v>29</v>
      </c>
      <c r="M24" s="29" t="s">
        <v>13</v>
      </c>
      <c r="N24" s="265" t="s">
        <v>14</v>
      </c>
      <c r="O24" s="266"/>
      <c r="P24" s="267"/>
      <c r="Q24" s="265" t="s">
        <v>15</v>
      </c>
      <c r="R24" s="266"/>
      <c r="S24" s="267"/>
      <c r="T24" s="265" t="s">
        <v>16</v>
      </c>
      <c r="U24" s="266"/>
      <c r="V24" s="268"/>
    </row>
    <row r="25" spans="1:23" ht="39">
      <c r="A25" s="238" t="s">
        <v>36</v>
      </c>
      <c r="B25" s="239"/>
      <c r="C25" s="239"/>
      <c r="D25" s="239"/>
      <c r="E25" s="244" t="s">
        <v>14</v>
      </c>
      <c r="G25" s="31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0</v>
      </c>
      <c r="O25" s="4" t="s">
        <v>17</v>
      </c>
      <c r="P25" s="27" t="s">
        <v>18</v>
      </c>
      <c r="Q25" s="4" t="s">
        <v>0</v>
      </c>
      <c r="R25" s="4" t="s">
        <v>17</v>
      </c>
      <c r="S25" s="4" t="s">
        <v>18</v>
      </c>
      <c r="T25" s="4" t="s">
        <v>0</v>
      </c>
      <c r="U25" s="4" t="s">
        <v>17</v>
      </c>
      <c r="V25" s="32" t="s">
        <v>18</v>
      </c>
    </row>
    <row r="26" spans="1:23" ht="25" customHeight="1">
      <c r="A26" s="240" t="s">
        <v>37</v>
      </c>
      <c r="B26" s="241"/>
      <c r="C26" s="241"/>
      <c r="D26" s="241"/>
      <c r="E26" s="245"/>
      <c r="G26" s="247" t="s">
        <v>22</v>
      </c>
      <c r="H26" s="256" t="s">
        <v>23</v>
      </c>
      <c r="I26" s="7" t="s">
        <v>24</v>
      </c>
      <c r="J26" s="7" t="s">
        <v>24</v>
      </c>
      <c r="K26" s="9">
        <v>2312000</v>
      </c>
      <c r="L26" s="9">
        <v>19767.599999999999</v>
      </c>
      <c r="M26" s="254">
        <v>613</v>
      </c>
      <c r="N26" s="9">
        <f>(650000/K26)*L26</f>
        <v>5557.4999999999991</v>
      </c>
      <c r="O26" s="9">
        <f>((N26*60%)*34.61%)</f>
        <v>1154.0704499999999</v>
      </c>
      <c r="P26" s="9">
        <f>((N26*40%)*19.67%)</f>
        <v>437.26409999999993</v>
      </c>
      <c r="Q26" s="26">
        <f>(350000/K26)*L26</f>
        <v>2992.4999999999995</v>
      </c>
      <c r="R26" s="9">
        <v>0</v>
      </c>
      <c r="S26" s="9">
        <v>0</v>
      </c>
      <c r="T26" s="9">
        <f>(K26-1000000)/K26*L26</f>
        <v>11217.6</v>
      </c>
      <c r="U26" s="9">
        <f>((T26*60%)*29.11%)</f>
        <v>1959.2660159999998</v>
      </c>
      <c r="V26" s="33">
        <f>((T26*40%)*18.17%)</f>
        <v>815.2951680000001</v>
      </c>
    </row>
    <row r="27" spans="1:23" ht="24.5" customHeight="1">
      <c r="A27" s="240" t="s">
        <v>38</v>
      </c>
      <c r="B27" s="241"/>
      <c r="C27" s="241"/>
      <c r="D27" s="241"/>
      <c r="E27" s="245"/>
      <c r="G27" s="248"/>
      <c r="H27" s="257"/>
      <c r="I27" s="7" t="s">
        <v>26</v>
      </c>
      <c r="J27" s="7" t="s">
        <v>24</v>
      </c>
      <c r="K27" s="9">
        <v>140000</v>
      </c>
      <c r="L27" s="9">
        <v>1337</v>
      </c>
      <c r="M27" s="255"/>
      <c r="N27" s="9">
        <f>L27*0.65</f>
        <v>869.05000000000007</v>
      </c>
      <c r="O27" s="9">
        <f>((N27*60%)*34.61%)</f>
        <v>180.46692300000004</v>
      </c>
      <c r="P27" s="9">
        <f>((N27*40%)*19.67%)</f>
        <v>68.376854000000023</v>
      </c>
      <c r="Q27" s="9">
        <f>L27*0.35</f>
        <v>467.95</v>
      </c>
      <c r="R27" s="9">
        <v>0</v>
      </c>
      <c r="S27" s="9">
        <v>0</v>
      </c>
      <c r="T27" s="7">
        <v>0</v>
      </c>
      <c r="U27" s="9">
        <f>((T27*60%)*34.61%)</f>
        <v>0</v>
      </c>
      <c r="V27" s="33">
        <f>((T27*40%)*19.67%)</f>
        <v>0</v>
      </c>
    </row>
    <row r="28" spans="1:23" ht="25.5" customHeight="1" thickBot="1">
      <c r="A28" s="242" t="s">
        <v>39</v>
      </c>
      <c r="B28" s="243"/>
      <c r="C28" s="243"/>
      <c r="D28" s="243"/>
      <c r="E28" s="246"/>
      <c r="G28" s="34" t="s">
        <v>1</v>
      </c>
      <c r="H28" s="12" t="s">
        <v>1</v>
      </c>
      <c r="I28" s="24" t="s">
        <v>33</v>
      </c>
      <c r="J28" s="12" t="s">
        <v>1</v>
      </c>
      <c r="K28" s="9"/>
      <c r="L28" s="9">
        <f>SUM(L26:L27)</f>
        <v>21104.6</v>
      </c>
      <c r="M28" s="9"/>
      <c r="N28" s="9">
        <f t="shared" ref="N28:V28" si="0">SUM(N26:N27)</f>
        <v>6426.5499999999993</v>
      </c>
      <c r="O28" s="9">
        <f t="shared" si="0"/>
        <v>1334.5373729999999</v>
      </c>
      <c r="P28" s="9">
        <f t="shared" si="0"/>
        <v>505.64095399999997</v>
      </c>
      <c r="Q28" s="9">
        <f t="shared" si="0"/>
        <v>3460.4499999999994</v>
      </c>
      <c r="R28" s="9">
        <f t="shared" si="0"/>
        <v>0</v>
      </c>
      <c r="S28" s="9">
        <f t="shared" si="0"/>
        <v>0</v>
      </c>
      <c r="T28" s="9">
        <f t="shared" si="0"/>
        <v>11217.6</v>
      </c>
      <c r="U28" s="9">
        <f t="shared" si="0"/>
        <v>1959.2660159999998</v>
      </c>
      <c r="V28" s="33">
        <f t="shared" si="0"/>
        <v>815.2951680000001</v>
      </c>
    </row>
    <row r="29" spans="1:23" ht="26" customHeight="1" thickBot="1">
      <c r="A29" s="238" t="s">
        <v>36</v>
      </c>
      <c r="B29" s="239"/>
      <c r="C29" s="239"/>
      <c r="D29" s="239"/>
      <c r="E29" s="244" t="s">
        <v>16</v>
      </c>
      <c r="G29" s="35" t="s">
        <v>1</v>
      </c>
      <c r="H29" s="36" t="s">
        <v>1</v>
      </c>
      <c r="I29" s="36" t="s">
        <v>1</v>
      </c>
      <c r="J29" s="36" t="s">
        <v>1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</row>
    <row r="30" spans="1:23" ht="22" customHeight="1">
      <c r="A30" s="240" t="s">
        <v>37</v>
      </c>
      <c r="B30" s="241"/>
      <c r="C30" s="241"/>
      <c r="D30" s="241"/>
      <c r="E30" s="245"/>
    </row>
    <row r="31" spans="1:23" ht="23" customHeight="1">
      <c r="A31" s="240" t="s">
        <v>41</v>
      </c>
      <c r="B31" s="241"/>
      <c r="C31" s="241"/>
      <c r="D31" s="241"/>
      <c r="E31" s="245"/>
    </row>
    <row r="32" spans="1:23" ht="24.5" customHeight="1" thickBot="1">
      <c r="A32" s="242" t="s">
        <v>42</v>
      </c>
      <c r="B32" s="243"/>
      <c r="C32" s="243"/>
      <c r="D32" s="243"/>
      <c r="E32" s="246"/>
    </row>
  </sheetData>
  <mergeCells count="25">
    <mergeCell ref="E29:E32"/>
    <mergeCell ref="A23:E23"/>
    <mergeCell ref="G23:V23"/>
    <mergeCell ref="A29:D29"/>
    <mergeCell ref="A30:D30"/>
    <mergeCell ref="A31:D31"/>
    <mergeCell ref="A32:D32"/>
    <mergeCell ref="C24:D24"/>
    <mergeCell ref="N24:P24"/>
    <mergeCell ref="Q24:S24"/>
    <mergeCell ref="T24:V24"/>
    <mergeCell ref="A14:W14"/>
    <mergeCell ref="A25:D25"/>
    <mergeCell ref="A26:D26"/>
    <mergeCell ref="A27:D27"/>
    <mergeCell ref="A28:D28"/>
    <mergeCell ref="E25:E28"/>
    <mergeCell ref="G26:G27"/>
    <mergeCell ref="W17:W20"/>
    <mergeCell ref="A24:B24"/>
    <mergeCell ref="M26:M27"/>
    <mergeCell ref="H26:H27"/>
    <mergeCell ref="N15:P15"/>
    <mergeCell ref="Q15:S15"/>
    <mergeCell ref="T15:V15"/>
  </mergeCells>
  <pageMargins left="0.5" right="0.25" top="0.25" bottom="0.53472007874015703" header="0.25" footer="0.25"/>
  <pageSetup paperSize="0" orientation="landscape" horizontalDpi="300" verticalDpi="300"/>
  <headerFooter alignWithMargins="0">
    <oddFooter>&amp;L&amp;"Courier New"&amp;10CEDED PREMIUM REPORT 
Printed On:8/9/2024 10:58:22 AM &amp;C&amp;"Segoe UI,Regular"&amp;10Page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002-0376-4B32-81B5-B964E261B4D0}">
  <sheetPr codeName="Sheet4"/>
  <dimension ref="A1:W36"/>
  <sheetViews>
    <sheetView topLeftCell="B1" zoomScale="60" zoomScaleNormal="60" workbookViewId="0">
      <selection activeCell="Q33" sqref="Q33"/>
    </sheetView>
  </sheetViews>
  <sheetFormatPr defaultRowHeight="14.5"/>
  <cols>
    <col min="1" max="1" width="10.26953125" hidden="1" customWidth="1"/>
    <col min="2" max="2" width="10.26953125" customWidth="1"/>
    <col min="3" max="3" width="8.54296875" customWidth="1"/>
    <col min="4" max="4" width="17.7265625" customWidth="1"/>
    <col min="5" max="5" width="11.1796875" customWidth="1"/>
    <col min="6" max="6" width="5.6328125" customWidth="1"/>
    <col min="7" max="7" width="4.36328125" customWidth="1"/>
    <col min="8" max="8" width="8.6328125" customWidth="1"/>
    <col min="9" max="9" width="17.54296875" customWidth="1"/>
    <col min="10" max="10" width="17.7265625" customWidth="1"/>
    <col min="11" max="11" width="15.7265625" customWidth="1"/>
    <col min="12" max="12" width="12.36328125" customWidth="1"/>
    <col min="13" max="13" width="11.54296875" customWidth="1"/>
    <col min="14" max="14" width="12.81640625" customWidth="1"/>
    <col min="15" max="15" width="11.453125" customWidth="1"/>
    <col min="16" max="16" width="9.54296875" customWidth="1"/>
    <col min="17" max="17" width="12.26953125" customWidth="1"/>
    <col min="18" max="18" width="9.453125" customWidth="1"/>
    <col min="19" max="19" width="10.08984375" customWidth="1"/>
    <col min="20" max="20" width="12.90625" customWidth="1"/>
    <col min="21" max="21" width="13.7265625" customWidth="1"/>
    <col min="22" max="22" width="10.453125" customWidth="1"/>
    <col min="23" max="23" width="33.54296875" customWidth="1"/>
  </cols>
  <sheetData>
    <row r="1" spans="1:23" ht="18.5">
      <c r="A1" s="52" t="s">
        <v>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</row>
    <row r="2" spans="1:23" ht="39">
      <c r="B2" s="3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276" t="s">
        <v>14</v>
      </c>
      <c r="O2" s="277"/>
      <c r="P2" s="278"/>
      <c r="Q2" s="276" t="s">
        <v>15</v>
      </c>
      <c r="R2" s="277"/>
      <c r="S2" s="278"/>
      <c r="T2" s="276" t="s">
        <v>16</v>
      </c>
      <c r="U2" s="277"/>
      <c r="V2" s="277"/>
      <c r="W2" s="64" t="s">
        <v>47</v>
      </c>
    </row>
    <row r="3" spans="1:23" ht="39"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0</v>
      </c>
      <c r="O3" s="4" t="s">
        <v>17</v>
      </c>
      <c r="P3" s="4" t="s">
        <v>18</v>
      </c>
      <c r="Q3" s="4" t="s">
        <v>0</v>
      </c>
      <c r="R3" s="4" t="s">
        <v>17</v>
      </c>
      <c r="S3" s="4" t="s">
        <v>18</v>
      </c>
      <c r="T3" s="4" t="s">
        <v>0</v>
      </c>
      <c r="U3" s="4" t="s">
        <v>17</v>
      </c>
      <c r="V3" s="19" t="s">
        <v>18</v>
      </c>
      <c r="W3" s="22"/>
    </row>
    <row r="4" spans="1:23" ht="26" customHeight="1">
      <c r="B4" s="5" t="s">
        <v>19</v>
      </c>
      <c r="C4" s="6" t="s">
        <v>21</v>
      </c>
      <c r="D4" s="6" t="s">
        <v>48</v>
      </c>
      <c r="E4" s="6" t="s">
        <v>23</v>
      </c>
      <c r="F4" s="7" t="s">
        <v>24</v>
      </c>
      <c r="G4" s="7" t="s">
        <v>24</v>
      </c>
      <c r="H4" s="7" t="s">
        <v>25</v>
      </c>
      <c r="I4" s="8">
        <v>45292</v>
      </c>
      <c r="J4" s="8">
        <v>45596</v>
      </c>
      <c r="K4" s="8">
        <v>45513.498552974503</v>
      </c>
      <c r="L4" s="9">
        <v>35.624980999999998</v>
      </c>
      <c r="M4" s="9">
        <v>1.25</v>
      </c>
      <c r="N4" s="17">
        <v>10.046094999999999</v>
      </c>
      <c r="O4" s="17">
        <v>2.0861719999999999</v>
      </c>
      <c r="P4" s="15">
        <v>0.79042599999999996</v>
      </c>
      <c r="Q4" s="17">
        <v>5.4094360000000004</v>
      </c>
      <c r="R4" s="9">
        <v>0</v>
      </c>
      <c r="S4" s="9">
        <v>0</v>
      </c>
      <c r="T4" s="17">
        <v>20.169450000000001</v>
      </c>
      <c r="U4" s="17">
        <v>3.522796</v>
      </c>
      <c r="V4" s="23">
        <v>1.4659150000000001</v>
      </c>
      <c r="W4" s="279" t="s">
        <v>49</v>
      </c>
    </row>
    <row r="5" spans="1:23" ht="25">
      <c r="B5" s="54"/>
      <c r="C5" s="55"/>
      <c r="D5" s="6" t="s">
        <v>22</v>
      </c>
      <c r="E5" s="6" t="s">
        <v>23</v>
      </c>
      <c r="F5" s="7" t="s">
        <v>24</v>
      </c>
      <c r="G5" s="7" t="s">
        <v>24</v>
      </c>
      <c r="H5" s="7" t="s">
        <v>25</v>
      </c>
      <c r="I5" s="8">
        <v>45231</v>
      </c>
      <c r="J5" s="8">
        <v>45596</v>
      </c>
      <c r="K5" s="8">
        <v>45513.455275347202</v>
      </c>
      <c r="L5" s="9">
        <v>19767.59</v>
      </c>
      <c r="M5" s="9">
        <v>613</v>
      </c>
      <c r="N5" s="9">
        <v>5557.49</v>
      </c>
      <c r="O5" s="9">
        <v>1154.07</v>
      </c>
      <c r="P5" s="9">
        <v>437.26</v>
      </c>
      <c r="Q5" s="9">
        <v>2992.5</v>
      </c>
      <c r="R5" s="9">
        <v>0</v>
      </c>
      <c r="S5" s="9">
        <v>0</v>
      </c>
      <c r="T5" s="9">
        <v>11217.6</v>
      </c>
      <c r="U5" s="9">
        <v>1959.26</v>
      </c>
      <c r="V5" s="20">
        <v>815.29</v>
      </c>
      <c r="W5" s="280"/>
    </row>
    <row r="6" spans="1:23">
      <c r="B6" s="10"/>
      <c r="C6" s="11"/>
      <c r="D6" s="11"/>
      <c r="E6" s="10"/>
      <c r="F6" s="7" t="s">
        <v>26</v>
      </c>
      <c r="G6" s="7" t="s">
        <v>24</v>
      </c>
      <c r="H6" s="7" t="s">
        <v>25</v>
      </c>
      <c r="I6" s="8">
        <v>45231</v>
      </c>
      <c r="J6" s="8">
        <v>45596</v>
      </c>
      <c r="K6" s="8">
        <v>45513.455275347202</v>
      </c>
      <c r="L6" s="9">
        <v>1337</v>
      </c>
      <c r="M6" s="9">
        <v>613</v>
      </c>
      <c r="N6" s="9">
        <v>869.05</v>
      </c>
      <c r="O6" s="9">
        <v>180.46</v>
      </c>
      <c r="P6" s="9">
        <v>68.37</v>
      </c>
      <c r="Q6" s="9">
        <v>467.95</v>
      </c>
      <c r="R6" s="9">
        <v>0</v>
      </c>
      <c r="S6" s="9">
        <v>0</v>
      </c>
      <c r="T6" s="7"/>
      <c r="U6" s="7"/>
      <c r="V6" s="56"/>
      <c r="W6" s="280"/>
    </row>
    <row r="7" spans="1:23">
      <c r="B7" s="4" t="s">
        <v>1</v>
      </c>
      <c r="C7" s="12" t="s">
        <v>1</v>
      </c>
      <c r="D7" s="12" t="s">
        <v>1</v>
      </c>
      <c r="E7" s="12" t="s">
        <v>1</v>
      </c>
      <c r="F7" s="12" t="s">
        <v>1</v>
      </c>
      <c r="G7" s="12" t="s">
        <v>1</v>
      </c>
      <c r="H7" s="12" t="s">
        <v>1</v>
      </c>
      <c r="I7" s="12" t="s">
        <v>1</v>
      </c>
      <c r="J7" s="4" t="s">
        <v>27</v>
      </c>
      <c r="K7" s="4" t="s">
        <v>1</v>
      </c>
      <c r="L7" s="9">
        <v>21140.214981000001</v>
      </c>
      <c r="M7" s="9">
        <v>1227.25</v>
      </c>
      <c r="N7" s="9">
        <v>6436.5860949999997</v>
      </c>
      <c r="O7" s="9">
        <v>1336.616172</v>
      </c>
      <c r="P7" s="9">
        <v>506.42042600000002</v>
      </c>
      <c r="Q7" s="9">
        <v>3465.8594360000002</v>
      </c>
      <c r="R7" s="9">
        <v>0</v>
      </c>
      <c r="S7" s="9">
        <v>0</v>
      </c>
      <c r="T7" s="9">
        <v>11237.76945</v>
      </c>
      <c r="U7" s="9">
        <v>1962.782796</v>
      </c>
      <c r="V7" s="20">
        <v>816.75591499999996</v>
      </c>
      <c r="W7" s="280"/>
    </row>
    <row r="8" spans="1:23" ht="16">
      <c r="B8" s="4" t="s">
        <v>1</v>
      </c>
      <c r="C8" s="12" t="s">
        <v>1</v>
      </c>
      <c r="D8" s="12" t="s">
        <v>1</v>
      </c>
      <c r="E8" s="12" t="s">
        <v>1</v>
      </c>
      <c r="F8" s="12" t="s">
        <v>1</v>
      </c>
      <c r="G8" s="12" t="s">
        <v>1</v>
      </c>
      <c r="H8" s="12" t="s">
        <v>1</v>
      </c>
      <c r="I8" s="12" t="s">
        <v>1</v>
      </c>
      <c r="J8" s="4" t="s">
        <v>27</v>
      </c>
      <c r="K8" s="13" t="s">
        <v>1</v>
      </c>
      <c r="L8" s="9">
        <v>21140.214981000001</v>
      </c>
      <c r="M8" s="9">
        <v>1227.25</v>
      </c>
      <c r="N8" s="9">
        <v>6436.5860949999997</v>
      </c>
      <c r="O8" s="9">
        <v>1336.616172</v>
      </c>
      <c r="P8" s="9">
        <v>506.42042600000002</v>
      </c>
      <c r="Q8" s="9">
        <v>3465.8594360000002</v>
      </c>
      <c r="R8" s="9">
        <v>0</v>
      </c>
      <c r="S8" s="9">
        <v>0</v>
      </c>
      <c r="T8" s="9">
        <v>11237.76945</v>
      </c>
      <c r="U8" s="9">
        <v>1962.782796</v>
      </c>
      <c r="V8" s="20">
        <v>816.75591499999996</v>
      </c>
      <c r="W8" s="281"/>
    </row>
    <row r="10" spans="1:23" ht="15" thickBot="1"/>
    <row r="11" spans="1:23" ht="15.5">
      <c r="A11" s="282" t="s">
        <v>43</v>
      </c>
      <c r="B11" s="283"/>
      <c r="C11" s="283"/>
      <c r="D11" s="283"/>
      <c r="E11" s="284"/>
      <c r="G11" s="282" t="s">
        <v>44</v>
      </c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4"/>
    </row>
    <row r="12" spans="1:23" ht="78.5" thickBot="1">
      <c r="A12" s="252" t="s">
        <v>34</v>
      </c>
      <c r="B12" s="253"/>
      <c r="C12" s="264" t="s">
        <v>35</v>
      </c>
      <c r="D12" s="253"/>
      <c r="E12" s="39" t="s">
        <v>40</v>
      </c>
      <c r="F12" s="57"/>
      <c r="G12" s="30" t="s">
        <v>4</v>
      </c>
      <c r="H12" s="29" t="s">
        <v>5</v>
      </c>
      <c r="I12" s="29" t="s">
        <v>6</v>
      </c>
      <c r="J12" s="29" t="s">
        <v>7</v>
      </c>
      <c r="K12" s="29" t="s">
        <v>28</v>
      </c>
      <c r="L12" s="29" t="s">
        <v>29</v>
      </c>
      <c r="M12" s="29" t="s">
        <v>13</v>
      </c>
      <c r="N12" s="272" t="s">
        <v>14</v>
      </c>
      <c r="O12" s="273"/>
      <c r="P12" s="274"/>
      <c r="Q12" s="272" t="s">
        <v>15</v>
      </c>
      <c r="R12" s="273"/>
      <c r="S12" s="274"/>
      <c r="T12" s="272" t="s">
        <v>16</v>
      </c>
      <c r="U12" s="273"/>
      <c r="V12" s="275"/>
    </row>
    <row r="13" spans="1:23" ht="39">
      <c r="A13" s="238" t="s">
        <v>36</v>
      </c>
      <c r="B13" s="239"/>
      <c r="C13" s="239"/>
      <c r="D13" s="269"/>
      <c r="E13" s="244" t="s">
        <v>14</v>
      </c>
      <c r="F13" s="25"/>
      <c r="G13" s="31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4" t="s">
        <v>1</v>
      </c>
      <c r="N13" s="4" t="s">
        <v>0</v>
      </c>
      <c r="O13" s="4" t="s">
        <v>17</v>
      </c>
      <c r="P13" s="27" t="s">
        <v>18</v>
      </c>
      <c r="Q13" s="4" t="s">
        <v>0</v>
      </c>
      <c r="R13" s="4" t="s">
        <v>17</v>
      </c>
      <c r="S13" s="4" t="s">
        <v>18</v>
      </c>
      <c r="T13" s="4" t="s">
        <v>0</v>
      </c>
      <c r="U13" s="4" t="s">
        <v>17</v>
      </c>
      <c r="V13" s="32" t="s">
        <v>18</v>
      </c>
    </row>
    <row r="14" spans="1:23" ht="28.5" customHeight="1">
      <c r="A14" s="240" t="s">
        <v>37</v>
      </c>
      <c r="B14" s="241"/>
      <c r="C14" s="241"/>
      <c r="D14" s="270"/>
      <c r="E14" s="245"/>
      <c r="F14" s="25"/>
      <c r="G14" s="58" t="s">
        <v>48</v>
      </c>
      <c r="H14" s="59" t="s">
        <v>23</v>
      </c>
      <c r="I14" s="7" t="s">
        <v>24</v>
      </c>
      <c r="J14" s="7" t="s">
        <v>24</v>
      </c>
      <c r="K14" s="9">
        <v>2317000</v>
      </c>
      <c r="L14" s="9">
        <v>35.619999999999997</v>
      </c>
      <c r="M14" s="60"/>
      <c r="N14" s="15">
        <f>(650000/K14)*L14</f>
        <v>9.9926629261976689</v>
      </c>
      <c r="O14" s="15">
        <f>(N14*60%)*34.61%</f>
        <v>2.0750763832542081</v>
      </c>
      <c r="P14" s="15">
        <f>(N14*40%)*19.67%</f>
        <v>0.78622271903323271</v>
      </c>
      <c r="Q14" s="61">
        <f>(350000/K14)*L14</f>
        <v>5.3806646525679751</v>
      </c>
      <c r="R14" s="15"/>
      <c r="S14" s="15"/>
      <c r="T14" s="15">
        <f>(K14-1000000)/K14*L14</f>
        <v>20.246672421234354</v>
      </c>
      <c r="U14" s="15">
        <f>(T14*60%)*29.11%</f>
        <v>3.5362838050927921</v>
      </c>
      <c r="V14" s="15">
        <f>(T14*40%)*18.17%</f>
        <v>1.4715281515753131</v>
      </c>
    </row>
    <row r="15" spans="1:23" ht="19" customHeight="1">
      <c r="A15" s="240" t="s">
        <v>38</v>
      </c>
      <c r="B15" s="241"/>
      <c r="C15" s="241"/>
      <c r="D15" s="270"/>
      <c r="E15" s="245"/>
      <c r="F15" s="25"/>
      <c r="G15" s="34" t="s">
        <v>1</v>
      </c>
      <c r="H15" s="12" t="s">
        <v>1</v>
      </c>
      <c r="I15" s="24" t="s">
        <v>33</v>
      </c>
      <c r="J15" s="12" t="s">
        <v>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33"/>
    </row>
    <row r="16" spans="1:23" ht="15" customHeight="1" thickBot="1">
      <c r="A16" s="242" t="s">
        <v>39</v>
      </c>
      <c r="B16" s="243"/>
      <c r="C16" s="243"/>
      <c r="D16" s="271"/>
      <c r="E16" s="246"/>
      <c r="F16" s="25"/>
    </row>
    <row r="17" spans="1:21" ht="14.5" customHeight="1">
      <c r="A17" s="238" t="s">
        <v>36</v>
      </c>
      <c r="B17" s="239"/>
      <c r="C17" s="239"/>
      <c r="D17" s="269"/>
      <c r="E17" s="244" t="s">
        <v>16</v>
      </c>
      <c r="F17" s="25"/>
    </row>
    <row r="18" spans="1:21" ht="17.5" customHeight="1">
      <c r="A18" s="240" t="s">
        <v>37</v>
      </c>
      <c r="B18" s="241"/>
      <c r="C18" s="241"/>
      <c r="D18" s="270"/>
      <c r="E18" s="245"/>
      <c r="F18" s="25"/>
      <c r="I18" s="77" t="s">
        <v>61</v>
      </c>
      <c r="J18" s="77"/>
      <c r="K18" s="77"/>
      <c r="L18" s="77"/>
      <c r="M18" s="77"/>
      <c r="N18" s="77"/>
      <c r="O18" s="77"/>
      <c r="P18" s="75"/>
      <c r="Q18" s="75"/>
      <c r="R18" s="28"/>
      <c r="S18" s="28"/>
      <c r="T18" s="28"/>
      <c r="U18" s="28"/>
    </row>
    <row r="19" spans="1:21" ht="14.5" customHeight="1">
      <c r="A19" s="240" t="s">
        <v>41</v>
      </c>
      <c r="B19" s="241"/>
      <c r="C19" s="241"/>
      <c r="D19" s="270"/>
      <c r="E19" s="245"/>
      <c r="F19" s="25"/>
      <c r="I19" s="78"/>
      <c r="J19" s="78"/>
      <c r="K19" s="78"/>
      <c r="L19" s="78"/>
      <c r="M19" s="78"/>
      <c r="N19" s="78"/>
      <c r="O19" s="78"/>
      <c r="P19" s="28"/>
      <c r="Q19" s="28"/>
      <c r="R19" s="28"/>
      <c r="S19" s="28"/>
      <c r="T19" s="28"/>
      <c r="U19" s="28"/>
    </row>
    <row r="20" spans="1:21" ht="15" customHeight="1" thickBot="1">
      <c r="A20" s="242" t="s">
        <v>42</v>
      </c>
      <c r="B20" s="243"/>
      <c r="C20" s="243"/>
      <c r="D20" s="271"/>
      <c r="E20" s="246"/>
      <c r="F20" s="25"/>
      <c r="I20" s="83" t="s">
        <v>68</v>
      </c>
      <c r="J20" s="84"/>
      <c r="K20" s="84"/>
    </row>
    <row r="32" spans="1:21">
      <c r="K32" s="184">
        <v>45396</v>
      </c>
    </row>
    <row r="34" spans="11:11">
      <c r="K34" s="184">
        <v>45413</v>
      </c>
    </row>
    <row r="36" spans="11:11">
      <c r="K36">
        <f>K34-K32</f>
        <v>17</v>
      </c>
    </row>
  </sheetData>
  <mergeCells count="21">
    <mergeCell ref="N2:P2"/>
    <mergeCell ref="Q2:S2"/>
    <mergeCell ref="T2:V2"/>
    <mergeCell ref="W4:W8"/>
    <mergeCell ref="A11:E11"/>
    <mergeCell ref="G11:V11"/>
    <mergeCell ref="A13:D13"/>
    <mergeCell ref="E13:E16"/>
    <mergeCell ref="A14:D14"/>
    <mergeCell ref="A15:D15"/>
    <mergeCell ref="A16:D16"/>
    <mergeCell ref="A12:B12"/>
    <mergeCell ref="C12:D12"/>
    <mergeCell ref="N12:P12"/>
    <mergeCell ref="Q12:S12"/>
    <mergeCell ref="T12:V12"/>
    <mergeCell ref="A17:D17"/>
    <mergeCell ref="E17:E20"/>
    <mergeCell ref="A18:D18"/>
    <mergeCell ref="A19:D19"/>
    <mergeCell ref="A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DA7E-10B9-4930-A5D8-609CC4F3AD33}">
  <sheetPr codeName="Sheet5"/>
  <dimension ref="A1:U20"/>
  <sheetViews>
    <sheetView zoomScale="60" zoomScaleNormal="60" workbookViewId="0">
      <selection activeCell="E4" sqref="E4:F4"/>
    </sheetView>
  </sheetViews>
  <sheetFormatPr defaultRowHeight="14.5"/>
  <cols>
    <col min="3" max="3" width="18" customWidth="1"/>
    <col min="7" max="7" width="18.36328125" customWidth="1"/>
    <col min="8" max="8" width="14" customWidth="1"/>
    <col min="9" max="9" width="16" customWidth="1"/>
    <col min="10" max="10" width="17.08984375" customWidth="1"/>
    <col min="11" max="11" width="14.90625" customWidth="1"/>
    <col min="12" max="12" width="13.453125" customWidth="1"/>
    <col min="13" max="13" width="12.08984375" customWidth="1"/>
    <col min="14" max="14" width="13" customWidth="1"/>
    <col min="15" max="15" width="11.6328125" customWidth="1"/>
    <col min="16" max="16" width="12.81640625" customWidth="1"/>
    <col min="17" max="17" width="11.453125" customWidth="1"/>
    <col min="18" max="18" width="13.26953125" customWidth="1"/>
    <col min="19" max="19" width="14.453125" customWidth="1"/>
    <col min="20" max="20" width="12.1796875" customWidth="1"/>
    <col min="21" max="21" width="12.08984375" customWidth="1"/>
  </cols>
  <sheetData>
    <row r="1" spans="1:21" ht="18.5">
      <c r="A1" s="285" t="s">
        <v>46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</row>
    <row r="2" spans="1:21" ht="43.5" customHeight="1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276" t="s">
        <v>14</v>
      </c>
      <c r="N2" s="277"/>
      <c r="O2" s="278"/>
      <c r="P2" s="276" t="s">
        <v>15</v>
      </c>
      <c r="Q2" s="277"/>
      <c r="R2" s="277"/>
      <c r="S2" s="286" t="s">
        <v>47</v>
      </c>
      <c r="T2" s="286"/>
    </row>
    <row r="3" spans="1:21" ht="39">
      <c r="A3" s="4" t="s">
        <v>1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0</v>
      </c>
      <c r="N3" s="4" t="s">
        <v>17</v>
      </c>
      <c r="O3" s="4" t="s">
        <v>18</v>
      </c>
      <c r="P3" s="4" t="s">
        <v>0</v>
      </c>
      <c r="Q3" s="4" t="s">
        <v>17</v>
      </c>
      <c r="R3" s="19" t="s">
        <v>18</v>
      </c>
      <c r="S3" s="287"/>
      <c r="T3" s="287"/>
    </row>
    <row r="4" spans="1:21" ht="28.5" customHeight="1">
      <c r="A4" s="5" t="s">
        <v>19</v>
      </c>
      <c r="B4" s="6" t="s">
        <v>21</v>
      </c>
      <c r="C4" s="6" t="s">
        <v>48</v>
      </c>
      <c r="D4" s="6" t="s">
        <v>23</v>
      </c>
      <c r="E4" s="7" t="s">
        <v>26</v>
      </c>
      <c r="F4" s="7" t="s">
        <v>24</v>
      </c>
      <c r="G4" s="7" t="s">
        <v>25</v>
      </c>
      <c r="H4" s="8">
        <v>45352</v>
      </c>
      <c r="I4" s="8">
        <v>45596</v>
      </c>
      <c r="J4" s="8">
        <v>45515.481583483801</v>
      </c>
      <c r="K4" s="15">
        <v>-31.963899999999999</v>
      </c>
      <c r="L4" s="9">
        <v>0</v>
      </c>
      <c r="M4" s="17">
        <v>-20.776534999999999</v>
      </c>
      <c r="N4" s="15">
        <v>-4.3144549999999997</v>
      </c>
      <c r="O4" s="15">
        <v>-1.6346970000000001</v>
      </c>
      <c r="P4" s="15">
        <v>-11.187365</v>
      </c>
      <c r="Q4" s="9">
        <v>0</v>
      </c>
      <c r="R4" s="20">
        <v>0</v>
      </c>
      <c r="S4" s="288" t="s">
        <v>65</v>
      </c>
      <c r="T4" s="289"/>
    </row>
    <row r="5" spans="1:21">
      <c r="A5" s="4" t="s">
        <v>1</v>
      </c>
      <c r="B5" s="12" t="s">
        <v>1</v>
      </c>
      <c r="C5" s="12" t="s">
        <v>1</v>
      </c>
      <c r="D5" s="12" t="s">
        <v>1</v>
      </c>
      <c r="E5" s="12" t="s">
        <v>1</v>
      </c>
      <c r="F5" s="12" t="s">
        <v>1</v>
      </c>
      <c r="G5" s="12" t="s">
        <v>1</v>
      </c>
      <c r="H5" s="12" t="s">
        <v>1</v>
      </c>
      <c r="I5" s="4" t="s">
        <v>27</v>
      </c>
      <c r="J5" s="4" t="s">
        <v>1</v>
      </c>
      <c r="K5" s="9">
        <v>-31.963899999999999</v>
      </c>
      <c r="L5" s="9">
        <v>0</v>
      </c>
      <c r="M5" s="9">
        <v>-20.776534999999999</v>
      </c>
      <c r="N5" s="9">
        <v>-4.3144549999999997</v>
      </c>
      <c r="O5" s="9">
        <v>-1.6346970000000001</v>
      </c>
      <c r="P5" s="9">
        <v>-11.187365</v>
      </c>
      <c r="Q5" s="9">
        <v>0</v>
      </c>
      <c r="R5" s="20">
        <v>0</v>
      </c>
      <c r="S5" s="290"/>
      <c r="T5" s="291"/>
    </row>
    <row r="6" spans="1:21" ht="16">
      <c r="A6" s="4" t="s">
        <v>1</v>
      </c>
      <c r="B6" s="12" t="s">
        <v>1</v>
      </c>
      <c r="C6" s="12" t="s">
        <v>1</v>
      </c>
      <c r="D6" s="12" t="s">
        <v>1</v>
      </c>
      <c r="E6" s="12" t="s">
        <v>1</v>
      </c>
      <c r="F6" s="12" t="s">
        <v>1</v>
      </c>
      <c r="G6" s="12" t="s">
        <v>1</v>
      </c>
      <c r="H6" s="12" t="s">
        <v>1</v>
      </c>
      <c r="I6" s="4" t="s">
        <v>27</v>
      </c>
      <c r="J6" s="13" t="s">
        <v>1</v>
      </c>
      <c r="K6" s="9">
        <v>-31.963899999999999</v>
      </c>
      <c r="L6" s="9">
        <v>0</v>
      </c>
      <c r="M6" s="9">
        <v>-20.776534999999999</v>
      </c>
      <c r="N6" s="9">
        <v>-4.3144549999999997</v>
      </c>
      <c r="O6" s="9">
        <v>-1.6346970000000001</v>
      </c>
      <c r="P6" s="9">
        <v>-11.187365</v>
      </c>
      <c r="Q6" s="9">
        <v>0</v>
      </c>
      <c r="R6" s="20">
        <v>0</v>
      </c>
      <c r="S6" s="292"/>
      <c r="T6" s="293"/>
    </row>
    <row r="9" spans="1:21" ht="15" thickBot="1"/>
    <row r="10" spans="1:21" ht="15.5">
      <c r="A10" s="261" t="s">
        <v>43</v>
      </c>
      <c r="B10" s="262"/>
      <c r="C10" s="262"/>
      <c r="D10" s="263"/>
      <c r="F10" s="282" t="s">
        <v>44</v>
      </c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4"/>
    </row>
    <row r="11" spans="1:21" ht="58.5" thickBot="1">
      <c r="A11" s="62" t="s">
        <v>34</v>
      </c>
      <c r="B11" s="264" t="s">
        <v>64</v>
      </c>
      <c r="C11" s="253"/>
      <c r="D11" s="39" t="s">
        <v>40</v>
      </c>
      <c r="F11" s="30" t="s">
        <v>4</v>
      </c>
      <c r="G11" s="29" t="s">
        <v>5</v>
      </c>
      <c r="H11" s="29" t="s">
        <v>6</v>
      </c>
      <c r="I11" s="29" t="s">
        <v>7</v>
      </c>
      <c r="J11" s="29" t="s">
        <v>28</v>
      </c>
      <c r="K11" s="29" t="s">
        <v>29</v>
      </c>
      <c r="L11" s="29" t="s">
        <v>13</v>
      </c>
      <c r="M11" s="272" t="s">
        <v>14</v>
      </c>
      <c r="N11" s="273"/>
      <c r="O11" s="274"/>
      <c r="P11" s="272" t="s">
        <v>15</v>
      </c>
      <c r="Q11" s="273"/>
      <c r="R11" s="274"/>
      <c r="S11" s="272" t="s">
        <v>16</v>
      </c>
      <c r="T11" s="273"/>
      <c r="U11" s="275"/>
    </row>
    <row r="12" spans="1:21" ht="39">
      <c r="A12" s="238" t="s">
        <v>36</v>
      </c>
      <c r="B12" s="239"/>
      <c r="C12" s="239"/>
      <c r="D12" s="244" t="s">
        <v>14</v>
      </c>
      <c r="F12" s="31" t="s">
        <v>1</v>
      </c>
      <c r="G12" s="4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4" t="s">
        <v>0</v>
      </c>
      <c r="N12" s="4" t="s">
        <v>17</v>
      </c>
      <c r="O12" s="27" t="s">
        <v>18</v>
      </c>
      <c r="P12" s="4" t="s">
        <v>0</v>
      </c>
      <c r="Q12" s="4" t="s">
        <v>17</v>
      </c>
      <c r="R12" s="4" t="s">
        <v>18</v>
      </c>
      <c r="S12" s="4" t="s">
        <v>0</v>
      </c>
      <c r="T12" s="4" t="s">
        <v>17</v>
      </c>
      <c r="U12" s="32" t="s">
        <v>18</v>
      </c>
    </row>
    <row r="13" spans="1:21" ht="25">
      <c r="A13" s="240" t="s">
        <v>37</v>
      </c>
      <c r="B13" s="241"/>
      <c r="C13" s="241"/>
      <c r="D13" s="245"/>
      <c r="F13" s="58" t="s">
        <v>48</v>
      </c>
      <c r="G13" s="63" t="s">
        <v>23</v>
      </c>
      <c r="H13" s="7" t="s">
        <v>24</v>
      </c>
      <c r="I13" s="7" t="s">
        <v>24</v>
      </c>
      <c r="J13" s="9">
        <v>135000</v>
      </c>
      <c r="K13" s="9">
        <v>-31.96</v>
      </c>
      <c r="L13" s="9"/>
      <c r="M13" s="9">
        <f>K13*0.65</f>
        <v>-20.774000000000001</v>
      </c>
      <c r="N13" s="9">
        <f>(M13*60%)*34.61%</f>
        <v>-4.31392884</v>
      </c>
      <c r="O13" s="9">
        <f>(M13*40%)*19.67%</f>
        <v>-1.6344983200000005</v>
      </c>
      <c r="P13" s="9">
        <f>K13*0.35</f>
        <v>-11.186</v>
      </c>
      <c r="Q13" s="9"/>
      <c r="R13" s="9"/>
      <c r="S13" s="9"/>
      <c r="T13" s="9"/>
      <c r="U13" s="9"/>
    </row>
    <row r="14" spans="1:21">
      <c r="A14" s="240" t="s">
        <v>38</v>
      </c>
      <c r="B14" s="241"/>
      <c r="C14" s="241"/>
      <c r="D14" s="245"/>
      <c r="F14" s="34" t="s">
        <v>1</v>
      </c>
      <c r="G14" s="12" t="s">
        <v>1</v>
      </c>
      <c r="H14" s="24" t="s">
        <v>33</v>
      </c>
      <c r="I14" s="12" t="s">
        <v>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33"/>
    </row>
    <row r="15" spans="1:21" ht="15" thickBot="1">
      <c r="A15" s="242" t="s">
        <v>39</v>
      </c>
      <c r="B15" s="243"/>
      <c r="C15" s="243"/>
      <c r="D15" s="246"/>
    </row>
    <row r="16" spans="1:21">
      <c r="A16" s="238" t="s">
        <v>36</v>
      </c>
      <c r="B16" s="239"/>
      <c r="C16" s="239"/>
      <c r="D16" s="244" t="s">
        <v>16</v>
      </c>
    </row>
    <row r="17" spans="1:13">
      <c r="A17" s="240" t="s">
        <v>37</v>
      </c>
      <c r="B17" s="241"/>
      <c r="C17" s="241"/>
      <c r="D17" s="245"/>
    </row>
    <row r="18" spans="1:13" ht="18.5">
      <c r="A18" s="240" t="s">
        <v>41</v>
      </c>
      <c r="B18" s="241"/>
      <c r="C18" s="241"/>
      <c r="D18" s="245"/>
      <c r="G18" s="77" t="s">
        <v>62</v>
      </c>
      <c r="H18" s="76"/>
      <c r="I18" s="76"/>
      <c r="J18" s="76"/>
      <c r="K18" s="76"/>
      <c r="L18" s="76"/>
      <c r="M18" s="76"/>
    </row>
    <row r="19" spans="1:13" ht="15" thickBot="1">
      <c r="A19" s="242" t="s">
        <v>42</v>
      </c>
      <c r="B19" s="243"/>
      <c r="C19" s="243"/>
      <c r="D19" s="246"/>
    </row>
    <row r="20" spans="1:13" ht="18.5">
      <c r="G20" s="83" t="s">
        <v>63</v>
      </c>
      <c r="H20" s="83"/>
      <c r="I20" s="76"/>
    </row>
  </sheetData>
  <mergeCells count="22">
    <mergeCell ref="A1:T1"/>
    <mergeCell ref="A12:C12"/>
    <mergeCell ref="D12:D15"/>
    <mergeCell ref="A13:C13"/>
    <mergeCell ref="A14:C14"/>
    <mergeCell ref="A15:C15"/>
    <mergeCell ref="S2:T2"/>
    <mergeCell ref="S3:T3"/>
    <mergeCell ref="S4:T6"/>
    <mergeCell ref="B11:C11"/>
    <mergeCell ref="M11:O11"/>
    <mergeCell ref="P11:R11"/>
    <mergeCell ref="S11:U11"/>
    <mergeCell ref="M2:O2"/>
    <mergeCell ref="P2:R2"/>
    <mergeCell ref="A10:D10"/>
    <mergeCell ref="F10:U10"/>
    <mergeCell ref="A16:C16"/>
    <mergeCell ref="D16:D19"/>
    <mergeCell ref="A17:C17"/>
    <mergeCell ref="A18:C18"/>
    <mergeCell ref="A19:C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32EA-A742-4EA1-A68E-C837B69699C5}">
  <sheetPr codeName="Sheet6"/>
  <dimension ref="A1:W24"/>
  <sheetViews>
    <sheetView zoomScale="60" zoomScaleNormal="60" workbookViewId="0">
      <selection activeCell="S16" sqref="S16"/>
    </sheetView>
  </sheetViews>
  <sheetFormatPr defaultRowHeight="14.5"/>
  <cols>
    <col min="1" max="1" width="7.81640625" customWidth="1"/>
    <col min="2" max="2" width="9.54296875" customWidth="1"/>
    <col min="3" max="3" width="16.54296875" customWidth="1"/>
    <col min="4" max="4" width="17.08984375" customWidth="1"/>
    <col min="5" max="5" width="7.08984375" customWidth="1"/>
    <col min="6" max="6" width="11.36328125" customWidth="1"/>
    <col min="7" max="7" width="10.1796875" customWidth="1"/>
    <col min="8" max="8" width="16.453125" customWidth="1"/>
    <col min="9" max="9" width="15.81640625" customWidth="1"/>
    <col min="10" max="10" width="14.54296875" customWidth="1"/>
    <col min="11" max="11" width="11.7265625" customWidth="1"/>
    <col min="12" max="12" width="12.90625" customWidth="1"/>
    <col min="13" max="13" width="14.7265625" customWidth="1"/>
    <col min="14" max="14" width="14.54296875" customWidth="1"/>
    <col min="15" max="15" width="12.1796875" customWidth="1"/>
    <col min="16" max="16" width="15.1796875" customWidth="1"/>
    <col min="17" max="17" width="9" customWidth="1"/>
    <col min="18" max="18" width="8.1796875" customWidth="1"/>
    <col min="19" max="19" width="11.81640625" customWidth="1"/>
    <col min="20" max="20" width="10.6328125" customWidth="1"/>
    <col min="21" max="21" width="15.1796875" customWidth="1"/>
    <col min="22" max="22" width="8.81640625" customWidth="1"/>
    <col min="23" max="23" width="11" customWidth="1"/>
  </cols>
  <sheetData>
    <row r="1" spans="1:23" ht="21">
      <c r="A1" s="294" t="s">
        <v>67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</row>
    <row r="2" spans="1:23" ht="26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276" t="s">
        <v>14</v>
      </c>
      <c r="N2" s="277"/>
      <c r="O2" s="278"/>
      <c r="P2" s="276" t="s">
        <v>15</v>
      </c>
      <c r="Q2" s="277"/>
      <c r="R2" s="278"/>
      <c r="S2" s="276" t="s">
        <v>16</v>
      </c>
      <c r="T2" s="277"/>
      <c r="U2" s="278"/>
    </row>
    <row r="3" spans="1:23" ht="39">
      <c r="A3" s="4" t="s">
        <v>1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0</v>
      </c>
      <c r="N3" s="4" t="s">
        <v>17</v>
      </c>
      <c r="O3" s="4" t="s">
        <v>18</v>
      </c>
      <c r="P3" s="4" t="s">
        <v>0</v>
      </c>
      <c r="Q3" s="88" t="s">
        <v>17</v>
      </c>
      <c r="R3" s="88" t="s">
        <v>18</v>
      </c>
      <c r="S3" s="4" t="s">
        <v>0</v>
      </c>
      <c r="T3" s="4" t="s">
        <v>17</v>
      </c>
      <c r="U3" s="19" t="s">
        <v>18</v>
      </c>
      <c r="V3" s="295" t="s">
        <v>30</v>
      </c>
      <c r="W3" s="295"/>
    </row>
    <row r="4" spans="1:23" ht="27.5" customHeight="1">
      <c r="A4" s="5" t="s">
        <v>19</v>
      </c>
      <c r="B4" s="6" t="s">
        <v>21</v>
      </c>
      <c r="C4" s="6" t="s">
        <v>48</v>
      </c>
      <c r="D4" s="6" t="s">
        <v>23</v>
      </c>
      <c r="E4" s="7" t="s">
        <v>26</v>
      </c>
      <c r="F4" s="7" t="s">
        <v>24</v>
      </c>
      <c r="G4" s="7" t="s">
        <v>25</v>
      </c>
      <c r="H4" s="8">
        <v>45352</v>
      </c>
      <c r="I4" s="8">
        <v>45596</v>
      </c>
      <c r="J4" s="8">
        <v>45515.481583483801</v>
      </c>
      <c r="K4" s="9">
        <v>-31.963899999999999</v>
      </c>
      <c r="L4" s="9">
        <v>0</v>
      </c>
      <c r="M4" s="9">
        <v>-20.776534999999999</v>
      </c>
      <c r="N4" s="9">
        <v>-4.3144549999999997</v>
      </c>
      <c r="O4" s="9">
        <v>-1.6346970000000001</v>
      </c>
      <c r="P4" s="9">
        <v>-11.187365</v>
      </c>
      <c r="Q4" s="15">
        <v>0</v>
      </c>
      <c r="R4" s="15">
        <v>0</v>
      </c>
      <c r="S4" s="7"/>
      <c r="T4" s="7"/>
      <c r="U4" s="56"/>
      <c r="V4" s="296" t="s">
        <v>69</v>
      </c>
      <c r="W4" s="296"/>
    </row>
    <row r="5" spans="1:23" ht="25">
      <c r="A5" s="54"/>
      <c r="B5" s="55"/>
      <c r="C5" s="85" t="s">
        <v>66</v>
      </c>
      <c r="D5" s="108" t="s">
        <v>23</v>
      </c>
      <c r="E5" s="7" t="s">
        <v>24</v>
      </c>
      <c r="F5" s="7" t="s">
        <v>24</v>
      </c>
      <c r="G5" s="7" t="s">
        <v>25</v>
      </c>
      <c r="H5" s="8">
        <v>45597</v>
      </c>
      <c r="I5" s="8">
        <v>45961</v>
      </c>
      <c r="J5" s="8">
        <v>45515.621514317099</v>
      </c>
      <c r="K5" s="92">
        <v>19810.34</v>
      </c>
      <c r="L5" s="17">
        <v>390</v>
      </c>
      <c r="M5" s="17">
        <v>5557.5</v>
      </c>
      <c r="N5" s="17">
        <v>1154.06</v>
      </c>
      <c r="O5" s="17">
        <v>437.26</v>
      </c>
      <c r="P5" s="17">
        <v>2992.49</v>
      </c>
      <c r="Q5" s="15">
        <v>0</v>
      </c>
      <c r="R5" s="15">
        <v>0</v>
      </c>
      <c r="S5" s="17">
        <v>11260.35</v>
      </c>
      <c r="T5" s="17">
        <v>1966.73</v>
      </c>
      <c r="U5" s="91">
        <v>818.4</v>
      </c>
      <c r="V5" s="296"/>
      <c r="W5" s="296"/>
    </row>
    <row r="6" spans="1:23">
      <c r="A6" s="54"/>
      <c r="B6" s="55"/>
      <c r="C6" s="54"/>
      <c r="D6" s="109" t="s">
        <v>70</v>
      </c>
      <c r="E6" s="86" t="s">
        <v>24</v>
      </c>
      <c r="F6" s="7" t="s">
        <v>26</v>
      </c>
      <c r="G6" s="7" t="s">
        <v>25</v>
      </c>
      <c r="H6" s="8">
        <v>45597</v>
      </c>
      <c r="I6" s="8">
        <v>45961</v>
      </c>
      <c r="J6" s="8">
        <v>45515.621514317099</v>
      </c>
      <c r="K6" s="15">
        <v>12012</v>
      </c>
      <c r="L6" s="17">
        <v>390</v>
      </c>
      <c r="M6" s="15">
        <v>5005</v>
      </c>
      <c r="N6" s="92">
        <v>1039.33</v>
      </c>
      <c r="O6" s="15">
        <v>393.79</v>
      </c>
      <c r="P6" s="15">
        <v>2695</v>
      </c>
      <c r="Q6" s="15">
        <v>0</v>
      </c>
      <c r="R6" s="15">
        <v>0</v>
      </c>
      <c r="S6" s="15">
        <v>4312</v>
      </c>
      <c r="T6" s="15">
        <v>753.13</v>
      </c>
      <c r="U6" s="93">
        <v>313.39</v>
      </c>
      <c r="V6" s="296"/>
      <c r="W6" s="296"/>
    </row>
    <row r="7" spans="1:23">
      <c r="A7" s="10"/>
      <c r="B7" s="11"/>
      <c r="C7" s="11"/>
      <c r="D7" s="10"/>
      <c r="E7" s="7" t="s">
        <v>26</v>
      </c>
      <c r="F7" s="7" t="s">
        <v>24</v>
      </c>
      <c r="G7" s="7" t="s">
        <v>25</v>
      </c>
      <c r="H7" s="8">
        <v>45597</v>
      </c>
      <c r="I7" s="8">
        <v>45961</v>
      </c>
      <c r="J7" s="8">
        <v>45515.621514317099</v>
      </c>
      <c r="K7" s="92">
        <v>1289.24</v>
      </c>
      <c r="L7" s="17">
        <v>390</v>
      </c>
      <c r="M7" s="15">
        <v>838.01</v>
      </c>
      <c r="N7" s="15">
        <v>174.02</v>
      </c>
      <c r="O7" s="15">
        <v>65.930000000000007</v>
      </c>
      <c r="P7" s="15">
        <v>451.23</v>
      </c>
      <c r="Q7" s="15">
        <v>0</v>
      </c>
      <c r="R7" s="15">
        <v>0</v>
      </c>
      <c r="S7" s="16"/>
      <c r="T7" s="16"/>
      <c r="U7" s="21"/>
      <c r="V7" s="296"/>
      <c r="W7" s="296"/>
    </row>
    <row r="8" spans="1:23">
      <c r="A8" s="4" t="s">
        <v>1</v>
      </c>
      <c r="B8" s="12" t="s">
        <v>1</v>
      </c>
      <c r="C8" s="12" t="s">
        <v>1</v>
      </c>
      <c r="D8" s="12" t="s">
        <v>1</v>
      </c>
      <c r="E8" s="12" t="s">
        <v>1</v>
      </c>
      <c r="F8" s="12" t="s">
        <v>1</v>
      </c>
      <c r="G8" s="12" t="s">
        <v>1</v>
      </c>
      <c r="H8" s="12" t="s">
        <v>1</v>
      </c>
      <c r="I8" s="4" t="s">
        <v>27</v>
      </c>
      <c r="J8" s="4" t="s">
        <v>1</v>
      </c>
      <c r="K8" s="9">
        <v>33079.616099999999</v>
      </c>
      <c r="L8" s="9">
        <v>1170</v>
      </c>
      <c r="M8" s="9">
        <v>11379.733464999999</v>
      </c>
      <c r="N8" s="9">
        <v>2363.0955450000001</v>
      </c>
      <c r="O8" s="9">
        <v>895.34530299999994</v>
      </c>
      <c r="P8" s="9">
        <v>6127.5326349999996</v>
      </c>
      <c r="Q8" s="15">
        <v>0</v>
      </c>
      <c r="R8" s="15">
        <v>0</v>
      </c>
      <c r="S8" s="9">
        <v>15572.35</v>
      </c>
      <c r="T8" s="9">
        <v>2719.86</v>
      </c>
      <c r="U8" s="20">
        <v>1131.79</v>
      </c>
      <c r="V8" s="296"/>
      <c r="W8" s="296"/>
    </row>
    <row r="9" spans="1:23" ht="16">
      <c r="A9" s="4" t="s">
        <v>1</v>
      </c>
      <c r="B9" s="12" t="s">
        <v>1</v>
      </c>
      <c r="C9" s="12" t="s">
        <v>1</v>
      </c>
      <c r="D9" s="12" t="s">
        <v>1</v>
      </c>
      <c r="E9" s="12" t="s">
        <v>1</v>
      </c>
      <c r="F9" s="12" t="s">
        <v>1</v>
      </c>
      <c r="G9" s="12" t="s">
        <v>1</v>
      </c>
      <c r="H9" s="12" t="s">
        <v>1</v>
      </c>
      <c r="I9" s="4" t="s">
        <v>27</v>
      </c>
      <c r="J9" s="13" t="s">
        <v>1</v>
      </c>
      <c r="K9" s="9">
        <v>33079.616099999999</v>
      </c>
      <c r="L9" s="9">
        <v>1170</v>
      </c>
      <c r="M9" s="9">
        <v>11379.733464999999</v>
      </c>
      <c r="N9" s="9">
        <v>2363.0955450000001</v>
      </c>
      <c r="O9" s="9">
        <v>895.34530299999994</v>
      </c>
      <c r="P9" s="9">
        <v>6127.5326349999996</v>
      </c>
      <c r="Q9" s="15">
        <v>0</v>
      </c>
      <c r="R9" s="15">
        <v>0</v>
      </c>
      <c r="S9" s="9">
        <v>15572.35</v>
      </c>
      <c r="T9" s="9">
        <v>2719.86</v>
      </c>
      <c r="U9" s="20">
        <v>1131.79</v>
      </c>
      <c r="V9" s="296"/>
      <c r="W9" s="296"/>
    </row>
    <row r="11" spans="1:23" ht="15" thickBot="1"/>
    <row r="12" spans="1:23" ht="15.5">
      <c r="A12" s="261" t="s">
        <v>43</v>
      </c>
      <c r="B12" s="262"/>
      <c r="C12" s="262"/>
      <c r="D12" s="263"/>
      <c r="F12" s="282" t="s">
        <v>44</v>
      </c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4"/>
    </row>
    <row r="13" spans="1:23" ht="44.5" customHeight="1" thickBot="1">
      <c r="A13" s="62" t="s">
        <v>34</v>
      </c>
      <c r="B13" s="264" t="s">
        <v>64</v>
      </c>
      <c r="C13" s="253"/>
      <c r="D13" s="39" t="s">
        <v>40</v>
      </c>
      <c r="F13" s="30" t="s">
        <v>4</v>
      </c>
      <c r="G13" s="29" t="s">
        <v>5</v>
      </c>
      <c r="H13" s="29" t="s">
        <v>6</v>
      </c>
      <c r="I13" s="29" t="s">
        <v>7</v>
      </c>
      <c r="J13" s="29" t="s">
        <v>28</v>
      </c>
      <c r="K13" s="29" t="s">
        <v>29</v>
      </c>
      <c r="L13" s="29" t="s">
        <v>13</v>
      </c>
      <c r="M13" s="272" t="s">
        <v>14</v>
      </c>
      <c r="N13" s="273"/>
      <c r="O13" s="274"/>
      <c r="P13" s="272" t="s">
        <v>15</v>
      </c>
      <c r="Q13" s="273"/>
      <c r="R13" s="274"/>
      <c r="S13" s="272" t="s">
        <v>16</v>
      </c>
      <c r="T13" s="273"/>
      <c r="U13" s="275"/>
    </row>
    <row r="14" spans="1:23" ht="17" customHeight="1">
      <c r="A14" s="238" t="s">
        <v>36</v>
      </c>
      <c r="B14" s="239"/>
      <c r="C14" s="239"/>
      <c r="D14" s="244" t="s">
        <v>14</v>
      </c>
      <c r="F14" s="87" t="s">
        <v>1</v>
      </c>
      <c r="G14" s="27" t="s">
        <v>1</v>
      </c>
      <c r="H14" s="4" t="s">
        <v>1</v>
      </c>
      <c r="I14" s="4" t="s">
        <v>1</v>
      </c>
      <c r="J14" s="27" t="s">
        <v>1</v>
      </c>
      <c r="K14" s="27" t="s">
        <v>1</v>
      </c>
      <c r="L14" s="27" t="s">
        <v>1</v>
      </c>
      <c r="M14" s="4" t="s">
        <v>0</v>
      </c>
      <c r="N14" s="4" t="s">
        <v>17</v>
      </c>
      <c r="O14" s="27" t="s">
        <v>18</v>
      </c>
      <c r="P14" s="4" t="s">
        <v>0</v>
      </c>
      <c r="Q14" s="4" t="s">
        <v>17</v>
      </c>
      <c r="R14" s="4" t="s">
        <v>18</v>
      </c>
      <c r="S14" s="4" t="s">
        <v>0</v>
      </c>
      <c r="T14" s="4" t="s">
        <v>17</v>
      </c>
      <c r="U14" s="32" t="s">
        <v>18</v>
      </c>
    </row>
    <row r="15" spans="1:23" ht="30.5" customHeight="1">
      <c r="A15" s="240" t="s">
        <v>37</v>
      </c>
      <c r="B15" s="241"/>
      <c r="C15" s="241"/>
      <c r="D15" s="245"/>
      <c r="F15" s="297" t="s">
        <v>66</v>
      </c>
      <c r="G15" s="297" t="s">
        <v>23</v>
      </c>
      <c r="H15" s="86" t="s">
        <v>24</v>
      </c>
      <c r="I15" s="7" t="s">
        <v>24</v>
      </c>
      <c r="J15" s="9">
        <v>2305000</v>
      </c>
      <c r="K15" s="9">
        <v>19810.349999999999</v>
      </c>
      <c r="L15" s="254">
        <v>390</v>
      </c>
      <c r="M15" s="26">
        <f>(650000/J15)*K15</f>
        <v>5586.4327548806932</v>
      </c>
      <c r="N15" s="9">
        <f>(M15*60%)*34.61%</f>
        <v>1160.0786258785249</v>
      </c>
      <c r="O15" s="9">
        <f>(M15*40%)*19.67%</f>
        <v>439.54052915401297</v>
      </c>
      <c r="P15" s="26">
        <f>(350000/J15)*K15</f>
        <v>3008.0791757049888</v>
      </c>
      <c r="Q15" s="9"/>
      <c r="R15" s="9"/>
      <c r="S15" s="9">
        <f>(J15-1000000)/J15*K15</f>
        <v>11215.838069414316</v>
      </c>
      <c r="T15" s="9">
        <f>(S15*60%)*29.11%</f>
        <v>1958.9582772039041</v>
      </c>
      <c r="U15" s="9">
        <f>(S15*40%)*18.17%</f>
        <v>815.16711088503268</v>
      </c>
    </row>
    <row r="16" spans="1:23">
      <c r="A16" s="240" t="s">
        <v>38</v>
      </c>
      <c r="B16" s="241"/>
      <c r="C16" s="241"/>
      <c r="D16" s="245"/>
      <c r="F16" s="297"/>
      <c r="G16" s="297"/>
      <c r="H16" s="86" t="s">
        <v>24</v>
      </c>
      <c r="I16" s="7" t="s">
        <v>26</v>
      </c>
      <c r="J16" s="9">
        <v>1560000</v>
      </c>
      <c r="K16" s="9">
        <v>12012</v>
      </c>
      <c r="L16" s="298"/>
      <c r="M16" s="26">
        <f>(650000/J16)*K16</f>
        <v>5005</v>
      </c>
      <c r="N16" s="9">
        <f>(M16*60%)*34.61%</f>
        <v>1039.3383000000001</v>
      </c>
      <c r="O16" s="9">
        <f t="shared" ref="O16:O17" si="0">(M16*40%)*19.67%</f>
        <v>393.79340000000002</v>
      </c>
      <c r="P16" s="26">
        <f>(350000/J16)*K16</f>
        <v>2695</v>
      </c>
      <c r="Q16" s="9"/>
      <c r="R16" s="9"/>
      <c r="S16" s="9">
        <f>(J16-1000000)/J16*K16</f>
        <v>4312</v>
      </c>
      <c r="T16" s="9">
        <f>(S16*60%)*29.11%</f>
        <v>753.13391999999988</v>
      </c>
      <c r="U16" s="9">
        <f>(S16*40%)*18.17%</f>
        <v>313.39616000000007</v>
      </c>
    </row>
    <row r="17" spans="1:21" ht="26" customHeight="1" thickBot="1">
      <c r="A17" s="242" t="s">
        <v>39</v>
      </c>
      <c r="B17" s="243"/>
      <c r="C17" s="243"/>
      <c r="D17" s="246"/>
      <c r="F17" s="297"/>
      <c r="G17" s="297"/>
      <c r="H17" s="86" t="s">
        <v>26</v>
      </c>
      <c r="I17" s="7" t="s">
        <v>24</v>
      </c>
      <c r="J17" s="9">
        <v>135000</v>
      </c>
      <c r="K17" s="9">
        <v>1289.25</v>
      </c>
      <c r="L17" s="255"/>
      <c r="M17" s="26">
        <f>(K17*0.65)</f>
        <v>838.01250000000005</v>
      </c>
      <c r="N17" s="9">
        <f>(M17*60%)*34.61%</f>
        <v>174.02167575000001</v>
      </c>
      <c r="O17" s="9">
        <f t="shared" si="0"/>
        <v>65.934823500000007</v>
      </c>
      <c r="P17" s="26">
        <f>(K17*0.35)</f>
        <v>451.23749999999995</v>
      </c>
      <c r="Q17" s="9"/>
      <c r="R17" s="9"/>
      <c r="S17" s="7"/>
      <c r="T17" s="7"/>
      <c r="U17" s="7"/>
    </row>
    <row r="18" spans="1:21">
      <c r="A18" s="238" t="s">
        <v>36</v>
      </c>
      <c r="B18" s="239"/>
      <c r="C18" s="239"/>
      <c r="D18" s="244" t="s">
        <v>16</v>
      </c>
    </row>
    <row r="19" spans="1:21">
      <c r="A19" s="240" t="s">
        <v>37</v>
      </c>
      <c r="B19" s="241"/>
      <c r="C19" s="241"/>
      <c r="D19" s="245"/>
    </row>
    <row r="20" spans="1:21" ht="18.5">
      <c r="A20" s="240" t="s">
        <v>41</v>
      </c>
      <c r="B20" s="241"/>
      <c r="C20" s="241"/>
      <c r="D20" s="245"/>
      <c r="G20" s="89" t="s">
        <v>63</v>
      </c>
      <c r="H20" s="89"/>
      <c r="I20" s="90"/>
      <c r="M20" s="9">
        <v>3877000</v>
      </c>
    </row>
    <row r="21" spans="1:21" ht="27.5" customHeight="1" thickBot="1">
      <c r="A21" s="242" t="s">
        <v>42</v>
      </c>
      <c r="B21" s="243"/>
      <c r="C21" s="243"/>
      <c r="D21" s="246"/>
      <c r="G21" s="89" t="s">
        <v>68</v>
      </c>
      <c r="H21" s="90"/>
      <c r="I21" s="90"/>
      <c r="M21" s="9">
        <v>135000</v>
      </c>
    </row>
    <row r="22" spans="1:21" ht="19.5" customHeight="1">
      <c r="M22" s="117">
        <f>SUM(M20:M21)</f>
        <v>4012000</v>
      </c>
      <c r="O22" s="103">
        <f>M22+M23</f>
        <v>6412000</v>
      </c>
      <c r="P22">
        <v>1560000</v>
      </c>
    </row>
    <row r="23" spans="1:21" ht="20.5" customHeight="1">
      <c r="M23">
        <v>2400000</v>
      </c>
      <c r="P23" s="103">
        <f>O22-P22</f>
        <v>4852000</v>
      </c>
    </row>
    <row r="24" spans="1:21" ht="19.5" customHeight="1"/>
  </sheetData>
  <mergeCells count="25">
    <mergeCell ref="D14:D17"/>
    <mergeCell ref="A15:C15"/>
    <mergeCell ref="A16:C16"/>
    <mergeCell ref="A17:C17"/>
    <mergeCell ref="A18:C18"/>
    <mergeCell ref="D18:D21"/>
    <mergeCell ref="A19:C19"/>
    <mergeCell ref="A20:C20"/>
    <mergeCell ref="A21:C21"/>
    <mergeCell ref="A1:U1"/>
    <mergeCell ref="V3:W3"/>
    <mergeCell ref="V4:W9"/>
    <mergeCell ref="F15:F17"/>
    <mergeCell ref="G15:G17"/>
    <mergeCell ref="L15:L17"/>
    <mergeCell ref="F12:U12"/>
    <mergeCell ref="M13:O13"/>
    <mergeCell ref="P13:R13"/>
    <mergeCell ref="S13:U13"/>
    <mergeCell ref="M2:O2"/>
    <mergeCell ref="P2:R2"/>
    <mergeCell ref="S2:U2"/>
    <mergeCell ref="A12:D12"/>
    <mergeCell ref="B13:C13"/>
    <mergeCell ref="A14:C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96E3-6EF6-4EFE-A1F5-D6CE72881B2C}">
  <dimension ref="A2:W40"/>
  <sheetViews>
    <sheetView zoomScale="70" zoomScaleNormal="70" workbookViewId="0">
      <selection activeCell="I8" sqref="I8"/>
    </sheetView>
  </sheetViews>
  <sheetFormatPr defaultRowHeight="14.5"/>
  <cols>
    <col min="3" max="3" width="13.54296875" customWidth="1"/>
    <col min="4" max="4" width="8.26953125" customWidth="1"/>
    <col min="6" max="6" width="10.54296875" customWidth="1"/>
    <col min="7" max="7" width="5.90625" customWidth="1"/>
    <col min="8" max="8" width="18.08984375" customWidth="1"/>
    <col min="9" max="10" width="15.54296875" customWidth="1"/>
    <col min="11" max="11" width="13.26953125" customWidth="1"/>
    <col min="12" max="12" width="13" customWidth="1"/>
    <col min="13" max="13" width="14.1796875" customWidth="1"/>
    <col min="14" max="14" width="12.6328125" customWidth="1"/>
    <col min="15" max="15" width="12" customWidth="1"/>
    <col min="16" max="16" width="11.453125" customWidth="1"/>
    <col min="17" max="17" width="16.26953125" customWidth="1"/>
    <col min="18" max="18" width="15.7265625" customWidth="1"/>
    <col min="19" max="19" width="15.26953125" customWidth="1"/>
    <col min="20" max="20" width="16.81640625" customWidth="1"/>
    <col min="21" max="21" width="13.7265625" customWidth="1"/>
    <col min="23" max="23" width="12.54296875" customWidth="1"/>
  </cols>
  <sheetData>
    <row r="2" spans="1:23" ht="28" customHeight="1">
      <c r="A2" s="96" t="s">
        <v>1</v>
      </c>
      <c r="B2" s="3" t="s">
        <v>3</v>
      </c>
      <c r="C2" s="3" t="s">
        <v>4</v>
      </c>
      <c r="D2" s="96" t="s">
        <v>5</v>
      </c>
      <c r="E2" s="3" t="s">
        <v>6</v>
      </c>
      <c r="F2" s="96" t="s">
        <v>7</v>
      </c>
      <c r="G2" s="3" t="s">
        <v>8</v>
      </c>
      <c r="H2" s="96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276" t="s">
        <v>14</v>
      </c>
      <c r="N2" s="277"/>
      <c r="O2" s="278"/>
      <c r="P2" s="276" t="s">
        <v>15</v>
      </c>
      <c r="Q2" s="277"/>
      <c r="R2" s="278"/>
      <c r="S2" s="276" t="s">
        <v>16</v>
      </c>
      <c r="T2" s="277"/>
      <c r="U2" s="277"/>
      <c r="V2" s="305" t="s">
        <v>30</v>
      </c>
      <c r="W2" s="305"/>
    </row>
    <row r="3" spans="1:23" ht="14.5" customHeight="1">
      <c r="A3" s="97" t="s">
        <v>1</v>
      </c>
      <c r="B3" s="4" t="s">
        <v>1</v>
      </c>
      <c r="C3" s="4" t="s">
        <v>1</v>
      </c>
      <c r="D3" s="97" t="s">
        <v>1</v>
      </c>
      <c r="E3" s="4" t="s">
        <v>1</v>
      </c>
      <c r="F3" s="97" t="s">
        <v>1</v>
      </c>
      <c r="G3" s="4" t="s">
        <v>1</v>
      </c>
      <c r="H3" s="97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0</v>
      </c>
      <c r="N3" s="97" t="s">
        <v>17</v>
      </c>
      <c r="O3" s="4" t="s">
        <v>18</v>
      </c>
      <c r="P3" s="4" t="s">
        <v>0</v>
      </c>
      <c r="Q3" s="4" t="s">
        <v>17</v>
      </c>
      <c r="R3" s="4" t="s">
        <v>18</v>
      </c>
      <c r="S3" s="4" t="s">
        <v>0</v>
      </c>
      <c r="T3" s="4" t="s">
        <v>17</v>
      </c>
      <c r="U3" s="19" t="s">
        <v>18</v>
      </c>
      <c r="V3" s="306" t="s">
        <v>71</v>
      </c>
      <c r="W3" s="307"/>
    </row>
    <row r="4" spans="1:23" ht="37" customHeight="1">
      <c r="A4" s="97" t="s">
        <v>19</v>
      </c>
      <c r="B4" s="98" t="s">
        <v>21</v>
      </c>
      <c r="C4" s="98" t="s">
        <v>48</v>
      </c>
      <c r="D4" s="256" t="s">
        <v>23</v>
      </c>
      <c r="E4" s="7" t="s">
        <v>24</v>
      </c>
      <c r="F4" s="7" t="s">
        <v>26</v>
      </c>
      <c r="G4" s="7" t="s">
        <v>25</v>
      </c>
      <c r="H4" s="99">
        <v>45627</v>
      </c>
      <c r="I4" s="8">
        <v>45961</v>
      </c>
      <c r="J4" s="8">
        <v>45516.086170486102</v>
      </c>
      <c r="K4" s="9">
        <v>12012</v>
      </c>
      <c r="L4" s="9">
        <v>210</v>
      </c>
      <c r="M4" s="9">
        <v>5005</v>
      </c>
      <c r="N4" s="100">
        <v>1039.3382999999999</v>
      </c>
      <c r="O4" s="9">
        <v>393.79340000000002</v>
      </c>
      <c r="P4" s="9">
        <v>2695</v>
      </c>
      <c r="Q4" s="9">
        <v>0</v>
      </c>
      <c r="R4" s="9">
        <v>0</v>
      </c>
      <c r="S4" s="9">
        <v>4312</v>
      </c>
      <c r="T4" s="9">
        <v>753.13391999999999</v>
      </c>
      <c r="U4" s="20">
        <v>313.39616000000001</v>
      </c>
      <c r="V4" s="310"/>
      <c r="W4" s="311"/>
    </row>
    <row r="5" spans="1:23">
      <c r="A5" s="10"/>
      <c r="B5" s="11"/>
      <c r="C5" s="11"/>
      <c r="D5" s="257"/>
      <c r="E5" s="7" t="s">
        <v>26</v>
      </c>
      <c r="F5" s="7" t="s">
        <v>26</v>
      </c>
      <c r="G5" s="7" t="s">
        <v>25</v>
      </c>
      <c r="H5" s="99">
        <v>45627</v>
      </c>
      <c r="I5" s="8">
        <v>45961</v>
      </c>
      <c r="J5" s="8">
        <v>45516.086170486102</v>
      </c>
      <c r="K5" s="15">
        <v>16961.090247</v>
      </c>
      <c r="L5" s="9">
        <v>210</v>
      </c>
      <c r="M5" s="15">
        <v>4593.6301400000002</v>
      </c>
      <c r="N5" s="118">
        <v>953.91323399999999</v>
      </c>
      <c r="O5" s="15">
        <v>361.42681900000002</v>
      </c>
      <c r="P5" s="15">
        <v>2473.493152</v>
      </c>
      <c r="Q5" s="9">
        <v>0</v>
      </c>
      <c r="R5" s="9">
        <v>0</v>
      </c>
      <c r="S5" s="17">
        <v>9893.9669549999999</v>
      </c>
      <c r="T5" s="15">
        <v>1728.0802679999999</v>
      </c>
      <c r="U5" s="23">
        <v>719.09351800000002</v>
      </c>
      <c r="V5" s="306" t="s">
        <v>72</v>
      </c>
      <c r="W5" s="307"/>
    </row>
    <row r="6" spans="1:23">
      <c r="A6" s="97" t="s">
        <v>1</v>
      </c>
      <c r="B6" s="12" t="s">
        <v>1</v>
      </c>
      <c r="C6" s="12" t="s">
        <v>1</v>
      </c>
      <c r="D6" s="98" t="s">
        <v>1</v>
      </c>
      <c r="E6" s="12" t="s">
        <v>1</v>
      </c>
      <c r="F6" s="98" t="s">
        <v>1</v>
      </c>
      <c r="G6" s="12" t="s">
        <v>1</v>
      </c>
      <c r="H6" s="98" t="s">
        <v>1</v>
      </c>
      <c r="I6" s="4" t="s">
        <v>27</v>
      </c>
      <c r="J6" s="4" t="s">
        <v>1</v>
      </c>
      <c r="K6" s="9">
        <v>28973.090247</v>
      </c>
      <c r="L6" s="9">
        <v>420</v>
      </c>
      <c r="M6" s="9">
        <v>9598.6301399999993</v>
      </c>
      <c r="N6" s="100">
        <v>1993.251534</v>
      </c>
      <c r="O6" s="9">
        <v>755.22021900000004</v>
      </c>
      <c r="P6" s="9">
        <v>5168.493152</v>
      </c>
      <c r="Q6" s="9">
        <v>0</v>
      </c>
      <c r="R6" s="9">
        <v>0</v>
      </c>
      <c r="S6" s="9">
        <v>14205.966955</v>
      </c>
      <c r="T6" s="9">
        <v>2481.2141879999999</v>
      </c>
      <c r="U6" s="20">
        <v>1032.4896779999999</v>
      </c>
      <c r="V6" s="308"/>
      <c r="W6" s="309"/>
    </row>
    <row r="7" spans="1:23" ht="16">
      <c r="A7" s="97" t="s">
        <v>1</v>
      </c>
      <c r="B7" s="12" t="s">
        <v>1</v>
      </c>
      <c r="C7" s="12" t="s">
        <v>1</v>
      </c>
      <c r="D7" s="98" t="s">
        <v>1</v>
      </c>
      <c r="E7" s="12" t="s">
        <v>1</v>
      </c>
      <c r="F7" s="98"/>
      <c r="G7" s="12" t="s">
        <v>1</v>
      </c>
      <c r="H7" s="98" t="s">
        <v>1</v>
      </c>
      <c r="I7" s="4" t="s">
        <v>27</v>
      </c>
      <c r="J7" s="13" t="s">
        <v>1</v>
      </c>
      <c r="K7" s="9">
        <v>28973.090247</v>
      </c>
      <c r="L7" s="9">
        <v>420</v>
      </c>
      <c r="M7" s="9">
        <v>9598.6301399999993</v>
      </c>
      <c r="N7" s="100">
        <v>1993.251534</v>
      </c>
      <c r="O7" s="9">
        <v>755.22021900000004</v>
      </c>
      <c r="P7" s="9">
        <v>5168.493152</v>
      </c>
      <c r="Q7" s="9">
        <v>0</v>
      </c>
      <c r="R7" s="9">
        <v>0</v>
      </c>
      <c r="S7" s="9">
        <v>14205.966955</v>
      </c>
      <c r="T7" s="9">
        <v>2481.2141879999999</v>
      </c>
      <c r="U7" s="20">
        <v>1032.4896779999999</v>
      </c>
      <c r="V7" s="310"/>
      <c r="W7" s="311"/>
    </row>
    <row r="9" spans="1:23" ht="15" thickBot="1"/>
    <row r="10" spans="1:23" ht="15.5">
      <c r="A10" s="261" t="s">
        <v>43</v>
      </c>
      <c r="B10" s="262"/>
      <c r="C10" s="262"/>
      <c r="D10" s="263"/>
      <c r="F10" s="282" t="s">
        <v>44</v>
      </c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4"/>
    </row>
    <row r="11" spans="1:23" ht="58.5" thickBot="1">
      <c r="A11" s="94" t="s">
        <v>34</v>
      </c>
      <c r="B11" s="264" t="s">
        <v>64</v>
      </c>
      <c r="C11" s="253"/>
      <c r="D11" s="39" t="s">
        <v>40</v>
      </c>
      <c r="F11" s="30" t="s">
        <v>4</v>
      </c>
      <c r="G11" s="29" t="s">
        <v>5</v>
      </c>
      <c r="H11" s="29" t="s">
        <v>6</v>
      </c>
      <c r="I11" s="29" t="s">
        <v>7</v>
      </c>
      <c r="J11" s="101" t="s">
        <v>28</v>
      </c>
      <c r="K11" s="101" t="s">
        <v>29</v>
      </c>
      <c r="L11" s="101" t="s">
        <v>13</v>
      </c>
      <c r="M11" s="272" t="s">
        <v>14</v>
      </c>
      <c r="N11" s="273"/>
      <c r="O11" s="312"/>
      <c r="P11" s="272" t="s">
        <v>15</v>
      </c>
      <c r="Q11" s="273"/>
      <c r="R11" s="274"/>
      <c r="S11" s="272" t="s">
        <v>16</v>
      </c>
      <c r="T11" s="273"/>
      <c r="U11" s="275"/>
    </row>
    <row r="12" spans="1:23" ht="26">
      <c r="A12" s="238" t="s">
        <v>36</v>
      </c>
      <c r="B12" s="239"/>
      <c r="C12" s="239"/>
      <c r="D12" s="244" t="s">
        <v>14</v>
      </c>
      <c r="F12" s="87" t="s">
        <v>1</v>
      </c>
      <c r="G12" s="27" t="s">
        <v>1</v>
      </c>
      <c r="H12" s="4" t="s">
        <v>1</v>
      </c>
      <c r="I12" s="19" t="s">
        <v>1</v>
      </c>
      <c r="J12" s="102" t="s">
        <v>1</v>
      </c>
      <c r="K12" s="102" t="s">
        <v>1</v>
      </c>
      <c r="L12" s="102" t="s">
        <v>1</v>
      </c>
      <c r="M12" s="104" t="s">
        <v>0</v>
      </c>
      <c r="N12" s="105" t="s">
        <v>17</v>
      </c>
      <c r="O12" s="106" t="s">
        <v>18</v>
      </c>
      <c r="P12" s="104" t="s">
        <v>0</v>
      </c>
      <c r="Q12" s="27" t="s">
        <v>17</v>
      </c>
      <c r="R12" s="27" t="s">
        <v>18</v>
      </c>
      <c r="S12" s="27" t="s">
        <v>0</v>
      </c>
      <c r="T12" s="27" t="s">
        <v>17</v>
      </c>
      <c r="U12" s="107" t="s">
        <v>18</v>
      </c>
    </row>
    <row r="13" spans="1:23" ht="27" customHeight="1">
      <c r="A13" s="240" t="s">
        <v>37</v>
      </c>
      <c r="B13" s="241"/>
      <c r="C13" s="241"/>
      <c r="D13" s="245"/>
      <c r="F13" s="301" t="s">
        <v>48</v>
      </c>
      <c r="G13" s="303" t="s">
        <v>23</v>
      </c>
      <c r="H13" s="86" t="s">
        <v>24</v>
      </c>
      <c r="I13" s="56" t="s">
        <v>26</v>
      </c>
      <c r="J13" s="53">
        <v>4852000</v>
      </c>
      <c r="K13" s="127">
        <v>-11024.71</v>
      </c>
      <c r="L13" s="128"/>
      <c r="M13" s="128"/>
      <c r="N13" s="128"/>
      <c r="O13" s="128"/>
      <c r="P13" s="128"/>
      <c r="Q13" s="128"/>
      <c r="R13" s="128"/>
      <c r="S13" s="128"/>
      <c r="T13" s="128"/>
      <c r="U13" s="129"/>
    </row>
    <row r="14" spans="1:23" ht="24.5" customHeight="1" thickBot="1">
      <c r="A14" s="240" t="s">
        <v>38</v>
      </c>
      <c r="B14" s="241"/>
      <c r="C14" s="241"/>
      <c r="D14" s="245"/>
      <c r="F14" s="302"/>
      <c r="G14" s="304"/>
      <c r="H14" s="110" t="s">
        <v>26</v>
      </c>
      <c r="I14" s="112" t="s">
        <v>26</v>
      </c>
      <c r="J14" s="123">
        <v>2400000</v>
      </c>
      <c r="K14" s="124">
        <v>16961.099999999999</v>
      </c>
      <c r="L14" s="111"/>
      <c r="M14" s="176">
        <f>650000/J14*K14</f>
        <v>4593.6312499999995</v>
      </c>
      <c r="N14" s="125">
        <f>(M14*60%)*34.61%</f>
        <v>953.91346537499987</v>
      </c>
      <c r="O14" s="126">
        <f>(M14*40%)*19.67%</f>
        <v>361.42690675</v>
      </c>
      <c r="P14" s="176">
        <f>350000/J14*K14</f>
        <v>2473.4937500000001</v>
      </c>
      <c r="Q14" s="111"/>
      <c r="R14" s="111"/>
      <c r="S14" s="176">
        <f>(J14-1000000)/J14*K14</f>
        <v>9893.9750000000004</v>
      </c>
      <c r="T14" s="177">
        <f>(S14*60%)*29.11%</f>
        <v>1728.0816734999999</v>
      </c>
      <c r="U14" s="126">
        <f>(S14*40%)*18.17%</f>
        <v>719.09410300000013</v>
      </c>
    </row>
    <row r="15" spans="1:23" ht="28.5" customHeight="1" thickBot="1">
      <c r="A15" s="242" t="s">
        <v>39</v>
      </c>
      <c r="B15" s="243"/>
      <c r="C15" s="243"/>
      <c r="D15" s="246"/>
    </row>
    <row r="16" spans="1:23">
      <c r="A16" s="238" t="s">
        <v>36</v>
      </c>
      <c r="B16" s="239"/>
      <c r="C16" s="239"/>
      <c r="D16" s="244" t="s">
        <v>16</v>
      </c>
      <c r="F16" s="300" t="s">
        <v>77</v>
      </c>
      <c r="G16" s="300"/>
      <c r="H16" s="95"/>
      <c r="J16" s="300" t="s">
        <v>77</v>
      </c>
      <c r="K16" s="300"/>
      <c r="L16" s="95"/>
    </row>
    <row r="17" spans="1:20" ht="43.5" customHeight="1">
      <c r="A17" s="240" t="s">
        <v>37</v>
      </c>
      <c r="B17" s="241"/>
      <c r="C17" s="241"/>
      <c r="D17" s="245"/>
      <c r="F17" s="299" t="s">
        <v>78</v>
      </c>
      <c r="G17" s="299"/>
      <c r="H17" s="120">
        <v>12012</v>
      </c>
      <c r="I17">
        <v>200</v>
      </c>
      <c r="J17" s="299" t="s">
        <v>81</v>
      </c>
      <c r="K17" s="299"/>
      <c r="L17" s="22">
        <v>18480</v>
      </c>
      <c r="Q17" s="9">
        <v>3877000</v>
      </c>
    </row>
    <row r="18" spans="1:20" ht="32.5" customHeight="1">
      <c r="A18" s="240" t="s">
        <v>41</v>
      </c>
      <c r="B18" s="241"/>
      <c r="C18" s="241"/>
      <c r="D18" s="245"/>
      <c r="F18" s="299" t="s">
        <v>79</v>
      </c>
      <c r="G18" s="299"/>
      <c r="H18" s="22">
        <f>(H17/365)*30</f>
        <v>987.28767123287673</v>
      </c>
      <c r="J18" s="299" t="s">
        <v>82</v>
      </c>
      <c r="K18" s="299"/>
      <c r="L18" s="22">
        <f>(L17/365)*335</f>
        <v>16961.095890410961</v>
      </c>
      <c r="Q18" s="9">
        <v>135000</v>
      </c>
    </row>
    <row r="19" spans="1:20" ht="28.5" customHeight="1" thickBot="1">
      <c r="A19" s="242" t="s">
        <v>42</v>
      </c>
      <c r="B19" s="243"/>
      <c r="C19" s="243"/>
      <c r="D19" s="246"/>
      <c r="F19" s="299" t="s">
        <v>80</v>
      </c>
      <c r="G19" s="299"/>
      <c r="H19" s="121">
        <f>H18-H17</f>
        <v>-11024.712328767124</v>
      </c>
      <c r="Q19" s="117">
        <f>SUM(Q17:Q18)</f>
        <v>4012000</v>
      </c>
      <c r="R19" s="103">
        <f>Q19+Q20</f>
        <v>6412000</v>
      </c>
      <c r="S19">
        <v>1560000</v>
      </c>
      <c r="T19" s="119"/>
    </row>
    <row r="20" spans="1:20" ht="32">
      <c r="J20" s="175" t="s">
        <v>83</v>
      </c>
      <c r="K20" s="122">
        <f>L18+H19</f>
        <v>5936.3835616438373</v>
      </c>
      <c r="Q20">
        <v>2400000</v>
      </c>
      <c r="S20" s="103">
        <f>R19-S19</f>
        <v>4852000</v>
      </c>
    </row>
    <row r="22" spans="1:20">
      <c r="F22" s="184"/>
      <c r="T22" s="119"/>
    </row>
    <row r="23" spans="1:20">
      <c r="F23" s="184"/>
    </row>
    <row r="26" spans="1:20">
      <c r="J26" s="22" t="s">
        <v>133</v>
      </c>
      <c r="K26" s="22" t="s">
        <v>132</v>
      </c>
    </row>
    <row r="28" spans="1:20" ht="16">
      <c r="H28" s="22"/>
      <c r="I28" s="22" t="s">
        <v>130</v>
      </c>
      <c r="J28" s="186">
        <v>45269</v>
      </c>
      <c r="K28" s="186">
        <v>45634</v>
      </c>
      <c r="L28" s="187"/>
      <c r="M28" s="22">
        <f>K28-J28+1</f>
        <v>366</v>
      </c>
      <c r="N28" s="22"/>
    </row>
    <row r="29" spans="1:20">
      <c r="H29" s="22" t="s">
        <v>134</v>
      </c>
      <c r="I29" s="22" t="s">
        <v>129</v>
      </c>
      <c r="J29" s="188">
        <v>255</v>
      </c>
      <c r="K29" s="22"/>
      <c r="L29" s="22"/>
      <c r="M29" s="22"/>
      <c r="N29" s="22"/>
    </row>
    <row r="30" spans="1:20">
      <c r="H30" s="22"/>
      <c r="I30" s="22"/>
      <c r="J30" s="22"/>
      <c r="K30" s="22"/>
      <c r="L30" s="22"/>
      <c r="M30" s="22"/>
      <c r="N30" s="22"/>
    </row>
    <row r="31" spans="1:20">
      <c r="H31" s="22"/>
      <c r="I31" s="22"/>
      <c r="J31" s="22"/>
      <c r="K31" s="22"/>
      <c r="L31" s="22"/>
      <c r="M31" s="22"/>
      <c r="N31" s="22">
        <f>J33-J28</f>
        <v>53</v>
      </c>
    </row>
    <row r="32" spans="1:20">
      <c r="H32" s="22"/>
      <c r="I32" s="22"/>
      <c r="J32" s="22"/>
      <c r="K32" s="22"/>
      <c r="L32" s="22"/>
      <c r="M32" s="22"/>
      <c r="N32" s="22"/>
    </row>
    <row r="33" spans="8:14" ht="16">
      <c r="H33" s="22"/>
      <c r="I33" s="22" t="s">
        <v>131</v>
      </c>
      <c r="J33" s="186">
        <v>45322</v>
      </c>
      <c r="K33" s="186">
        <v>45634</v>
      </c>
      <c r="L33" s="22"/>
      <c r="M33" s="22">
        <f>K33-J33+1</f>
        <v>313</v>
      </c>
      <c r="N33" s="22"/>
    </row>
    <row r="34" spans="8:14">
      <c r="H34" s="22"/>
      <c r="I34" s="22" t="s">
        <v>129</v>
      </c>
      <c r="J34" s="188">
        <v>220</v>
      </c>
      <c r="K34" s="22"/>
      <c r="L34" s="22"/>
      <c r="M34" s="22"/>
      <c r="N34" s="22"/>
    </row>
    <row r="35" spans="8:14">
      <c r="H35" s="22"/>
      <c r="I35" s="22"/>
      <c r="J35" s="22"/>
      <c r="K35" s="22"/>
      <c r="L35" s="22"/>
      <c r="M35" s="22"/>
      <c r="N35" s="22"/>
    </row>
    <row r="36" spans="8:14">
      <c r="H36" s="22"/>
      <c r="I36" s="22"/>
      <c r="J36" s="22"/>
      <c r="K36" s="22"/>
      <c r="L36" s="22"/>
      <c r="M36" s="22"/>
      <c r="N36" s="22"/>
    </row>
    <row r="37" spans="8:14">
      <c r="H37" s="22"/>
      <c r="I37" s="22"/>
      <c r="J37" s="22">
        <f>J29/366*N31</f>
        <v>36.92622950819672</v>
      </c>
      <c r="K37" s="22">
        <f>J37-J29</f>
        <v>-218.07377049180329</v>
      </c>
      <c r="L37" s="22"/>
      <c r="M37" s="22"/>
      <c r="N37" s="22"/>
    </row>
    <row r="38" spans="8:14">
      <c r="H38" s="22"/>
      <c r="I38" s="22"/>
      <c r="J38" s="22"/>
      <c r="K38" s="22"/>
      <c r="L38" s="22"/>
      <c r="M38" s="22"/>
      <c r="N38" s="22"/>
    </row>
    <row r="39" spans="8:14">
      <c r="H39" s="22"/>
      <c r="I39" s="22"/>
      <c r="J39" s="22"/>
      <c r="K39" s="22"/>
      <c r="L39" s="22"/>
      <c r="M39" s="22"/>
      <c r="N39" s="22"/>
    </row>
    <row r="40" spans="8:14">
      <c r="H40" s="22"/>
      <c r="I40" s="22"/>
      <c r="J40" s="22"/>
      <c r="K40" s="22">
        <f>J34/M28*M33</f>
        <v>188.14207650273224</v>
      </c>
      <c r="L40" s="22"/>
      <c r="M40" s="22"/>
      <c r="N40" s="22"/>
    </row>
  </sheetData>
  <mergeCells count="32">
    <mergeCell ref="A17:C17"/>
    <mergeCell ref="A18:C18"/>
    <mergeCell ref="A19:C19"/>
    <mergeCell ref="J16:K16"/>
    <mergeCell ref="J17:K17"/>
    <mergeCell ref="J18:K18"/>
    <mergeCell ref="V2:W2"/>
    <mergeCell ref="V5:W7"/>
    <mergeCell ref="V3:W4"/>
    <mergeCell ref="F10:U10"/>
    <mergeCell ref="M11:O11"/>
    <mergeCell ref="P11:R11"/>
    <mergeCell ref="S11:U11"/>
    <mergeCell ref="M2:O2"/>
    <mergeCell ref="P2:R2"/>
    <mergeCell ref="S2:U2"/>
    <mergeCell ref="D4:D5"/>
    <mergeCell ref="F17:G17"/>
    <mergeCell ref="F18:G18"/>
    <mergeCell ref="F16:G16"/>
    <mergeCell ref="F19:G19"/>
    <mergeCell ref="F13:F14"/>
    <mergeCell ref="G13:G14"/>
    <mergeCell ref="A10:D10"/>
    <mergeCell ref="B11:C11"/>
    <mergeCell ref="A12:C12"/>
    <mergeCell ref="D12:D15"/>
    <mergeCell ref="A13:C13"/>
    <mergeCell ref="A14:C14"/>
    <mergeCell ref="A15:C15"/>
    <mergeCell ref="A16:C16"/>
    <mergeCell ref="D16:D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0332-6547-45A6-896D-9D48067BA36F}">
  <dimension ref="A1:AE27"/>
  <sheetViews>
    <sheetView topLeftCell="A17" zoomScale="70" zoomScaleNormal="70" workbookViewId="0">
      <selection activeCell="Q34" sqref="Q34"/>
    </sheetView>
  </sheetViews>
  <sheetFormatPr defaultRowHeight="14.5"/>
  <cols>
    <col min="1" max="1" width="2.54296875" style="195" customWidth="1"/>
    <col min="2" max="2" width="1" style="195" customWidth="1"/>
    <col min="3" max="3" width="0.6328125" style="195" customWidth="1"/>
    <col min="4" max="4" width="1.54296875" style="195" customWidth="1"/>
    <col min="5" max="5" width="3.54296875" style="195" customWidth="1"/>
    <col min="6" max="6" width="7" style="195" customWidth="1"/>
    <col min="7" max="7" width="13" style="195" customWidth="1"/>
    <col min="8" max="8" width="13.7265625" style="195" customWidth="1"/>
    <col min="9" max="9" width="1" style="195" customWidth="1"/>
    <col min="10" max="10" width="1.08984375" style="195" hidden="1" customWidth="1"/>
    <col min="11" max="11" width="4.08984375" style="195" hidden="1" customWidth="1"/>
    <col min="12" max="12" width="4.6328125" style="195" customWidth="1"/>
    <col min="13" max="13" width="5.26953125" style="195" customWidth="1"/>
    <col min="14" max="14" width="2.453125" style="195" hidden="1" customWidth="1"/>
    <col min="15" max="15" width="6.54296875" style="195" customWidth="1"/>
    <col min="16" max="16" width="8.08984375" style="195" customWidth="1"/>
    <col min="17" max="17" width="10.6328125" style="195" customWidth="1"/>
    <col min="18" max="18" width="16.54296875" style="195" customWidth="1"/>
    <col min="19" max="19" width="16.08984375" style="195" customWidth="1"/>
    <col min="20" max="20" width="12.81640625" style="195" customWidth="1"/>
    <col min="21" max="21" width="11.36328125" style="195" customWidth="1"/>
    <col min="22" max="22" width="13.1796875" style="195" customWidth="1"/>
    <col min="23" max="23" width="10.08984375" style="195" customWidth="1"/>
    <col min="24" max="24" width="2.453125" style="195" customWidth="1"/>
    <col min="25" max="25" width="12" style="195" customWidth="1"/>
    <col min="26" max="26" width="11.90625" style="195" customWidth="1"/>
    <col min="27" max="27" width="9.54296875" style="195" customWidth="1"/>
    <col min="28" max="28" width="8.453125" style="195" customWidth="1"/>
    <col min="29" max="29" width="10.81640625" style="195" customWidth="1"/>
    <col min="30" max="30" width="11.90625" style="195" customWidth="1"/>
    <col min="31" max="31" width="13.6328125" style="195" customWidth="1"/>
    <col min="32" max="32" width="13.7265625" style="195" customWidth="1"/>
    <col min="33" max="16384" width="8.7265625" style="195"/>
  </cols>
  <sheetData>
    <row r="1" spans="1:31" ht="13.5" customHeight="1"/>
    <row r="2" spans="1:31" ht="0" hidden="1" customHeight="1"/>
    <row r="3" spans="1:31" ht="0.9" customHeight="1">
      <c r="B3" s="321"/>
    </row>
    <row r="4" spans="1:31" ht="17" customHeight="1">
      <c r="B4" s="321"/>
      <c r="E4" s="339" t="s">
        <v>139</v>
      </c>
      <c r="F4" s="321"/>
      <c r="G4" s="321"/>
      <c r="H4" s="321"/>
    </row>
    <row r="5" spans="1:31" ht="3" customHeight="1">
      <c r="B5" s="321"/>
    </row>
    <row r="6" spans="1:31" ht="16" customHeight="1">
      <c r="B6" s="321"/>
      <c r="E6" s="340" t="s">
        <v>140</v>
      </c>
      <c r="F6" s="321"/>
      <c r="G6" s="321"/>
      <c r="H6" s="321"/>
    </row>
    <row r="7" spans="1:31" ht="2.75" customHeight="1">
      <c r="B7" s="321"/>
    </row>
    <row r="8" spans="1:31" ht="17.649999999999999" customHeight="1">
      <c r="B8" s="321"/>
      <c r="E8" s="340" t="s">
        <v>141</v>
      </c>
      <c r="F8" s="321"/>
      <c r="G8" s="321"/>
      <c r="H8" s="321"/>
    </row>
    <row r="9" spans="1:31">
      <c r="A9" s="196"/>
      <c r="B9" s="196"/>
      <c r="C9" s="196"/>
      <c r="D9" s="196"/>
      <c r="E9" s="324"/>
      <c r="F9" s="324"/>
      <c r="G9" s="324"/>
      <c r="H9" s="324"/>
      <c r="I9" s="196"/>
      <c r="J9" s="196"/>
    </row>
    <row r="10" spans="1:31" ht="23" customHeight="1"/>
    <row r="11" spans="1:31" ht="18" customHeight="1">
      <c r="A11" s="341" t="s">
        <v>0</v>
      </c>
      <c r="B11" s="321"/>
      <c r="C11" s="321"/>
      <c r="D11" s="321"/>
      <c r="E11" s="321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</row>
    <row r="12" spans="1:31" ht="11" customHeight="1"/>
    <row r="13" spans="1:31" ht="18" customHeight="1">
      <c r="J13" s="338" t="s">
        <v>142</v>
      </c>
      <c r="K13" s="321"/>
      <c r="L13" s="321"/>
      <c r="M13" s="321"/>
      <c r="N13" s="338" t="s">
        <v>143</v>
      </c>
      <c r="O13" s="321"/>
      <c r="P13" s="321"/>
    </row>
    <row r="14" spans="1:31" ht="16" customHeight="1"/>
    <row r="15" spans="1:31" ht="39">
      <c r="A15" s="336" t="s">
        <v>1</v>
      </c>
      <c r="B15" s="314"/>
      <c r="C15" s="315"/>
      <c r="D15" s="337" t="s">
        <v>2</v>
      </c>
      <c r="E15" s="315"/>
      <c r="F15" s="197" t="s">
        <v>3</v>
      </c>
      <c r="G15" s="197" t="s">
        <v>4</v>
      </c>
      <c r="H15" s="336" t="s">
        <v>5</v>
      </c>
      <c r="I15" s="314"/>
      <c r="J15" s="314"/>
      <c r="K15" s="315"/>
      <c r="L15" s="197" t="s">
        <v>6</v>
      </c>
      <c r="M15" s="336" t="s">
        <v>7</v>
      </c>
      <c r="N15" s="315"/>
      <c r="O15" s="197" t="s">
        <v>8</v>
      </c>
      <c r="P15" s="336" t="s">
        <v>9</v>
      </c>
      <c r="Q15" s="315"/>
      <c r="R15" s="197" t="s">
        <v>10</v>
      </c>
      <c r="S15" s="197" t="s">
        <v>11</v>
      </c>
      <c r="T15" s="197" t="s">
        <v>12</v>
      </c>
      <c r="U15" s="197" t="s">
        <v>13</v>
      </c>
      <c r="V15" s="335" t="s">
        <v>14</v>
      </c>
      <c r="W15" s="314"/>
      <c r="X15" s="314"/>
      <c r="Y15" s="315"/>
      <c r="Z15" s="335" t="s">
        <v>15</v>
      </c>
      <c r="AA15" s="314"/>
      <c r="AB15" s="315"/>
      <c r="AC15" s="335" t="s">
        <v>16</v>
      </c>
      <c r="AD15" s="314"/>
      <c r="AE15" s="315"/>
    </row>
    <row r="16" spans="1:31" ht="39">
      <c r="A16" s="313" t="s">
        <v>1</v>
      </c>
      <c r="B16" s="314"/>
      <c r="C16" s="315"/>
      <c r="D16" s="313" t="s">
        <v>1</v>
      </c>
      <c r="E16" s="315"/>
      <c r="F16" s="198" t="s">
        <v>1</v>
      </c>
      <c r="G16" s="198" t="s">
        <v>1</v>
      </c>
      <c r="H16" s="313" t="s">
        <v>1</v>
      </c>
      <c r="I16" s="314"/>
      <c r="J16" s="314"/>
      <c r="K16" s="315"/>
      <c r="L16" s="198" t="s">
        <v>1</v>
      </c>
      <c r="M16" s="313" t="s">
        <v>1</v>
      </c>
      <c r="N16" s="315"/>
      <c r="O16" s="198" t="s">
        <v>1</v>
      </c>
      <c r="P16" s="313" t="s">
        <v>1</v>
      </c>
      <c r="Q16" s="315"/>
      <c r="R16" s="198" t="s">
        <v>1</v>
      </c>
      <c r="S16" s="198" t="s">
        <v>1</v>
      </c>
      <c r="T16" s="198" t="s">
        <v>1</v>
      </c>
      <c r="U16" s="198" t="s">
        <v>1</v>
      </c>
      <c r="V16" s="198" t="s">
        <v>0</v>
      </c>
      <c r="W16" s="313" t="s">
        <v>17</v>
      </c>
      <c r="X16" s="315"/>
      <c r="Y16" s="198" t="s">
        <v>18</v>
      </c>
      <c r="Z16" s="198" t="s">
        <v>0</v>
      </c>
      <c r="AA16" s="198" t="s">
        <v>17</v>
      </c>
      <c r="AB16" s="198" t="s">
        <v>18</v>
      </c>
      <c r="AC16" s="198" t="s">
        <v>0</v>
      </c>
      <c r="AD16" s="198" t="s">
        <v>17</v>
      </c>
      <c r="AE16" s="198" t="s">
        <v>18</v>
      </c>
    </row>
    <row r="17" spans="1:31">
      <c r="A17" s="317" t="s">
        <v>19</v>
      </c>
      <c r="B17" s="318"/>
      <c r="C17" s="319"/>
      <c r="D17" s="326" t="s">
        <v>20</v>
      </c>
      <c r="E17" s="319"/>
      <c r="F17" s="326" t="s">
        <v>21</v>
      </c>
      <c r="G17" s="199" t="s">
        <v>75</v>
      </c>
      <c r="H17" s="330" t="s">
        <v>155</v>
      </c>
      <c r="I17" s="331"/>
      <c r="J17" s="331"/>
      <c r="K17" s="332"/>
      <c r="L17" s="200" t="s">
        <v>24</v>
      </c>
      <c r="M17" s="333" t="s">
        <v>24</v>
      </c>
      <c r="N17" s="315"/>
      <c r="O17" s="200" t="s">
        <v>25</v>
      </c>
      <c r="P17" s="334">
        <v>45261</v>
      </c>
      <c r="Q17" s="315"/>
      <c r="R17" s="201">
        <v>45596</v>
      </c>
      <c r="S17" s="201">
        <v>45526.405005057903</v>
      </c>
      <c r="T17" s="15">
        <v>-693</v>
      </c>
      <c r="U17" s="15">
        <v>0</v>
      </c>
      <c r="V17" s="202">
        <v>-450.45</v>
      </c>
      <c r="W17" s="329">
        <v>-93.54</v>
      </c>
      <c r="X17" s="315"/>
      <c r="Y17" s="202">
        <v>-35.44</v>
      </c>
      <c r="Z17" s="202">
        <v>-242.55</v>
      </c>
      <c r="AA17" s="202">
        <v>0</v>
      </c>
      <c r="AB17" s="202">
        <v>0</v>
      </c>
      <c r="AC17" s="200"/>
      <c r="AD17" s="200"/>
      <c r="AE17" s="200"/>
    </row>
    <row r="18" spans="1:31">
      <c r="A18" s="320"/>
      <c r="B18" s="321"/>
      <c r="C18" s="322"/>
      <c r="D18" s="320"/>
      <c r="E18" s="322"/>
      <c r="F18" s="327"/>
      <c r="G18" s="326" t="s">
        <v>48</v>
      </c>
      <c r="H18" s="326" t="s">
        <v>144</v>
      </c>
      <c r="I18" s="318"/>
      <c r="J18" s="318"/>
      <c r="K18" s="319"/>
      <c r="L18" s="200" t="s">
        <v>24</v>
      </c>
      <c r="M18" s="333" t="s">
        <v>26</v>
      </c>
      <c r="N18" s="315"/>
      <c r="O18" s="200" t="s">
        <v>25</v>
      </c>
      <c r="P18" s="334">
        <v>45352</v>
      </c>
      <c r="Q18" s="315"/>
      <c r="R18" s="201">
        <v>45596</v>
      </c>
      <c r="S18" s="201">
        <v>45526.221108831</v>
      </c>
      <c r="T18" s="202">
        <v>-14659.836101000001</v>
      </c>
      <c r="U18" s="202">
        <v>0</v>
      </c>
      <c r="V18" s="202">
        <v>-4764.4467329999998</v>
      </c>
      <c r="W18" s="329">
        <v>-989.38500799999997</v>
      </c>
      <c r="X18" s="315"/>
      <c r="Y18" s="202">
        <v>-374.866668</v>
      </c>
      <c r="Z18" s="202">
        <v>-2565.4713179999999</v>
      </c>
      <c r="AA18" s="202">
        <v>0</v>
      </c>
      <c r="AB18" s="202">
        <v>0</v>
      </c>
      <c r="AC18" s="202">
        <v>-7329.9180500000002</v>
      </c>
      <c r="AD18" s="202">
        <v>-1280.2434860000001</v>
      </c>
      <c r="AE18" s="202">
        <v>-532.73844299999996</v>
      </c>
    </row>
    <row r="19" spans="1:31">
      <c r="A19" s="320"/>
      <c r="B19" s="321"/>
      <c r="C19" s="322"/>
      <c r="D19" s="320"/>
      <c r="E19" s="322"/>
      <c r="F19" s="327"/>
      <c r="G19" s="327"/>
      <c r="H19" s="323"/>
      <c r="I19" s="324"/>
      <c r="J19" s="324"/>
      <c r="K19" s="325"/>
      <c r="L19" s="200" t="s">
        <v>26</v>
      </c>
      <c r="M19" s="333" t="s">
        <v>24</v>
      </c>
      <c r="N19" s="315"/>
      <c r="O19" s="200" t="s">
        <v>25</v>
      </c>
      <c r="P19" s="334">
        <v>45352</v>
      </c>
      <c r="Q19" s="315"/>
      <c r="R19" s="201">
        <v>45596</v>
      </c>
      <c r="S19" s="201">
        <v>45526.221108831</v>
      </c>
      <c r="T19" s="202">
        <v>-6578.8525</v>
      </c>
      <c r="U19" s="202">
        <v>0</v>
      </c>
      <c r="V19" s="202">
        <v>-4276.2541250000004</v>
      </c>
      <c r="W19" s="329">
        <v>-888.00693100000001</v>
      </c>
      <c r="X19" s="315"/>
      <c r="Y19" s="202">
        <v>-336.45567399999999</v>
      </c>
      <c r="Z19" s="202">
        <v>-2302.598375</v>
      </c>
      <c r="AA19" s="202">
        <v>0</v>
      </c>
      <c r="AB19" s="202">
        <v>0</v>
      </c>
      <c r="AC19" s="200"/>
      <c r="AD19" s="200"/>
      <c r="AE19" s="200"/>
    </row>
    <row r="20" spans="1:31">
      <c r="A20" s="320"/>
      <c r="B20" s="321"/>
      <c r="C20" s="322"/>
      <c r="D20" s="320"/>
      <c r="E20" s="322"/>
      <c r="F20" s="327"/>
      <c r="G20" s="328"/>
      <c r="H20" s="326" t="s">
        <v>154</v>
      </c>
      <c r="I20" s="314"/>
      <c r="J20" s="314"/>
      <c r="K20" s="315"/>
      <c r="L20" s="200" t="s">
        <v>24</v>
      </c>
      <c r="M20" s="333" t="s">
        <v>24</v>
      </c>
      <c r="N20" s="315"/>
      <c r="O20" s="200" t="s">
        <v>25</v>
      </c>
      <c r="P20" s="334">
        <v>45231</v>
      </c>
      <c r="Q20" s="315"/>
      <c r="R20" s="201">
        <v>45596</v>
      </c>
      <c r="S20" s="201">
        <v>45526.271056863399</v>
      </c>
      <c r="T20" s="202">
        <v>-1235.52</v>
      </c>
      <c r="U20" s="202">
        <v>0</v>
      </c>
      <c r="V20" s="202">
        <v>-803.08799999999997</v>
      </c>
      <c r="W20" s="329">
        <v>-166.76925399999999</v>
      </c>
      <c r="X20" s="315"/>
      <c r="Y20" s="202">
        <v>-63.186962999999999</v>
      </c>
      <c r="Z20" s="202">
        <v>-432.43200000000002</v>
      </c>
      <c r="AA20" s="202">
        <v>0</v>
      </c>
      <c r="AB20" s="202">
        <v>0</v>
      </c>
      <c r="AC20" s="200"/>
      <c r="AD20" s="200"/>
      <c r="AE20" s="200"/>
    </row>
    <row r="21" spans="1:31">
      <c r="A21" s="320"/>
      <c r="B21" s="321"/>
      <c r="C21" s="322"/>
      <c r="D21" s="320"/>
      <c r="E21" s="322"/>
      <c r="F21" s="327"/>
      <c r="G21" s="326" t="s">
        <v>22</v>
      </c>
      <c r="H21" s="326" t="s">
        <v>144</v>
      </c>
      <c r="I21" s="318"/>
      <c r="J21" s="318"/>
      <c r="K21" s="319"/>
      <c r="L21" s="200" t="s">
        <v>24</v>
      </c>
      <c r="M21" s="333" t="s">
        <v>24</v>
      </c>
      <c r="N21" s="315"/>
      <c r="O21" s="200" t="s">
        <v>25</v>
      </c>
      <c r="P21" s="334">
        <v>45231</v>
      </c>
      <c r="Q21" s="315"/>
      <c r="R21" s="201">
        <v>45596</v>
      </c>
      <c r="S21" s="201">
        <v>45526.215813344897</v>
      </c>
      <c r="T21" s="202">
        <v>56699.99</v>
      </c>
      <c r="U21" s="202">
        <v>1820</v>
      </c>
      <c r="V21" s="202">
        <v>8189.99</v>
      </c>
      <c r="W21" s="329">
        <v>1700.73</v>
      </c>
      <c r="X21" s="315"/>
      <c r="Y21" s="202">
        <v>644.38</v>
      </c>
      <c r="Z21" s="202">
        <v>4410</v>
      </c>
      <c r="AA21" s="202">
        <v>0</v>
      </c>
      <c r="AB21" s="202">
        <v>0</v>
      </c>
      <c r="AC21" s="202">
        <v>44100</v>
      </c>
      <c r="AD21" s="202">
        <v>7702.5</v>
      </c>
      <c r="AE21" s="202">
        <v>3205.18</v>
      </c>
    </row>
    <row r="22" spans="1:31">
      <c r="A22" s="320"/>
      <c r="B22" s="321"/>
      <c r="C22" s="322"/>
      <c r="D22" s="320"/>
      <c r="E22" s="322"/>
      <c r="F22" s="327"/>
      <c r="G22" s="327"/>
      <c r="H22" s="320"/>
      <c r="I22" s="321"/>
      <c r="J22" s="321"/>
      <c r="K22" s="322"/>
      <c r="L22" s="200" t="s">
        <v>24</v>
      </c>
      <c r="M22" s="333" t="s">
        <v>26</v>
      </c>
      <c r="N22" s="315"/>
      <c r="O22" s="200" t="s">
        <v>25</v>
      </c>
      <c r="P22" s="334">
        <v>45231</v>
      </c>
      <c r="Q22" s="315"/>
      <c r="R22" s="201">
        <v>45596</v>
      </c>
      <c r="S22" s="201">
        <v>45526.215813344897</v>
      </c>
      <c r="T22" s="202">
        <v>21900</v>
      </c>
      <c r="U22" s="202">
        <v>1820</v>
      </c>
      <c r="V22" s="202">
        <v>7117.5</v>
      </c>
      <c r="W22" s="329">
        <v>1478.02</v>
      </c>
      <c r="X22" s="315"/>
      <c r="Y22" s="202">
        <v>560</v>
      </c>
      <c r="Z22" s="202">
        <v>3832.5</v>
      </c>
      <c r="AA22" s="202">
        <v>0</v>
      </c>
      <c r="AB22" s="202">
        <v>0</v>
      </c>
      <c r="AC22" s="202">
        <v>10950</v>
      </c>
      <c r="AD22" s="202">
        <v>1912.52</v>
      </c>
      <c r="AE22" s="202">
        <v>795.84</v>
      </c>
    </row>
    <row r="23" spans="1:31">
      <c r="A23" s="320"/>
      <c r="B23" s="321"/>
      <c r="C23" s="322"/>
      <c r="D23" s="320"/>
      <c r="E23" s="322"/>
      <c r="F23" s="327"/>
      <c r="G23" s="327"/>
      <c r="H23" s="323"/>
      <c r="I23" s="324"/>
      <c r="J23" s="324"/>
      <c r="K23" s="325"/>
      <c r="L23" s="200" t="s">
        <v>26</v>
      </c>
      <c r="M23" s="333" t="s">
        <v>24</v>
      </c>
      <c r="N23" s="315"/>
      <c r="O23" s="200" t="s">
        <v>25</v>
      </c>
      <c r="P23" s="334">
        <v>45231</v>
      </c>
      <c r="Q23" s="315"/>
      <c r="R23" s="201">
        <v>45596</v>
      </c>
      <c r="S23" s="201">
        <v>45526.215813344897</v>
      </c>
      <c r="T23" s="202">
        <v>9828</v>
      </c>
      <c r="U23" s="202">
        <v>1820</v>
      </c>
      <c r="V23" s="202">
        <v>6388.2</v>
      </c>
      <c r="W23" s="329">
        <v>1326.57</v>
      </c>
      <c r="X23" s="315"/>
      <c r="Y23" s="202">
        <v>502.62</v>
      </c>
      <c r="Z23" s="202">
        <v>3439.8</v>
      </c>
      <c r="AA23" s="202">
        <v>0</v>
      </c>
      <c r="AB23" s="202">
        <v>0</v>
      </c>
      <c r="AC23" s="200"/>
      <c r="AD23" s="200"/>
      <c r="AE23" s="200"/>
    </row>
    <row r="24" spans="1:31">
      <c r="A24" s="320"/>
      <c r="B24" s="321"/>
      <c r="C24" s="322"/>
      <c r="D24" s="320"/>
      <c r="E24" s="322"/>
      <c r="F24" s="327"/>
      <c r="G24" s="327"/>
      <c r="H24" s="330" t="s">
        <v>155</v>
      </c>
      <c r="I24" s="331"/>
      <c r="J24" s="331"/>
      <c r="K24" s="332"/>
      <c r="L24" s="200" t="s">
        <v>24</v>
      </c>
      <c r="M24" s="333" t="s">
        <v>24</v>
      </c>
      <c r="N24" s="315"/>
      <c r="O24" s="200" t="s">
        <v>25</v>
      </c>
      <c r="P24" s="334">
        <v>45231</v>
      </c>
      <c r="Q24" s="315"/>
      <c r="R24" s="201">
        <v>45596</v>
      </c>
      <c r="S24" s="201">
        <v>45526.401914583301</v>
      </c>
      <c r="T24" s="15">
        <v>8455</v>
      </c>
      <c r="U24" s="15">
        <v>222.5</v>
      </c>
      <c r="V24" s="202">
        <v>5495.75</v>
      </c>
      <c r="W24" s="329">
        <v>1141.24</v>
      </c>
      <c r="X24" s="315"/>
      <c r="Y24" s="202">
        <v>432.4</v>
      </c>
      <c r="Z24" s="202">
        <v>2959.25</v>
      </c>
      <c r="AA24" s="202">
        <v>0</v>
      </c>
      <c r="AB24" s="202">
        <v>0</v>
      </c>
      <c r="AC24" s="200"/>
      <c r="AD24" s="200"/>
      <c r="AE24" s="200"/>
    </row>
    <row r="25" spans="1:31">
      <c r="A25" s="323"/>
      <c r="B25" s="324"/>
      <c r="C25" s="325"/>
      <c r="D25" s="323"/>
      <c r="E25" s="325"/>
      <c r="F25" s="328"/>
      <c r="G25" s="328"/>
      <c r="H25" s="326" t="s">
        <v>154</v>
      </c>
      <c r="I25" s="314"/>
      <c r="J25" s="314"/>
      <c r="K25" s="315"/>
      <c r="L25" s="200" t="s">
        <v>24</v>
      </c>
      <c r="M25" s="333" t="s">
        <v>24</v>
      </c>
      <c r="N25" s="315"/>
      <c r="O25" s="200" t="s">
        <v>25</v>
      </c>
      <c r="P25" s="334">
        <v>45231</v>
      </c>
      <c r="Q25" s="315"/>
      <c r="R25" s="201">
        <v>45596</v>
      </c>
      <c r="S25" s="201">
        <v>45526.2608869213</v>
      </c>
      <c r="T25" s="202">
        <v>7722</v>
      </c>
      <c r="U25" s="202">
        <v>195</v>
      </c>
      <c r="V25" s="202">
        <v>5019.3</v>
      </c>
      <c r="W25" s="329">
        <v>1042.3</v>
      </c>
      <c r="X25" s="315"/>
      <c r="Y25" s="202">
        <v>394.91</v>
      </c>
      <c r="Z25" s="202">
        <v>2702.7</v>
      </c>
      <c r="AA25" s="202">
        <v>0</v>
      </c>
      <c r="AB25" s="202">
        <v>0</v>
      </c>
      <c r="AC25" s="200"/>
      <c r="AD25" s="200"/>
      <c r="AE25" s="200"/>
    </row>
    <row r="26" spans="1:31" ht="16">
      <c r="A26" s="313" t="s">
        <v>1</v>
      </c>
      <c r="B26" s="314"/>
      <c r="C26" s="315"/>
      <c r="D26" s="316" t="s">
        <v>1</v>
      </c>
      <c r="E26" s="315"/>
      <c r="F26" s="203" t="s">
        <v>1</v>
      </c>
      <c r="G26" s="203" t="s">
        <v>1</v>
      </c>
      <c r="H26" s="316" t="s">
        <v>1</v>
      </c>
      <c r="I26" s="314"/>
      <c r="J26" s="314"/>
      <c r="K26" s="315"/>
      <c r="L26" s="203" t="s">
        <v>1</v>
      </c>
      <c r="M26" s="316" t="s">
        <v>1</v>
      </c>
      <c r="N26" s="315"/>
      <c r="O26" s="203" t="s">
        <v>1</v>
      </c>
      <c r="P26" s="316" t="s">
        <v>1</v>
      </c>
      <c r="Q26" s="315"/>
      <c r="R26" s="198" t="s">
        <v>27</v>
      </c>
      <c r="S26" s="13" t="s">
        <v>1</v>
      </c>
      <c r="T26" s="202">
        <v>81437.781399</v>
      </c>
      <c r="U26" s="202">
        <v>5877.5</v>
      </c>
      <c r="V26" s="202">
        <v>21916.501142000001</v>
      </c>
      <c r="W26" s="329">
        <v>4551.1588069999998</v>
      </c>
      <c r="X26" s="315"/>
      <c r="Y26" s="202">
        <v>1724.3606950000001</v>
      </c>
      <c r="Z26" s="202">
        <v>11801.198307000001</v>
      </c>
      <c r="AA26" s="202">
        <v>0</v>
      </c>
      <c r="AB26" s="202">
        <v>0</v>
      </c>
      <c r="AC26" s="202">
        <v>47720.08195</v>
      </c>
      <c r="AD26" s="202">
        <v>8334.7765139999992</v>
      </c>
      <c r="AE26" s="202">
        <v>3468.2815569999998</v>
      </c>
    </row>
    <row r="27" spans="1:31" ht="18" customHeight="1"/>
  </sheetData>
  <mergeCells count="65">
    <mergeCell ref="J13:M13"/>
    <mergeCell ref="N13:P13"/>
    <mergeCell ref="B3:B8"/>
    <mergeCell ref="E4:H4"/>
    <mergeCell ref="E6:H6"/>
    <mergeCell ref="E8:H9"/>
    <mergeCell ref="A11:W11"/>
    <mergeCell ref="M21:N21"/>
    <mergeCell ref="Z15:AB15"/>
    <mergeCell ref="AC15:AE15"/>
    <mergeCell ref="A16:C16"/>
    <mergeCell ref="D16:E16"/>
    <mergeCell ref="H16:K16"/>
    <mergeCell ref="M16:N16"/>
    <mergeCell ref="P16:Q16"/>
    <mergeCell ref="W16:X16"/>
    <mergeCell ref="A15:C15"/>
    <mergeCell ref="D15:E15"/>
    <mergeCell ref="H15:K15"/>
    <mergeCell ref="M15:N15"/>
    <mergeCell ref="P15:Q15"/>
    <mergeCell ref="V15:Y15"/>
    <mergeCell ref="W23:X23"/>
    <mergeCell ref="M22:N22"/>
    <mergeCell ref="P22:Q22"/>
    <mergeCell ref="W22:X22"/>
    <mergeCell ref="P17:Q17"/>
    <mergeCell ref="W17:X17"/>
    <mergeCell ref="M18:N18"/>
    <mergeCell ref="P18:Q18"/>
    <mergeCell ref="W18:X18"/>
    <mergeCell ref="M19:N19"/>
    <mergeCell ref="P19:Q19"/>
    <mergeCell ref="W19:X19"/>
    <mergeCell ref="M17:N17"/>
    <mergeCell ref="M20:N20"/>
    <mergeCell ref="P20:Q20"/>
    <mergeCell ref="W20:X20"/>
    <mergeCell ref="H26:K26"/>
    <mergeCell ref="M26:N26"/>
    <mergeCell ref="P26:Q26"/>
    <mergeCell ref="W26:X26"/>
    <mergeCell ref="H17:K17"/>
    <mergeCell ref="H24:K24"/>
    <mergeCell ref="M24:N24"/>
    <mergeCell ref="P24:Q24"/>
    <mergeCell ref="W24:X24"/>
    <mergeCell ref="M25:N25"/>
    <mergeCell ref="P25:Q25"/>
    <mergeCell ref="W25:X25"/>
    <mergeCell ref="P21:Q21"/>
    <mergeCell ref="W21:X21"/>
    <mergeCell ref="M23:N23"/>
    <mergeCell ref="P23:Q23"/>
    <mergeCell ref="G18:G20"/>
    <mergeCell ref="H18:K19"/>
    <mergeCell ref="H20:K20"/>
    <mergeCell ref="G21:G25"/>
    <mergeCell ref="H21:K23"/>
    <mergeCell ref="H25:K25"/>
    <mergeCell ref="A26:C26"/>
    <mergeCell ref="D26:E26"/>
    <mergeCell ref="A17:C25"/>
    <mergeCell ref="D17:E25"/>
    <mergeCell ref="F17:F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5809-73AC-4BBB-B110-D45E94C8B167}">
  <dimension ref="A1:AE31"/>
  <sheetViews>
    <sheetView topLeftCell="D1" zoomScale="60" zoomScaleNormal="60" workbookViewId="0">
      <selection activeCell="Q27" sqref="Q27"/>
    </sheetView>
  </sheetViews>
  <sheetFormatPr defaultRowHeight="14.5"/>
  <cols>
    <col min="1" max="1" width="6.453125" customWidth="1"/>
    <col min="2" max="3" width="8.7265625" hidden="1" customWidth="1"/>
    <col min="5" max="5" width="0.26953125" customWidth="1"/>
    <col min="9" max="9" width="6.7265625" customWidth="1"/>
    <col min="10" max="10" width="4.08984375" hidden="1" customWidth="1"/>
    <col min="11" max="11" width="8.7265625" hidden="1" customWidth="1"/>
    <col min="13" max="13" width="6.54296875" customWidth="1"/>
    <col min="14" max="14" width="8.7265625" hidden="1" customWidth="1"/>
    <col min="15" max="15" width="6.6328125" customWidth="1"/>
    <col min="18" max="18" width="19.90625" customWidth="1"/>
    <col min="19" max="19" width="18.453125" customWidth="1"/>
    <col min="20" max="20" width="19.90625" customWidth="1"/>
    <col min="21" max="21" width="13.54296875" customWidth="1"/>
    <col min="22" max="22" width="17.6328125" customWidth="1"/>
    <col min="25" max="25" width="12.81640625" customWidth="1"/>
    <col min="26" max="26" width="12.1796875" customWidth="1"/>
    <col min="29" max="29" width="13.08984375" customWidth="1"/>
    <col min="30" max="30" width="12.54296875" customWidth="1"/>
    <col min="31" max="31" width="13.90625" customWidth="1"/>
  </cols>
  <sheetData>
    <row r="1" spans="1:31" ht="13.5" customHeight="1"/>
    <row r="2" spans="1:31" ht="0" hidden="1" customHeight="1"/>
    <row r="3" spans="1:31" ht="0.9" customHeight="1">
      <c r="B3" s="321"/>
    </row>
    <row r="4" spans="1:31" ht="17" customHeight="1">
      <c r="B4" s="321"/>
      <c r="E4" s="339" t="s">
        <v>139</v>
      </c>
      <c r="F4" s="321"/>
      <c r="G4" s="321"/>
      <c r="H4" s="321"/>
    </row>
    <row r="5" spans="1:31" ht="3" customHeight="1">
      <c r="B5" s="321"/>
    </row>
    <row r="6" spans="1:31" ht="16" customHeight="1">
      <c r="B6" s="321"/>
      <c r="E6" s="340" t="s">
        <v>140</v>
      </c>
      <c r="F6" s="321"/>
      <c r="G6" s="321"/>
      <c r="H6" s="321"/>
    </row>
    <row r="7" spans="1:31" ht="2.75" customHeight="1">
      <c r="B7" s="321"/>
    </row>
    <row r="8" spans="1:31" ht="17.649999999999999" customHeight="1">
      <c r="B8" s="321"/>
      <c r="E8" s="340" t="s">
        <v>141</v>
      </c>
      <c r="F8" s="321"/>
      <c r="G8" s="321"/>
      <c r="H8" s="321"/>
    </row>
    <row r="9" spans="1:31">
      <c r="A9" s="1"/>
      <c r="B9" s="1"/>
      <c r="C9" s="1"/>
      <c r="D9" s="1"/>
      <c r="E9" s="324"/>
      <c r="F9" s="324"/>
      <c r="G9" s="324"/>
      <c r="H9" s="324"/>
      <c r="I9" s="1"/>
      <c r="J9" s="1"/>
    </row>
    <row r="10" spans="1:31" ht="23" customHeight="1"/>
    <row r="11" spans="1:31" ht="18" customHeight="1">
      <c r="A11" s="341" t="s">
        <v>0</v>
      </c>
      <c r="B11" s="321"/>
      <c r="C11" s="321"/>
      <c r="D11" s="321"/>
      <c r="E11" s="321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</row>
    <row r="12" spans="1:31" ht="11" customHeight="1"/>
    <row r="13" spans="1:31" ht="18" customHeight="1">
      <c r="J13" s="338" t="s">
        <v>142</v>
      </c>
      <c r="K13" s="321"/>
      <c r="L13" s="321"/>
      <c r="M13" s="321"/>
      <c r="N13" s="338" t="s">
        <v>143</v>
      </c>
      <c r="O13" s="321"/>
      <c r="P13" s="321"/>
    </row>
    <row r="14" spans="1:31" ht="16" customHeight="1"/>
    <row r="15" spans="1:31" ht="26">
      <c r="A15" s="336" t="s">
        <v>1</v>
      </c>
      <c r="B15" s="314"/>
      <c r="C15" s="315"/>
      <c r="D15" s="337" t="s">
        <v>2</v>
      </c>
      <c r="E15" s="315"/>
      <c r="F15" s="3" t="s">
        <v>3</v>
      </c>
      <c r="G15" s="3" t="s">
        <v>4</v>
      </c>
      <c r="H15" s="336" t="s">
        <v>5</v>
      </c>
      <c r="I15" s="314"/>
      <c r="J15" s="314"/>
      <c r="K15" s="315"/>
      <c r="L15" s="3" t="s">
        <v>6</v>
      </c>
      <c r="M15" s="336" t="s">
        <v>7</v>
      </c>
      <c r="N15" s="315"/>
      <c r="O15" s="3" t="s">
        <v>8</v>
      </c>
      <c r="P15" s="336" t="s">
        <v>9</v>
      </c>
      <c r="Q15" s="315"/>
      <c r="R15" s="3" t="s">
        <v>10</v>
      </c>
      <c r="S15" s="3" t="s">
        <v>11</v>
      </c>
      <c r="T15" s="3" t="s">
        <v>12</v>
      </c>
      <c r="U15" s="3" t="s">
        <v>13</v>
      </c>
      <c r="V15" s="335" t="s">
        <v>14</v>
      </c>
      <c r="W15" s="314"/>
      <c r="X15" s="314"/>
      <c r="Y15" s="315"/>
      <c r="Z15" s="335" t="s">
        <v>15</v>
      </c>
      <c r="AA15" s="314"/>
      <c r="AB15" s="315"/>
      <c r="AC15" s="335" t="s">
        <v>16</v>
      </c>
      <c r="AD15" s="314"/>
      <c r="AE15" s="315"/>
    </row>
    <row r="16" spans="1:31" ht="39">
      <c r="A16" s="313" t="s">
        <v>1</v>
      </c>
      <c r="B16" s="314"/>
      <c r="C16" s="315"/>
      <c r="D16" s="313" t="s">
        <v>1</v>
      </c>
      <c r="E16" s="315"/>
      <c r="F16" s="4" t="s">
        <v>1</v>
      </c>
      <c r="G16" s="4" t="s">
        <v>1</v>
      </c>
      <c r="H16" s="313" t="s">
        <v>1</v>
      </c>
      <c r="I16" s="314"/>
      <c r="J16" s="314"/>
      <c r="K16" s="315"/>
      <c r="L16" s="4" t="s">
        <v>1</v>
      </c>
      <c r="M16" s="313" t="s">
        <v>1</v>
      </c>
      <c r="N16" s="315"/>
      <c r="O16" s="4" t="s">
        <v>1</v>
      </c>
      <c r="P16" s="313" t="s">
        <v>1</v>
      </c>
      <c r="Q16" s="315"/>
      <c r="R16" s="4" t="s">
        <v>1</v>
      </c>
      <c r="S16" s="4" t="s">
        <v>1</v>
      </c>
      <c r="T16" s="4" t="s">
        <v>1</v>
      </c>
      <c r="U16" s="4" t="s">
        <v>1</v>
      </c>
      <c r="V16" s="4" t="s">
        <v>0</v>
      </c>
      <c r="W16" s="313" t="s">
        <v>17</v>
      </c>
      <c r="X16" s="315"/>
      <c r="Y16" s="4" t="s">
        <v>18</v>
      </c>
      <c r="Z16" s="4" t="s">
        <v>0</v>
      </c>
      <c r="AA16" s="4" t="s">
        <v>17</v>
      </c>
      <c r="AB16" s="4" t="s">
        <v>18</v>
      </c>
      <c r="AC16" s="4" t="s">
        <v>0</v>
      </c>
      <c r="AD16" s="4" t="s">
        <v>17</v>
      </c>
      <c r="AE16" s="4" t="s">
        <v>18</v>
      </c>
    </row>
    <row r="17" spans="1:31">
      <c r="A17" s="317" t="s">
        <v>19</v>
      </c>
      <c r="B17" s="318"/>
      <c r="C17" s="319"/>
      <c r="D17" s="326" t="s">
        <v>20</v>
      </c>
      <c r="E17" s="319"/>
      <c r="F17" s="326" t="s">
        <v>21</v>
      </c>
      <c r="G17" s="326" t="s">
        <v>48</v>
      </c>
      <c r="H17" s="326" t="s">
        <v>144</v>
      </c>
      <c r="I17" s="318"/>
      <c r="J17" s="318"/>
      <c r="K17" s="319"/>
      <c r="L17" s="7" t="s">
        <v>24</v>
      </c>
      <c r="M17" s="333" t="s">
        <v>26</v>
      </c>
      <c r="N17" s="315"/>
      <c r="O17" s="7" t="s">
        <v>25</v>
      </c>
      <c r="P17" s="334">
        <v>45352</v>
      </c>
      <c r="Q17" s="315"/>
      <c r="R17" s="8">
        <v>45596</v>
      </c>
      <c r="S17" s="8">
        <v>45526.221108831</v>
      </c>
      <c r="T17" s="15">
        <v>-14659.836101000001</v>
      </c>
      <c r="U17" s="9">
        <v>0</v>
      </c>
      <c r="V17" s="15">
        <v>-4764.4467329999998</v>
      </c>
      <c r="W17" s="329">
        <v>-989.38500799999997</v>
      </c>
      <c r="X17" s="315"/>
      <c r="Y17" s="9">
        <v>-374.866668</v>
      </c>
      <c r="Z17" s="15">
        <v>-2565.4713179999999</v>
      </c>
      <c r="AA17" s="9">
        <v>0</v>
      </c>
      <c r="AB17" s="9">
        <v>0</v>
      </c>
      <c r="AC17" s="9">
        <v>-7329.9180500000002</v>
      </c>
      <c r="AD17" s="9">
        <v>-1280.2434860000001</v>
      </c>
      <c r="AE17" s="9">
        <v>-532.73844299999996</v>
      </c>
    </row>
    <row r="18" spans="1:31">
      <c r="A18" s="320"/>
      <c r="B18" s="321"/>
      <c r="C18" s="322"/>
      <c r="D18" s="320"/>
      <c r="E18" s="322"/>
      <c r="F18" s="327"/>
      <c r="G18" s="328"/>
      <c r="H18" s="323"/>
      <c r="I18" s="324"/>
      <c r="J18" s="324"/>
      <c r="K18" s="325"/>
      <c r="L18" s="7" t="s">
        <v>26</v>
      </c>
      <c r="M18" s="333" t="s">
        <v>24</v>
      </c>
      <c r="N18" s="315"/>
      <c r="O18" s="7" t="s">
        <v>25</v>
      </c>
      <c r="P18" s="334">
        <v>45352</v>
      </c>
      <c r="Q18" s="315"/>
      <c r="R18" s="8">
        <v>45596</v>
      </c>
      <c r="S18" s="8">
        <v>45526.221108831</v>
      </c>
      <c r="T18" s="15">
        <v>-6578.8525</v>
      </c>
      <c r="U18" s="9">
        <v>0</v>
      </c>
      <c r="V18" s="9">
        <v>-4276.2541250000004</v>
      </c>
      <c r="W18" s="329">
        <v>-888.00693100000001</v>
      </c>
      <c r="X18" s="315"/>
      <c r="Y18" s="9">
        <v>-336.45567399999999</v>
      </c>
      <c r="Z18" s="9">
        <v>-2302.598375</v>
      </c>
      <c r="AA18" s="9">
        <v>0</v>
      </c>
      <c r="AB18" s="9">
        <v>0</v>
      </c>
      <c r="AC18" s="7"/>
      <c r="AD18" s="7"/>
      <c r="AE18" s="7"/>
    </row>
    <row r="19" spans="1:31">
      <c r="A19" s="320"/>
      <c r="B19" s="321"/>
      <c r="C19" s="322"/>
      <c r="D19" s="320"/>
      <c r="E19" s="322"/>
      <c r="F19" s="327"/>
      <c r="G19" s="326" t="s">
        <v>22</v>
      </c>
      <c r="H19" s="326" t="s">
        <v>144</v>
      </c>
      <c r="I19" s="318"/>
      <c r="J19" s="318"/>
      <c r="K19" s="319"/>
      <c r="L19" s="7" t="s">
        <v>24</v>
      </c>
      <c r="M19" s="333" t="s">
        <v>24</v>
      </c>
      <c r="N19" s="315"/>
      <c r="O19" s="7" t="s">
        <v>25</v>
      </c>
      <c r="P19" s="334">
        <v>45231</v>
      </c>
      <c r="Q19" s="315"/>
      <c r="R19" s="8">
        <v>45596</v>
      </c>
      <c r="S19" s="8">
        <v>45526.215813344897</v>
      </c>
      <c r="T19" s="15">
        <v>56699.99</v>
      </c>
      <c r="U19" s="9">
        <v>1820</v>
      </c>
      <c r="V19" s="9">
        <v>8189.99</v>
      </c>
      <c r="W19" s="329">
        <v>1700.73</v>
      </c>
      <c r="X19" s="315"/>
      <c r="Y19" s="9">
        <v>644.38</v>
      </c>
      <c r="Z19" s="9">
        <v>4410</v>
      </c>
      <c r="AA19" s="9">
        <v>0</v>
      </c>
      <c r="AB19" s="9">
        <v>0</v>
      </c>
      <c r="AC19" s="9">
        <v>44100</v>
      </c>
      <c r="AD19" s="9">
        <v>7702.5</v>
      </c>
      <c r="AE19" s="9">
        <v>3205.18</v>
      </c>
    </row>
    <row r="20" spans="1:31">
      <c r="A20" s="320"/>
      <c r="B20" s="321"/>
      <c r="C20" s="322"/>
      <c r="D20" s="320"/>
      <c r="E20" s="322"/>
      <c r="F20" s="327"/>
      <c r="G20" s="327"/>
      <c r="H20" s="320"/>
      <c r="I20" s="321"/>
      <c r="J20" s="321"/>
      <c r="K20" s="322"/>
      <c r="L20" s="7" t="s">
        <v>24</v>
      </c>
      <c r="M20" s="333" t="s">
        <v>26</v>
      </c>
      <c r="N20" s="315"/>
      <c r="O20" s="7" t="s">
        <v>25</v>
      </c>
      <c r="P20" s="334">
        <v>45231</v>
      </c>
      <c r="Q20" s="315"/>
      <c r="R20" s="8">
        <v>45596</v>
      </c>
      <c r="S20" s="8">
        <v>45526.215813344897</v>
      </c>
      <c r="T20" s="15">
        <v>21900</v>
      </c>
      <c r="U20" s="9">
        <v>1820</v>
      </c>
      <c r="V20" s="9">
        <v>7117.5</v>
      </c>
      <c r="W20" s="329">
        <v>1478.02</v>
      </c>
      <c r="X20" s="315"/>
      <c r="Y20" s="9">
        <v>560</v>
      </c>
      <c r="Z20" s="9">
        <v>3832.5</v>
      </c>
      <c r="AA20" s="9">
        <v>0</v>
      </c>
      <c r="AB20" s="9">
        <v>0</v>
      </c>
      <c r="AC20" s="9">
        <v>10950</v>
      </c>
      <c r="AD20" s="9">
        <v>1912.52</v>
      </c>
      <c r="AE20" s="9">
        <v>795.84</v>
      </c>
    </row>
    <row r="21" spans="1:31">
      <c r="A21" s="323"/>
      <c r="B21" s="324"/>
      <c r="C21" s="325"/>
      <c r="D21" s="323"/>
      <c r="E21" s="325"/>
      <c r="F21" s="328"/>
      <c r="G21" s="328"/>
      <c r="H21" s="323"/>
      <c r="I21" s="324"/>
      <c r="J21" s="324"/>
      <c r="K21" s="325"/>
      <c r="L21" s="7" t="s">
        <v>26</v>
      </c>
      <c r="M21" s="333" t="s">
        <v>24</v>
      </c>
      <c r="N21" s="315"/>
      <c r="O21" s="7" t="s">
        <v>25</v>
      </c>
      <c r="P21" s="334">
        <v>45231</v>
      </c>
      <c r="Q21" s="315"/>
      <c r="R21" s="8">
        <v>45596</v>
      </c>
      <c r="S21" s="8">
        <v>45526.215813344897</v>
      </c>
      <c r="T21" s="15">
        <v>9828</v>
      </c>
      <c r="U21" s="9">
        <v>1820</v>
      </c>
      <c r="V21" s="9">
        <v>6388.2</v>
      </c>
      <c r="W21" s="329">
        <v>1326.57</v>
      </c>
      <c r="X21" s="315"/>
      <c r="Y21" s="9">
        <v>502.62</v>
      </c>
      <c r="Z21" s="9">
        <v>3439.8</v>
      </c>
      <c r="AA21" s="9">
        <v>0</v>
      </c>
      <c r="AB21" s="9">
        <v>0</v>
      </c>
      <c r="AC21" s="7"/>
      <c r="AD21" s="7"/>
      <c r="AE21" s="7"/>
    </row>
    <row r="22" spans="1:31" ht="16">
      <c r="A22" s="313" t="s">
        <v>1</v>
      </c>
      <c r="B22" s="314"/>
      <c r="C22" s="315"/>
      <c r="D22" s="316" t="s">
        <v>1</v>
      </c>
      <c r="E22" s="315"/>
      <c r="F22" s="12" t="s">
        <v>1</v>
      </c>
      <c r="G22" s="12" t="s">
        <v>1</v>
      </c>
      <c r="H22" s="316" t="s">
        <v>1</v>
      </c>
      <c r="I22" s="314"/>
      <c r="J22" s="314"/>
      <c r="K22" s="315"/>
      <c r="L22" s="12" t="s">
        <v>1</v>
      </c>
      <c r="M22" s="316" t="s">
        <v>1</v>
      </c>
      <c r="N22" s="315"/>
      <c r="O22" s="12" t="s">
        <v>1</v>
      </c>
      <c r="P22" s="316" t="s">
        <v>1</v>
      </c>
      <c r="Q22" s="315"/>
      <c r="R22" s="4" t="s">
        <v>27</v>
      </c>
      <c r="S22" s="13" t="s">
        <v>1</v>
      </c>
      <c r="T22" s="9">
        <v>67189.301399000004</v>
      </c>
      <c r="U22" s="9">
        <v>5460</v>
      </c>
      <c r="V22" s="9">
        <v>12654.989142</v>
      </c>
      <c r="W22" s="329">
        <v>2627.9280610000001</v>
      </c>
      <c r="X22" s="315"/>
      <c r="Y22" s="9">
        <v>995.67765799999995</v>
      </c>
      <c r="Z22" s="9">
        <v>6814.2303069999998</v>
      </c>
      <c r="AA22" s="9">
        <v>0</v>
      </c>
      <c r="AB22" s="9">
        <v>0</v>
      </c>
      <c r="AC22" s="9">
        <v>47720.08195</v>
      </c>
      <c r="AD22" s="9">
        <v>8334.7765139999992</v>
      </c>
      <c r="AE22" s="9">
        <v>3468.2815569999998</v>
      </c>
    </row>
    <row r="23" spans="1:31" ht="18" customHeight="1"/>
    <row r="24" spans="1:31">
      <c r="V24">
        <f>650000/2000000*T17</f>
        <v>-4764.4467328250003</v>
      </c>
      <c r="Z24">
        <f>350000/2000000*T17</f>
        <v>-2565.4713176750001</v>
      </c>
    </row>
    <row r="26" spans="1:31">
      <c r="S26">
        <f>P18-P19</f>
        <v>121</v>
      </c>
      <c r="T26">
        <f>T20/366*121</f>
        <v>7240.1639344262294</v>
      </c>
    </row>
    <row r="27" spans="1:31">
      <c r="T27" s="204">
        <f>T26-T20</f>
        <v>-14659.836065573771</v>
      </c>
    </row>
    <row r="30" spans="1:31">
      <c r="T30">
        <f>T21/366*S26</f>
        <v>3249.1475409836066</v>
      </c>
    </row>
    <row r="31" spans="1:31">
      <c r="T31" s="205">
        <f>T30-T21</f>
        <v>-6578.8524590163934</v>
      </c>
    </row>
  </sheetData>
  <mergeCells count="49">
    <mergeCell ref="W22:X22"/>
    <mergeCell ref="P20:Q20"/>
    <mergeCell ref="W20:X20"/>
    <mergeCell ref="M21:N21"/>
    <mergeCell ref="P21:Q21"/>
    <mergeCell ref="W21:X21"/>
    <mergeCell ref="A22:C22"/>
    <mergeCell ref="D22:E22"/>
    <mergeCell ref="H22:K22"/>
    <mergeCell ref="M22:N22"/>
    <mergeCell ref="P22:Q22"/>
    <mergeCell ref="M19:N19"/>
    <mergeCell ref="P19:Q19"/>
    <mergeCell ref="W19:X19"/>
    <mergeCell ref="M20:N20"/>
    <mergeCell ref="P17:Q17"/>
    <mergeCell ref="W17:X17"/>
    <mergeCell ref="M18:N18"/>
    <mergeCell ref="P18:Q18"/>
    <mergeCell ref="W18:X18"/>
    <mergeCell ref="M17:N17"/>
    <mergeCell ref="A17:C21"/>
    <mergeCell ref="D17:E21"/>
    <mergeCell ref="F17:F21"/>
    <mergeCell ref="G17:G18"/>
    <mergeCell ref="H17:K18"/>
    <mergeCell ref="G19:G21"/>
    <mergeCell ref="H19:K21"/>
    <mergeCell ref="Z15:AB15"/>
    <mergeCell ref="AC15:AE15"/>
    <mergeCell ref="A16:C16"/>
    <mergeCell ref="D16:E16"/>
    <mergeCell ref="H16:K16"/>
    <mergeCell ref="M16:N16"/>
    <mergeCell ref="P16:Q16"/>
    <mergeCell ref="W16:X16"/>
    <mergeCell ref="A15:C15"/>
    <mergeCell ref="D15:E15"/>
    <mergeCell ref="H15:K15"/>
    <mergeCell ref="M15:N15"/>
    <mergeCell ref="P15:Q15"/>
    <mergeCell ref="V15:Y15"/>
    <mergeCell ref="J13:M13"/>
    <mergeCell ref="N13:P13"/>
    <mergeCell ref="B3:B8"/>
    <mergeCell ref="E4:H4"/>
    <mergeCell ref="E6:H6"/>
    <mergeCell ref="E8:H9"/>
    <mergeCell ref="A11:W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0964-7150-4A9E-A6A7-1BEE10BF4D7E}">
  <dimension ref="A1:AE40"/>
  <sheetViews>
    <sheetView topLeftCell="F13" zoomScale="60" zoomScaleNormal="60" workbookViewId="0">
      <selection activeCell="Z36" sqref="Z36"/>
    </sheetView>
  </sheetViews>
  <sheetFormatPr defaultRowHeight="14.5"/>
  <cols>
    <col min="1" max="1" width="2.54296875" style="195" customWidth="1"/>
    <col min="2" max="2" width="5.7265625" style="195" customWidth="1"/>
    <col min="3" max="3" width="0.6328125" style="195" customWidth="1"/>
    <col min="4" max="4" width="1.54296875" style="195" customWidth="1"/>
    <col min="5" max="5" width="7.453125" style="195" customWidth="1"/>
    <col min="6" max="6" width="11.6328125" style="195" customWidth="1"/>
    <col min="7" max="7" width="6.26953125" style="195" customWidth="1"/>
    <col min="8" max="8" width="13.90625" style="195" customWidth="1"/>
    <col min="9" max="9" width="6.1796875" style="195" customWidth="1"/>
    <col min="10" max="10" width="1.08984375" style="195" hidden="1" customWidth="1"/>
    <col min="11" max="11" width="3" style="195" customWidth="1"/>
    <col min="12" max="12" width="5.08984375" style="195" customWidth="1"/>
    <col min="13" max="13" width="2.1796875" style="195" customWidth="1"/>
    <col min="14" max="14" width="2.453125" style="195" customWidth="1"/>
    <col min="15" max="15" width="3.36328125" style="195" customWidth="1"/>
    <col min="16" max="16" width="8.08984375" style="195" customWidth="1"/>
    <col min="17" max="17" width="9.1796875" style="195" customWidth="1"/>
    <col min="18" max="18" width="17.7265625" style="195" customWidth="1"/>
    <col min="19" max="19" width="15.453125" style="195" customWidth="1"/>
    <col min="20" max="20" width="15.6328125" style="195" customWidth="1"/>
    <col min="21" max="21" width="13.08984375" style="195" customWidth="1"/>
    <col min="22" max="22" width="12.453125" style="195" customWidth="1"/>
    <col min="23" max="23" width="11.81640625" style="195" customWidth="1"/>
    <col min="24" max="24" width="5.453125" style="195" customWidth="1"/>
    <col min="25" max="25" width="13.36328125" style="195" customWidth="1"/>
    <col min="26" max="26" width="12.6328125" style="195" customWidth="1"/>
    <col min="27" max="27" width="14.90625" style="195" customWidth="1"/>
    <col min="28" max="28" width="12" style="195" customWidth="1"/>
    <col min="29" max="29" width="17" style="195" customWidth="1"/>
    <col min="30" max="31" width="22" style="195" customWidth="1"/>
    <col min="32" max="32" width="13.7265625" style="195" customWidth="1"/>
    <col min="33" max="16384" width="8.7265625" style="195"/>
  </cols>
  <sheetData>
    <row r="1" spans="1:31" ht="13.5" customHeight="1"/>
    <row r="2" spans="1:31" ht="0" hidden="1" customHeight="1"/>
    <row r="3" spans="1:31" ht="0.9" customHeight="1">
      <c r="B3" s="321"/>
    </row>
    <row r="4" spans="1:31" ht="17" customHeight="1">
      <c r="B4" s="321"/>
      <c r="E4" s="339" t="s">
        <v>139</v>
      </c>
      <c r="F4" s="321"/>
      <c r="G4" s="321"/>
      <c r="H4" s="321"/>
    </row>
    <row r="5" spans="1:31" ht="3" customHeight="1">
      <c r="B5" s="321"/>
    </row>
    <row r="6" spans="1:31" ht="16" customHeight="1">
      <c r="B6" s="321"/>
      <c r="E6" s="340" t="s">
        <v>140</v>
      </c>
      <c r="F6" s="321"/>
      <c r="G6" s="321"/>
      <c r="H6" s="321"/>
    </row>
    <row r="7" spans="1:31" ht="2.75" customHeight="1">
      <c r="B7" s="321"/>
    </row>
    <row r="8" spans="1:31" ht="17.649999999999999" customHeight="1">
      <c r="B8" s="321"/>
      <c r="E8" s="340" t="s">
        <v>141</v>
      </c>
      <c r="F8" s="321"/>
      <c r="G8" s="321"/>
      <c r="H8" s="321"/>
    </row>
    <row r="9" spans="1:31">
      <c r="A9" s="196"/>
      <c r="B9" s="196"/>
      <c r="C9" s="196"/>
      <c r="D9" s="196"/>
      <c r="E9" s="324"/>
      <c r="F9" s="324"/>
      <c r="G9" s="324"/>
      <c r="H9" s="324"/>
      <c r="I9" s="196"/>
      <c r="J9" s="196"/>
    </row>
    <row r="10" spans="1:31" ht="23" customHeight="1"/>
    <row r="11" spans="1:31" ht="18" customHeight="1">
      <c r="A11" s="341" t="s">
        <v>0</v>
      </c>
      <c r="B11" s="321"/>
      <c r="C11" s="321"/>
      <c r="D11" s="321"/>
      <c r="E11" s="321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</row>
    <row r="12" spans="1:31" ht="11" customHeight="1"/>
    <row r="13" spans="1:31" ht="18" customHeight="1">
      <c r="J13" s="338" t="s">
        <v>142</v>
      </c>
      <c r="K13" s="321"/>
      <c r="L13" s="321"/>
      <c r="M13" s="321"/>
      <c r="N13" s="338" t="s">
        <v>143</v>
      </c>
      <c r="O13" s="321"/>
      <c r="P13" s="321"/>
    </row>
    <row r="14" spans="1:31" ht="16" customHeight="1"/>
    <row r="15" spans="1:31" ht="65">
      <c r="A15" s="336" t="s">
        <v>1</v>
      </c>
      <c r="B15" s="314"/>
      <c r="C15" s="315"/>
      <c r="D15" s="337" t="s">
        <v>2</v>
      </c>
      <c r="E15" s="315"/>
      <c r="F15" s="197" t="s">
        <v>3</v>
      </c>
      <c r="G15" s="197" t="s">
        <v>4</v>
      </c>
      <c r="H15" s="336" t="s">
        <v>5</v>
      </c>
      <c r="I15" s="314"/>
      <c r="J15" s="314"/>
      <c r="K15" s="315"/>
      <c r="L15" s="197" t="s">
        <v>6</v>
      </c>
      <c r="M15" s="336" t="s">
        <v>7</v>
      </c>
      <c r="N15" s="315"/>
      <c r="O15" s="197" t="s">
        <v>8</v>
      </c>
      <c r="P15" s="336" t="s">
        <v>9</v>
      </c>
      <c r="Q15" s="315"/>
      <c r="R15" s="197" t="s">
        <v>10</v>
      </c>
      <c r="S15" s="197" t="s">
        <v>11</v>
      </c>
      <c r="T15" s="197" t="s">
        <v>12</v>
      </c>
      <c r="U15" s="197" t="s">
        <v>13</v>
      </c>
      <c r="V15" s="335" t="s">
        <v>14</v>
      </c>
      <c r="W15" s="314"/>
      <c r="X15" s="314"/>
      <c r="Y15" s="315"/>
      <c r="Z15" s="335" t="s">
        <v>15</v>
      </c>
      <c r="AA15" s="314"/>
      <c r="AB15" s="315"/>
      <c r="AC15" s="335" t="s">
        <v>16</v>
      </c>
      <c r="AD15" s="314"/>
      <c r="AE15" s="315"/>
    </row>
    <row r="16" spans="1:31" ht="26">
      <c r="A16" s="313" t="s">
        <v>1</v>
      </c>
      <c r="B16" s="314"/>
      <c r="C16" s="315"/>
      <c r="D16" s="313" t="s">
        <v>1</v>
      </c>
      <c r="E16" s="315"/>
      <c r="F16" s="198" t="s">
        <v>1</v>
      </c>
      <c r="G16" s="198" t="s">
        <v>1</v>
      </c>
      <c r="H16" s="313" t="s">
        <v>1</v>
      </c>
      <c r="I16" s="314"/>
      <c r="J16" s="314"/>
      <c r="K16" s="315"/>
      <c r="L16" s="198" t="s">
        <v>1</v>
      </c>
      <c r="M16" s="313" t="s">
        <v>1</v>
      </c>
      <c r="N16" s="315"/>
      <c r="O16" s="198" t="s">
        <v>1</v>
      </c>
      <c r="P16" s="313" t="s">
        <v>1</v>
      </c>
      <c r="Q16" s="315"/>
      <c r="R16" s="198" t="s">
        <v>1</v>
      </c>
      <c r="S16" s="198" t="s">
        <v>1</v>
      </c>
      <c r="T16" s="198" t="s">
        <v>1</v>
      </c>
      <c r="U16" s="198" t="s">
        <v>1</v>
      </c>
      <c r="V16" s="198" t="s">
        <v>0</v>
      </c>
      <c r="W16" s="313" t="s">
        <v>17</v>
      </c>
      <c r="X16" s="315"/>
      <c r="Y16" s="198" t="s">
        <v>18</v>
      </c>
      <c r="Z16" s="198" t="s">
        <v>0</v>
      </c>
      <c r="AA16" s="198" t="s">
        <v>17</v>
      </c>
      <c r="AB16" s="198" t="s">
        <v>18</v>
      </c>
      <c r="AC16" s="198" t="s">
        <v>0</v>
      </c>
      <c r="AD16" s="198" t="s">
        <v>17</v>
      </c>
      <c r="AE16" s="198" t="s">
        <v>18</v>
      </c>
    </row>
    <row r="17" spans="1:31" ht="25">
      <c r="A17" s="317" t="s">
        <v>19</v>
      </c>
      <c r="B17" s="318"/>
      <c r="C17" s="319"/>
      <c r="D17" s="326" t="s">
        <v>20</v>
      </c>
      <c r="E17" s="319"/>
      <c r="F17" s="326" t="s">
        <v>21</v>
      </c>
      <c r="G17" s="199" t="s">
        <v>75</v>
      </c>
      <c r="H17" s="326" t="s">
        <v>155</v>
      </c>
      <c r="I17" s="314"/>
      <c r="J17" s="314"/>
      <c r="K17" s="315"/>
      <c r="L17" s="200" t="s">
        <v>24</v>
      </c>
      <c r="M17" s="333" t="s">
        <v>24</v>
      </c>
      <c r="N17" s="315"/>
      <c r="O17" s="200" t="s">
        <v>25</v>
      </c>
      <c r="P17" s="334">
        <v>45261</v>
      </c>
      <c r="Q17" s="315"/>
      <c r="R17" s="201">
        <v>45596</v>
      </c>
      <c r="S17" s="201">
        <v>45526.405005057903</v>
      </c>
      <c r="T17" s="202">
        <v>-693</v>
      </c>
      <c r="U17" s="202">
        <v>0</v>
      </c>
      <c r="V17" s="202">
        <v>-450.45</v>
      </c>
      <c r="W17" s="329">
        <v>-93.54</v>
      </c>
      <c r="X17" s="315"/>
      <c r="Y17" s="202">
        <v>-35.44</v>
      </c>
      <c r="Z17" s="202">
        <v>-242.55</v>
      </c>
      <c r="AA17" s="202">
        <v>0</v>
      </c>
      <c r="AB17" s="202">
        <v>0</v>
      </c>
      <c r="AC17" s="200"/>
      <c r="AD17" s="200"/>
      <c r="AE17" s="200"/>
    </row>
    <row r="18" spans="1:31">
      <c r="A18" s="320"/>
      <c r="B18" s="321"/>
      <c r="C18" s="322"/>
      <c r="D18" s="320"/>
      <c r="E18" s="322"/>
      <c r="F18" s="327"/>
      <c r="G18" s="326" t="s">
        <v>48</v>
      </c>
      <c r="H18" s="326" t="s">
        <v>144</v>
      </c>
      <c r="I18" s="318"/>
      <c r="J18" s="318"/>
      <c r="K18" s="319"/>
      <c r="L18" s="200" t="s">
        <v>24</v>
      </c>
      <c r="M18" s="333" t="s">
        <v>26</v>
      </c>
      <c r="N18" s="315"/>
      <c r="O18" s="200" t="s">
        <v>25</v>
      </c>
      <c r="P18" s="334">
        <v>45352</v>
      </c>
      <c r="Q18" s="315"/>
      <c r="R18" s="201">
        <v>45596</v>
      </c>
      <c r="S18" s="201">
        <v>45526.221108831</v>
      </c>
      <c r="T18" s="202">
        <v>-14659.836101000001</v>
      </c>
      <c r="U18" s="202">
        <v>0</v>
      </c>
      <c r="V18" s="202">
        <v>-4764.4467329999998</v>
      </c>
      <c r="W18" s="329">
        <v>-989.38500799999997</v>
      </c>
      <c r="X18" s="315"/>
      <c r="Y18" s="202">
        <v>-374.866668</v>
      </c>
      <c r="Z18" s="202">
        <v>-2565.4713179999999</v>
      </c>
      <c r="AA18" s="202">
        <v>0</v>
      </c>
      <c r="AB18" s="202">
        <v>0</v>
      </c>
      <c r="AC18" s="202">
        <v>-7329.9180500000002</v>
      </c>
      <c r="AD18" s="202">
        <v>-1280.2434860000001</v>
      </c>
      <c r="AE18" s="202">
        <v>-532.73844299999996</v>
      </c>
    </row>
    <row r="19" spans="1:31">
      <c r="A19" s="320"/>
      <c r="B19" s="321"/>
      <c r="C19" s="322"/>
      <c r="D19" s="320"/>
      <c r="E19" s="322"/>
      <c r="F19" s="327"/>
      <c r="G19" s="327"/>
      <c r="H19" s="323"/>
      <c r="I19" s="324"/>
      <c r="J19" s="324"/>
      <c r="K19" s="325"/>
      <c r="L19" s="200" t="s">
        <v>26</v>
      </c>
      <c r="M19" s="333" t="s">
        <v>24</v>
      </c>
      <c r="N19" s="315"/>
      <c r="O19" s="200" t="s">
        <v>25</v>
      </c>
      <c r="P19" s="334">
        <v>45352</v>
      </c>
      <c r="Q19" s="315"/>
      <c r="R19" s="201">
        <v>45596</v>
      </c>
      <c r="S19" s="201">
        <v>45526.221108831</v>
      </c>
      <c r="T19" s="202">
        <v>-6578.8525</v>
      </c>
      <c r="U19" s="202">
        <v>0</v>
      </c>
      <c r="V19" s="202">
        <v>-4276.2541250000004</v>
      </c>
      <c r="W19" s="329">
        <v>-888.00693100000001</v>
      </c>
      <c r="X19" s="315"/>
      <c r="Y19" s="202">
        <v>-336.45567399999999</v>
      </c>
      <c r="Z19" s="202">
        <v>-2302.598375</v>
      </c>
      <c r="AA19" s="202">
        <v>0</v>
      </c>
      <c r="AB19" s="202">
        <v>0</v>
      </c>
      <c r="AC19" s="200"/>
      <c r="AD19" s="200"/>
      <c r="AE19" s="200"/>
    </row>
    <row r="20" spans="1:31">
      <c r="A20" s="320"/>
      <c r="B20" s="321"/>
      <c r="C20" s="322"/>
      <c r="D20" s="320"/>
      <c r="E20" s="322"/>
      <c r="F20" s="327"/>
      <c r="G20" s="327"/>
      <c r="H20" s="330" t="s">
        <v>156</v>
      </c>
      <c r="I20" s="331"/>
      <c r="J20" s="331"/>
      <c r="K20" s="332"/>
      <c r="L20" s="200" t="s">
        <v>24</v>
      </c>
      <c r="M20" s="333" t="s">
        <v>24</v>
      </c>
      <c r="N20" s="315"/>
      <c r="O20" s="200" t="s">
        <v>25</v>
      </c>
      <c r="P20" s="334">
        <v>45200</v>
      </c>
      <c r="Q20" s="315"/>
      <c r="R20" s="201">
        <v>45565</v>
      </c>
      <c r="S20" s="201">
        <v>45526.526064467602</v>
      </c>
      <c r="T20" s="15">
        <v>-354.2</v>
      </c>
      <c r="U20" s="202">
        <v>0</v>
      </c>
      <c r="V20" s="15">
        <v>-230.23</v>
      </c>
      <c r="W20" s="343">
        <v>-47.809561000000002</v>
      </c>
      <c r="X20" s="332"/>
      <c r="Y20" s="15">
        <v>-18.114495999999999</v>
      </c>
      <c r="Z20" s="15">
        <v>-123.97</v>
      </c>
      <c r="AA20" s="202">
        <v>0</v>
      </c>
      <c r="AB20" s="202">
        <v>0</v>
      </c>
      <c r="AC20" s="200"/>
      <c r="AD20" s="200"/>
      <c r="AE20" s="200"/>
    </row>
    <row r="21" spans="1:31">
      <c r="A21" s="320"/>
      <c r="B21" s="321"/>
      <c r="C21" s="322"/>
      <c r="D21" s="320"/>
      <c r="E21" s="322"/>
      <c r="F21" s="327"/>
      <c r="G21" s="328"/>
      <c r="H21" s="326" t="s">
        <v>154</v>
      </c>
      <c r="I21" s="314"/>
      <c r="J21" s="314"/>
      <c r="K21" s="315"/>
      <c r="L21" s="200" t="s">
        <v>24</v>
      </c>
      <c r="M21" s="333" t="s">
        <v>24</v>
      </c>
      <c r="N21" s="315"/>
      <c r="O21" s="200" t="s">
        <v>25</v>
      </c>
      <c r="P21" s="334">
        <v>45231</v>
      </c>
      <c r="Q21" s="315"/>
      <c r="R21" s="201">
        <v>45596</v>
      </c>
      <c r="S21" s="201">
        <v>45526.271056863399</v>
      </c>
      <c r="T21" s="202">
        <v>-1235.52</v>
      </c>
      <c r="U21" s="202">
        <v>0</v>
      </c>
      <c r="V21" s="202">
        <v>-803.08799999999997</v>
      </c>
      <c r="W21" s="329">
        <v>-166.76925399999999</v>
      </c>
      <c r="X21" s="315"/>
      <c r="Y21" s="202">
        <v>-63.186962999999999</v>
      </c>
      <c r="Z21" s="202">
        <v>-432.43200000000002</v>
      </c>
      <c r="AA21" s="202">
        <v>0</v>
      </c>
      <c r="AB21" s="202">
        <v>0</v>
      </c>
      <c r="AC21" s="200"/>
      <c r="AD21" s="200"/>
      <c r="AE21" s="200"/>
    </row>
    <row r="22" spans="1:31">
      <c r="A22" s="320"/>
      <c r="B22" s="321"/>
      <c r="C22" s="322"/>
      <c r="D22" s="320"/>
      <c r="E22" s="322"/>
      <c r="F22" s="327"/>
      <c r="G22" s="326" t="s">
        <v>22</v>
      </c>
      <c r="H22" s="326" t="s">
        <v>144</v>
      </c>
      <c r="I22" s="318"/>
      <c r="J22" s="318"/>
      <c r="K22" s="319"/>
      <c r="L22" s="200" t="s">
        <v>24</v>
      </c>
      <c r="M22" s="333" t="s">
        <v>24</v>
      </c>
      <c r="N22" s="315"/>
      <c r="O22" s="200" t="s">
        <v>25</v>
      </c>
      <c r="P22" s="334">
        <v>45231</v>
      </c>
      <c r="Q22" s="315"/>
      <c r="R22" s="201">
        <v>45596</v>
      </c>
      <c r="S22" s="201">
        <v>45526.215813344897</v>
      </c>
      <c r="T22" s="202">
        <v>56699.99</v>
      </c>
      <c r="U22" s="202">
        <v>1820</v>
      </c>
      <c r="V22" s="202">
        <v>8189.99</v>
      </c>
      <c r="W22" s="329">
        <v>1700.73</v>
      </c>
      <c r="X22" s="315"/>
      <c r="Y22" s="202">
        <v>644.38</v>
      </c>
      <c r="Z22" s="202">
        <v>4410</v>
      </c>
      <c r="AA22" s="202">
        <v>0</v>
      </c>
      <c r="AB22" s="202">
        <v>0</v>
      </c>
      <c r="AC22" s="202">
        <v>44100</v>
      </c>
      <c r="AD22" s="202">
        <v>7702.5</v>
      </c>
      <c r="AE22" s="202">
        <v>3205.18</v>
      </c>
    </row>
    <row r="23" spans="1:31">
      <c r="A23" s="320"/>
      <c r="B23" s="321"/>
      <c r="C23" s="322"/>
      <c r="D23" s="320"/>
      <c r="E23" s="322"/>
      <c r="F23" s="327"/>
      <c r="G23" s="327"/>
      <c r="H23" s="320"/>
      <c r="I23" s="321"/>
      <c r="J23" s="321"/>
      <c r="K23" s="322"/>
      <c r="L23" s="200" t="s">
        <v>24</v>
      </c>
      <c r="M23" s="333" t="s">
        <v>26</v>
      </c>
      <c r="N23" s="315"/>
      <c r="O23" s="200" t="s">
        <v>25</v>
      </c>
      <c r="P23" s="334">
        <v>45231</v>
      </c>
      <c r="Q23" s="315"/>
      <c r="R23" s="201">
        <v>45596</v>
      </c>
      <c r="S23" s="201">
        <v>45526.215813344897</v>
      </c>
      <c r="T23" s="202">
        <v>21900</v>
      </c>
      <c r="U23" s="202">
        <v>1820</v>
      </c>
      <c r="V23" s="202">
        <v>7117.5</v>
      </c>
      <c r="W23" s="329">
        <v>1478.02</v>
      </c>
      <c r="X23" s="315"/>
      <c r="Y23" s="202">
        <v>560</v>
      </c>
      <c r="Z23" s="202">
        <v>3832.5</v>
      </c>
      <c r="AA23" s="202">
        <v>0</v>
      </c>
      <c r="AB23" s="202">
        <v>0</v>
      </c>
      <c r="AC23" s="202">
        <v>10950</v>
      </c>
      <c r="AD23" s="202">
        <v>1912.52</v>
      </c>
      <c r="AE23" s="202">
        <v>795.84</v>
      </c>
    </row>
    <row r="24" spans="1:31">
      <c r="A24" s="320"/>
      <c r="B24" s="321"/>
      <c r="C24" s="322"/>
      <c r="D24" s="320"/>
      <c r="E24" s="322"/>
      <c r="F24" s="327"/>
      <c r="G24" s="327"/>
      <c r="H24" s="323"/>
      <c r="I24" s="324"/>
      <c r="J24" s="324"/>
      <c r="K24" s="325"/>
      <c r="L24" s="200" t="s">
        <v>26</v>
      </c>
      <c r="M24" s="333" t="s">
        <v>24</v>
      </c>
      <c r="N24" s="315"/>
      <c r="O24" s="200" t="s">
        <v>25</v>
      </c>
      <c r="P24" s="334">
        <v>45231</v>
      </c>
      <c r="Q24" s="315"/>
      <c r="R24" s="201">
        <v>45596</v>
      </c>
      <c r="S24" s="201">
        <v>45526.215813344897</v>
      </c>
      <c r="T24" s="202">
        <v>9828</v>
      </c>
      <c r="U24" s="202">
        <v>1820</v>
      </c>
      <c r="V24" s="202">
        <v>6388.2</v>
      </c>
      <c r="W24" s="329">
        <v>1326.57</v>
      </c>
      <c r="X24" s="315"/>
      <c r="Y24" s="202">
        <v>502.62</v>
      </c>
      <c r="Z24" s="202">
        <v>3439.8</v>
      </c>
      <c r="AA24" s="202">
        <v>0</v>
      </c>
      <c r="AB24" s="202">
        <v>0</v>
      </c>
      <c r="AC24" s="200"/>
      <c r="AD24" s="200"/>
      <c r="AE24" s="200"/>
    </row>
    <row r="25" spans="1:31">
      <c r="A25" s="320"/>
      <c r="B25" s="321"/>
      <c r="C25" s="322"/>
      <c r="D25" s="320"/>
      <c r="E25" s="322"/>
      <c r="F25" s="327"/>
      <c r="G25" s="327"/>
      <c r="H25" s="326" t="s">
        <v>155</v>
      </c>
      <c r="I25" s="314"/>
      <c r="J25" s="314"/>
      <c r="K25" s="315"/>
      <c r="L25" s="200" t="s">
        <v>24</v>
      </c>
      <c r="M25" s="333" t="s">
        <v>24</v>
      </c>
      <c r="N25" s="315"/>
      <c r="O25" s="200" t="s">
        <v>25</v>
      </c>
      <c r="P25" s="334">
        <v>45231</v>
      </c>
      <c r="Q25" s="315"/>
      <c r="R25" s="201">
        <v>45596</v>
      </c>
      <c r="S25" s="201">
        <v>45526.401914583301</v>
      </c>
      <c r="T25" s="202">
        <v>8455</v>
      </c>
      <c r="U25" s="202">
        <v>222.5</v>
      </c>
      <c r="V25" s="202">
        <v>5495.75</v>
      </c>
      <c r="W25" s="329">
        <v>1141.24</v>
      </c>
      <c r="X25" s="315"/>
      <c r="Y25" s="202">
        <v>432.4</v>
      </c>
      <c r="Z25" s="202">
        <v>2959.25</v>
      </c>
      <c r="AA25" s="202">
        <v>0</v>
      </c>
      <c r="AB25" s="202">
        <v>0</v>
      </c>
      <c r="AC25" s="200"/>
      <c r="AD25" s="200"/>
      <c r="AE25" s="200"/>
    </row>
    <row r="26" spans="1:31">
      <c r="A26" s="320"/>
      <c r="B26" s="321"/>
      <c r="C26" s="322"/>
      <c r="D26" s="320"/>
      <c r="E26" s="322"/>
      <c r="F26" s="327"/>
      <c r="G26" s="327"/>
      <c r="H26" s="330" t="s">
        <v>156</v>
      </c>
      <c r="I26" s="331"/>
      <c r="J26" s="331"/>
      <c r="K26" s="332"/>
      <c r="L26" s="200" t="s">
        <v>24</v>
      </c>
      <c r="M26" s="333" t="s">
        <v>24</v>
      </c>
      <c r="N26" s="315"/>
      <c r="O26" s="200" t="s">
        <v>25</v>
      </c>
      <c r="P26" s="334">
        <v>45200</v>
      </c>
      <c r="Q26" s="315"/>
      <c r="R26" s="201">
        <v>45565</v>
      </c>
      <c r="S26" s="201">
        <v>45526.516451932897</v>
      </c>
      <c r="T26" s="15">
        <v>1771</v>
      </c>
      <c r="U26" s="202">
        <v>57.5</v>
      </c>
      <c r="V26" s="15">
        <v>1151.1500000000001</v>
      </c>
      <c r="W26" s="343">
        <v>239.04</v>
      </c>
      <c r="X26" s="332"/>
      <c r="Y26" s="15">
        <v>90.57</v>
      </c>
      <c r="Z26" s="15">
        <v>619.85</v>
      </c>
      <c r="AA26" s="202">
        <v>0</v>
      </c>
      <c r="AB26" s="202">
        <v>0</v>
      </c>
      <c r="AC26" s="200"/>
      <c r="AD26" s="200"/>
      <c r="AE26" s="200"/>
    </row>
    <row r="27" spans="1:31">
      <c r="A27" s="323"/>
      <c r="B27" s="324"/>
      <c r="C27" s="325"/>
      <c r="D27" s="323"/>
      <c r="E27" s="325"/>
      <c r="F27" s="328"/>
      <c r="G27" s="328"/>
      <c r="H27" s="326" t="s">
        <v>154</v>
      </c>
      <c r="I27" s="314"/>
      <c r="J27" s="314"/>
      <c r="K27" s="315"/>
      <c r="L27" s="200" t="s">
        <v>24</v>
      </c>
      <c r="M27" s="333" t="s">
        <v>24</v>
      </c>
      <c r="N27" s="315"/>
      <c r="O27" s="200" t="s">
        <v>25</v>
      </c>
      <c r="P27" s="334">
        <v>45231</v>
      </c>
      <c r="Q27" s="315"/>
      <c r="R27" s="201">
        <v>45596</v>
      </c>
      <c r="S27" s="201">
        <v>45526.2608869213</v>
      </c>
      <c r="T27" s="202">
        <v>7722</v>
      </c>
      <c r="U27" s="202">
        <v>195</v>
      </c>
      <c r="V27" s="202">
        <v>5019.3</v>
      </c>
      <c r="W27" s="329">
        <v>1042.3</v>
      </c>
      <c r="X27" s="315"/>
      <c r="Y27" s="202">
        <v>394.91</v>
      </c>
      <c r="Z27" s="202">
        <v>2702.7</v>
      </c>
      <c r="AA27" s="202">
        <v>0</v>
      </c>
      <c r="AB27" s="202">
        <v>0</v>
      </c>
      <c r="AC27" s="200"/>
      <c r="AD27" s="200"/>
      <c r="AE27" s="200"/>
    </row>
    <row r="28" spans="1:31" ht="16">
      <c r="A28" s="313" t="s">
        <v>1</v>
      </c>
      <c r="B28" s="314"/>
      <c r="C28" s="315"/>
      <c r="D28" s="316" t="s">
        <v>1</v>
      </c>
      <c r="E28" s="315"/>
      <c r="F28" s="203" t="s">
        <v>1</v>
      </c>
      <c r="G28" s="203" t="s">
        <v>1</v>
      </c>
      <c r="H28" s="316" t="s">
        <v>1</v>
      </c>
      <c r="I28" s="314"/>
      <c r="J28" s="314"/>
      <c r="K28" s="315"/>
      <c r="L28" s="203" t="s">
        <v>1</v>
      </c>
      <c r="M28" s="316" t="s">
        <v>1</v>
      </c>
      <c r="N28" s="315"/>
      <c r="O28" s="203" t="s">
        <v>1</v>
      </c>
      <c r="P28" s="316" t="s">
        <v>1</v>
      </c>
      <c r="Q28" s="315"/>
      <c r="R28" s="198" t="s">
        <v>27</v>
      </c>
      <c r="S28" s="13" t="s">
        <v>1</v>
      </c>
      <c r="T28" s="202">
        <v>82854.581399000002</v>
      </c>
      <c r="U28" s="202">
        <v>5935</v>
      </c>
      <c r="V28" s="202">
        <v>22837.421141999999</v>
      </c>
      <c r="W28" s="329">
        <v>4742.3892459999997</v>
      </c>
      <c r="X28" s="315"/>
      <c r="Y28" s="202">
        <v>1796.8161990000001</v>
      </c>
      <c r="Z28" s="202">
        <v>12297.078307</v>
      </c>
      <c r="AA28" s="202">
        <v>0</v>
      </c>
      <c r="AB28" s="202">
        <v>0</v>
      </c>
      <c r="AC28" s="202">
        <v>47720.08195</v>
      </c>
      <c r="AD28" s="202">
        <v>8334.7765139999992</v>
      </c>
      <c r="AE28" s="202">
        <v>3468.2815569999998</v>
      </c>
    </row>
    <row r="29" spans="1:31" ht="18" customHeight="1"/>
    <row r="30" spans="1:31" ht="15" thickBot="1"/>
    <row r="31" spans="1:31" ht="15.5">
      <c r="F31" s="261" t="s">
        <v>43</v>
      </c>
      <c r="G31" s="262"/>
      <c r="H31" s="262"/>
      <c r="I31" s="263"/>
      <c r="R31" s="195" t="s">
        <v>157</v>
      </c>
      <c r="S31" s="202">
        <v>1771</v>
      </c>
      <c r="V31" s="195">
        <f>T20*0.65</f>
        <v>-230.23</v>
      </c>
      <c r="W31" s="342">
        <f>(V31*60%)*34.61%</f>
        <v>-47.809561799999997</v>
      </c>
      <c r="X31" s="342"/>
      <c r="Y31" s="195">
        <f>V31*40%*19.67%</f>
        <v>-18.1144964</v>
      </c>
      <c r="Z31" s="195">
        <f>T20*0.35</f>
        <v>-123.96999999999998</v>
      </c>
    </row>
    <row r="32" spans="1:31" ht="28" customHeight="1" thickBot="1">
      <c r="F32" s="178" t="s">
        <v>160</v>
      </c>
      <c r="G32" s="264" t="s">
        <v>161</v>
      </c>
      <c r="H32" s="253"/>
      <c r="I32" s="39" t="s">
        <v>40</v>
      </c>
      <c r="R32" s="195" t="s">
        <v>158</v>
      </c>
      <c r="S32" s="195">
        <v>20</v>
      </c>
      <c r="V32" s="195">
        <f>T26*0.65</f>
        <v>1151.1500000000001</v>
      </c>
      <c r="W32" s="342">
        <f>(V32*60%)*34.61%</f>
        <v>239.04780900000003</v>
      </c>
      <c r="X32" s="342"/>
      <c r="Y32" s="195">
        <f>V32*40%*19.67%</f>
        <v>90.572482000000008</v>
      </c>
      <c r="Z32" s="195">
        <f>T26*0.35</f>
        <v>619.84999999999991</v>
      </c>
    </row>
    <row r="33" spans="6:19">
      <c r="F33" s="238" t="s">
        <v>36</v>
      </c>
      <c r="G33" s="239"/>
      <c r="H33" s="239"/>
      <c r="I33" s="244" t="s">
        <v>14</v>
      </c>
    </row>
    <row r="34" spans="6:19">
      <c r="F34" s="240" t="s">
        <v>37</v>
      </c>
      <c r="G34" s="241"/>
      <c r="H34" s="241"/>
      <c r="I34" s="245"/>
      <c r="R34" s="195" t="s">
        <v>159</v>
      </c>
      <c r="S34" s="195">
        <f>S31*S32%</f>
        <v>354.20000000000005</v>
      </c>
    </row>
    <row r="35" spans="6:19" ht="29.5" customHeight="1">
      <c r="F35" s="240" t="s">
        <v>38</v>
      </c>
      <c r="G35" s="241"/>
      <c r="H35" s="241"/>
      <c r="I35" s="245"/>
    </row>
    <row r="36" spans="6:19" ht="31.5" customHeight="1" thickBot="1">
      <c r="F36" s="242" t="s">
        <v>39</v>
      </c>
      <c r="G36" s="243"/>
      <c r="H36" s="243"/>
      <c r="I36" s="246"/>
    </row>
    <row r="37" spans="6:19" ht="22" customHeight="1">
      <c r="F37" s="238" t="s">
        <v>36</v>
      </c>
      <c r="G37" s="239"/>
      <c r="H37" s="239"/>
      <c r="I37" s="244" t="s">
        <v>16</v>
      </c>
    </row>
    <row r="38" spans="6:19" ht="18" customHeight="1">
      <c r="F38" s="240" t="s">
        <v>37</v>
      </c>
      <c r="G38" s="241"/>
      <c r="H38" s="241"/>
      <c r="I38" s="245"/>
    </row>
    <row r="39" spans="6:19" ht="30" customHeight="1">
      <c r="F39" s="240" t="s">
        <v>41</v>
      </c>
      <c r="G39" s="241"/>
      <c r="H39" s="241"/>
      <c r="I39" s="245"/>
    </row>
    <row r="40" spans="6:19" ht="35" customHeight="1" thickBot="1">
      <c r="F40" s="242" t="s">
        <v>42</v>
      </c>
      <c r="G40" s="243"/>
      <c r="H40" s="243"/>
      <c r="I40" s="246"/>
    </row>
  </sheetData>
  <mergeCells count="87">
    <mergeCell ref="J13:M13"/>
    <mergeCell ref="N13:P13"/>
    <mergeCell ref="B3:B8"/>
    <mergeCell ref="E4:H4"/>
    <mergeCell ref="E6:H6"/>
    <mergeCell ref="E8:H9"/>
    <mergeCell ref="A11:W11"/>
    <mergeCell ref="Z15:AB15"/>
    <mergeCell ref="AC15:AE15"/>
    <mergeCell ref="A16:C16"/>
    <mergeCell ref="D16:E16"/>
    <mergeCell ref="H16:K16"/>
    <mergeCell ref="M16:N16"/>
    <mergeCell ref="P16:Q16"/>
    <mergeCell ref="W16:X16"/>
    <mergeCell ref="A15:C15"/>
    <mergeCell ref="D15:E15"/>
    <mergeCell ref="H15:K15"/>
    <mergeCell ref="M15:N15"/>
    <mergeCell ref="P15:Q15"/>
    <mergeCell ref="V15:Y15"/>
    <mergeCell ref="A17:C27"/>
    <mergeCell ref="D17:E27"/>
    <mergeCell ref="F17:F27"/>
    <mergeCell ref="H17:K17"/>
    <mergeCell ref="M17:N17"/>
    <mergeCell ref="M20:N20"/>
    <mergeCell ref="M23:N23"/>
    <mergeCell ref="G22:G27"/>
    <mergeCell ref="H22:K24"/>
    <mergeCell ref="M22:N22"/>
    <mergeCell ref="M24:N24"/>
    <mergeCell ref="W17:X17"/>
    <mergeCell ref="G18:G21"/>
    <mergeCell ref="H18:K19"/>
    <mergeCell ref="M18:N18"/>
    <mergeCell ref="P18:Q18"/>
    <mergeCell ref="W18:X18"/>
    <mergeCell ref="M19:N19"/>
    <mergeCell ref="P19:Q19"/>
    <mergeCell ref="W19:X19"/>
    <mergeCell ref="H20:K20"/>
    <mergeCell ref="P17:Q17"/>
    <mergeCell ref="P20:Q20"/>
    <mergeCell ref="P22:Q22"/>
    <mergeCell ref="W22:X22"/>
    <mergeCell ref="P23:Q23"/>
    <mergeCell ref="W20:X20"/>
    <mergeCell ref="H21:K21"/>
    <mergeCell ref="M21:N21"/>
    <mergeCell ref="P21:Q21"/>
    <mergeCell ref="W21:X21"/>
    <mergeCell ref="W23:X23"/>
    <mergeCell ref="P24:Q24"/>
    <mergeCell ref="W24:X24"/>
    <mergeCell ref="H25:K25"/>
    <mergeCell ref="M25:N25"/>
    <mergeCell ref="P25:Q25"/>
    <mergeCell ref="W25:X25"/>
    <mergeCell ref="W28:X28"/>
    <mergeCell ref="H26:K26"/>
    <mergeCell ref="M26:N26"/>
    <mergeCell ref="P26:Q26"/>
    <mergeCell ref="W26:X26"/>
    <mergeCell ref="H27:K27"/>
    <mergeCell ref="M27:N27"/>
    <mergeCell ref="P27:Q27"/>
    <mergeCell ref="W27:X27"/>
    <mergeCell ref="A28:C28"/>
    <mergeCell ref="D28:E28"/>
    <mergeCell ref="H28:K28"/>
    <mergeCell ref="M28:N28"/>
    <mergeCell ref="P28:Q28"/>
    <mergeCell ref="W31:X31"/>
    <mergeCell ref="W32:X32"/>
    <mergeCell ref="F31:I31"/>
    <mergeCell ref="G32:H32"/>
    <mergeCell ref="F33:H33"/>
    <mergeCell ref="I33:I36"/>
    <mergeCell ref="F34:H34"/>
    <mergeCell ref="F35:H35"/>
    <mergeCell ref="F36:H36"/>
    <mergeCell ref="F37:H37"/>
    <mergeCell ref="I37:I40"/>
    <mergeCell ref="F38:H38"/>
    <mergeCell ref="F39:H39"/>
    <mergeCell ref="F40:H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Usecases</vt:lpstr>
      <vt:lpstr>UC1_NB</vt:lpstr>
      <vt:lpstr>UC2_End+ve</vt:lpstr>
      <vt:lpstr>UC3_End-ve</vt:lpstr>
      <vt:lpstr>UC4_RNwith_AddBuilding</vt:lpstr>
      <vt:lpstr>UC5_End(+ve&amp;delBuilding)</vt:lpstr>
      <vt:lpstr>UC_Cancellation</vt:lpstr>
      <vt:lpstr>UC6_deletebuilding</vt:lpstr>
      <vt:lpstr>UC8_FacEnd</vt:lpstr>
      <vt:lpstr>UC9_NBFac</vt:lpstr>
      <vt:lpstr>Sheet1</vt:lpstr>
      <vt:lpstr>Images</vt:lpstr>
      <vt:lpstr>ImpactedPremiumCal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Khushbu Kumari</dc:creator>
  <cp:lastModifiedBy>Khushbu Kumari</cp:lastModifiedBy>
  <dcterms:created xsi:type="dcterms:W3CDTF">2024-08-11T18:16:46Z</dcterms:created>
  <dcterms:modified xsi:type="dcterms:W3CDTF">2024-09-03T05:00:27Z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