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rivers" sheetId="1" r:id="rId1"/>
    <sheet name="forecasted statatements " sheetId="2" r:id="rId2"/>
  </sheets>
  <externalReferences>
    <externalReference r:id="rId3"/>
  </externalReferences>
  <definedNames>
    <definedName name="Cash_Interest_Rate">#REF!</definedName>
    <definedName name="Company_Name">#REF!</definedName>
    <definedName name="Debt_Interest_Rate">#REF!</definedName>
    <definedName name="GM_Improv">#REF!</definedName>
    <definedName name="Hist_Yr">#REF!</definedName>
    <definedName name="Share_Price">#REF!</definedName>
    <definedName name="Tax_Rate">#REF!</definedName>
  </definedNames>
  <calcPr calcId="145621" calcMode="autoNoTable"/>
</workbook>
</file>

<file path=xl/calcChain.xml><?xml version="1.0" encoding="utf-8"?>
<calcChain xmlns="http://schemas.openxmlformats.org/spreadsheetml/2006/main">
  <c r="G103" i="2" l="1"/>
  <c r="F103" i="2"/>
  <c r="E103" i="2"/>
  <c r="L102" i="2"/>
  <c r="K102" i="2"/>
  <c r="J102" i="2"/>
  <c r="I102" i="2"/>
  <c r="H102" i="2"/>
  <c r="L100" i="2"/>
  <c r="K100" i="2"/>
  <c r="J100" i="2"/>
  <c r="I100" i="2"/>
  <c r="H100" i="2"/>
  <c r="K96" i="2"/>
  <c r="G96" i="2"/>
  <c r="F96" i="2"/>
  <c r="E96" i="2"/>
  <c r="L95" i="2"/>
  <c r="K95" i="2"/>
  <c r="J95" i="2"/>
  <c r="I95" i="2"/>
  <c r="H95" i="2"/>
  <c r="L94" i="2"/>
  <c r="K94" i="2"/>
  <c r="J94" i="2"/>
  <c r="J96" i="2" s="1"/>
  <c r="I94" i="2"/>
  <c r="H94" i="2"/>
  <c r="L80" i="2"/>
  <c r="K80" i="2"/>
  <c r="J80" i="2"/>
  <c r="I80" i="2"/>
  <c r="H80" i="2"/>
  <c r="L79" i="2"/>
  <c r="K79" i="2"/>
  <c r="J79" i="2"/>
  <c r="I79" i="2"/>
  <c r="H79" i="2"/>
  <c r="H44" i="2" s="1"/>
  <c r="I44" i="2" s="1"/>
  <c r="J44" i="2" s="1"/>
  <c r="G62" i="2"/>
  <c r="F62" i="2"/>
  <c r="E62" i="2"/>
  <c r="E64" i="2" s="1"/>
  <c r="E68" i="2" s="1"/>
  <c r="G56" i="2"/>
  <c r="F56" i="2"/>
  <c r="E56" i="2"/>
  <c r="G47" i="2"/>
  <c r="F47" i="2"/>
  <c r="E47" i="2"/>
  <c r="E49" i="2" s="1"/>
  <c r="H45" i="2"/>
  <c r="I45" i="2" s="1"/>
  <c r="G40" i="2"/>
  <c r="F40" i="2"/>
  <c r="E40" i="2"/>
  <c r="G22" i="2"/>
  <c r="F22" i="2"/>
  <c r="E22" i="2"/>
  <c r="H21" i="2"/>
  <c r="G14" i="2"/>
  <c r="F14" i="2"/>
  <c r="E14" i="2"/>
  <c r="E16" i="2" s="1"/>
  <c r="L13" i="2"/>
  <c r="K13" i="2"/>
  <c r="J13" i="2"/>
  <c r="I13" i="2"/>
  <c r="H13" i="2"/>
  <c r="L12" i="2"/>
  <c r="K12" i="2"/>
  <c r="J12" i="2"/>
  <c r="I12" i="2"/>
  <c r="H12" i="2"/>
  <c r="G8" i="2"/>
  <c r="F8" i="2"/>
  <c r="F16" i="2" s="1"/>
  <c r="E8" i="2"/>
  <c r="H4" i="2"/>
  <c r="G59" i="1"/>
  <c r="F59" i="1"/>
  <c r="E59" i="1"/>
  <c r="G50" i="1"/>
  <c r="F50" i="1"/>
  <c r="E50" i="1"/>
  <c r="G48" i="1"/>
  <c r="F48" i="1"/>
  <c r="E48" i="1"/>
  <c r="G46" i="1"/>
  <c r="F46" i="1"/>
  <c r="E46" i="1"/>
  <c r="G42" i="1"/>
  <c r="F42" i="1"/>
  <c r="E42" i="1"/>
  <c r="H42" i="1" s="1"/>
  <c r="I42" i="1" s="1"/>
  <c r="J42" i="1" s="1"/>
  <c r="K42" i="1" s="1"/>
  <c r="L42" i="1" s="1"/>
  <c r="G41" i="1"/>
  <c r="F41" i="1"/>
  <c r="E41" i="1"/>
  <c r="G39" i="1"/>
  <c r="F39" i="1"/>
  <c r="E39" i="1"/>
  <c r="I38" i="1"/>
  <c r="J38" i="1" s="1"/>
  <c r="K38" i="1" s="1"/>
  <c r="L38" i="1" s="1"/>
  <c r="G38" i="1"/>
  <c r="F38" i="1"/>
  <c r="E38" i="1"/>
  <c r="G37" i="1"/>
  <c r="F37" i="1"/>
  <c r="E37" i="1"/>
  <c r="L35" i="1"/>
  <c r="J35" i="1"/>
  <c r="G35" i="1"/>
  <c r="F35" i="1"/>
  <c r="E35" i="1"/>
  <c r="L34" i="1"/>
  <c r="J34" i="1"/>
  <c r="G34" i="1"/>
  <c r="F34" i="1"/>
  <c r="E34" i="1"/>
  <c r="G33" i="1"/>
  <c r="F33" i="1"/>
  <c r="E33" i="1"/>
  <c r="H28" i="1"/>
  <c r="H23" i="1"/>
  <c r="K24" i="1" s="1"/>
  <c r="K101" i="2" s="1"/>
  <c r="G16" i="1"/>
  <c r="F16" i="1"/>
  <c r="E16" i="1"/>
  <c r="E15" i="1"/>
  <c r="G14" i="1"/>
  <c r="F14" i="1"/>
  <c r="K44" i="2" l="1"/>
  <c r="L44" i="2" s="1"/>
  <c r="F49" i="2"/>
  <c r="F15" i="1"/>
  <c r="H48" i="1"/>
  <c r="I48" i="1" s="1"/>
  <c r="J48" i="1" s="1"/>
  <c r="K48" i="1" s="1"/>
  <c r="L48" i="1" s="1"/>
  <c r="G16" i="2"/>
  <c r="G17" i="2" s="1"/>
  <c r="J45" i="2"/>
  <c r="H96" i="2"/>
  <c r="L24" i="1"/>
  <c r="L101" i="2" s="1"/>
  <c r="H50" i="1"/>
  <c r="I50" i="1" s="1"/>
  <c r="J50" i="1" s="1"/>
  <c r="K50" i="1" s="1"/>
  <c r="L50" i="1" s="1"/>
  <c r="K45" i="2"/>
  <c r="L45" i="2" s="1"/>
  <c r="G49" i="2"/>
  <c r="F64" i="2"/>
  <c r="F68" i="2" s="1"/>
  <c r="L96" i="2"/>
  <c r="H24" i="1"/>
  <c r="H101" i="2" s="1"/>
  <c r="G64" i="2"/>
  <c r="G68" i="2" s="1"/>
  <c r="I96" i="2"/>
  <c r="I24" i="1"/>
  <c r="I101" i="2" s="1"/>
  <c r="H33" i="1"/>
  <c r="I33" i="1" s="1"/>
  <c r="J33" i="1" s="1"/>
  <c r="K33" i="1" s="1"/>
  <c r="L33" i="1" s="1"/>
  <c r="E24" i="2"/>
  <c r="E26" i="2" s="1"/>
  <c r="E30" i="2" s="1"/>
  <c r="E17" i="2"/>
  <c r="H78" i="2"/>
  <c r="H43" i="2" s="1"/>
  <c r="H46" i="2"/>
  <c r="H11" i="2"/>
  <c r="G24" i="2"/>
  <c r="G26" i="2" s="1"/>
  <c r="G30" i="2" s="1"/>
  <c r="H37" i="2"/>
  <c r="G15" i="1"/>
  <c r="H15" i="1" s="1"/>
  <c r="I15" i="1" s="1"/>
  <c r="J15" i="1" s="1"/>
  <c r="K15" i="1" s="1"/>
  <c r="L15" i="1" s="1"/>
  <c r="J24" i="1"/>
  <c r="J101" i="2" s="1"/>
  <c r="H27" i="1"/>
  <c r="H20" i="2" s="1"/>
  <c r="H22" i="2" s="1"/>
  <c r="I4" i="2"/>
  <c r="H59" i="1"/>
  <c r="I59" i="1" s="1"/>
  <c r="J59" i="1" s="1"/>
  <c r="K59" i="1" s="1"/>
  <c r="L59" i="1" s="1"/>
  <c r="F24" i="2"/>
  <c r="F26" i="2" s="1"/>
  <c r="F30" i="2" s="1"/>
  <c r="F17" i="2"/>
  <c r="H82" i="2" l="1"/>
  <c r="H6" i="2"/>
  <c r="H38" i="2" s="1"/>
  <c r="H25" i="1"/>
  <c r="F76" i="2"/>
  <c r="F91" i="2" s="1"/>
  <c r="F107" i="2" s="1"/>
  <c r="F109" i="2" s="1"/>
  <c r="F51" i="1"/>
  <c r="H61" i="2"/>
  <c r="H54" i="2"/>
  <c r="H14" i="2"/>
  <c r="H39" i="2"/>
  <c r="H55" i="2"/>
  <c r="H105" i="2"/>
  <c r="G76" i="2"/>
  <c r="G91" i="2" s="1"/>
  <c r="G107" i="2" s="1"/>
  <c r="G109" i="2" s="1"/>
  <c r="H108" i="2" s="1"/>
  <c r="G51" i="1"/>
  <c r="H53" i="2"/>
  <c r="H8" i="2"/>
  <c r="I105" i="2"/>
  <c r="I82" i="2"/>
  <c r="I78" i="2"/>
  <c r="I46" i="2"/>
  <c r="I11" i="2"/>
  <c r="I37" i="2"/>
  <c r="I85" i="2" s="1"/>
  <c r="I6" i="2"/>
  <c r="J4" i="2"/>
  <c r="H85" i="2"/>
  <c r="I43" i="2"/>
  <c r="H47" i="2"/>
  <c r="E76" i="2"/>
  <c r="E91" i="2" s="1"/>
  <c r="E107" i="2" s="1"/>
  <c r="E109" i="2" s="1"/>
  <c r="E51" i="1"/>
  <c r="H16" i="2" l="1"/>
  <c r="H59" i="2"/>
  <c r="I23" i="1"/>
  <c r="J82" i="2"/>
  <c r="J78" i="2"/>
  <c r="J46" i="2"/>
  <c r="J37" i="2"/>
  <c r="J85" i="2" s="1"/>
  <c r="J6" i="2"/>
  <c r="J8" i="2" s="1"/>
  <c r="K4" i="2"/>
  <c r="J105" i="2"/>
  <c r="J11" i="2"/>
  <c r="H89" i="2"/>
  <c r="H51" i="1"/>
  <c r="I51" i="1" s="1"/>
  <c r="J51" i="1" s="1"/>
  <c r="K51" i="1" s="1"/>
  <c r="L51" i="1" s="1"/>
  <c r="I53" i="2"/>
  <c r="I38" i="2"/>
  <c r="I86" i="2" s="1"/>
  <c r="H17" i="2"/>
  <c r="H24" i="2"/>
  <c r="H90" i="2"/>
  <c r="I8" i="2"/>
  <c r="H86" i="2"/>
  <c r="H87" i="2"/>
  <c r="I47" i="2"/>
  <c r="J43" i="2"/>
  <c r="I39" i="2"/>
  <c r="I55" i="2"/>
  <c r="I61" i="2"/>
  <c r="I14" i="2"/>
  <c r="I54" i="2"/>
  <c r="H88" i="2"/>
  <c r="H56" i="2"/>
  <c r="I27" i="1" l="1"/>
  <c r="I20" i="2" s="1"/>
  <c r="I25" i="1"/>
  <c r="I56" i="2"/>
  <c r="J55" i="2"/>
  <c r="J61" i="2"/>
  <c r="J54" i="2"/>
  <c r="J14" i="2"/>
  <c r="J16" i="2" s="1"/>
  <c r="J39" i="2"/>
  <c r="J87" i="2" s="1"/>
  <c r="I88" i="2"/>
  <c r="J89" i="2"/>
  <c r="I87" i="2"/>
  <c r="H25" i="2"/>
  <c r="H81" i="2" s="1"/>
  <c r="H60" i="2" s="1"/>
  <c r="J47" i="2"/>
  <c r="I16" i="2"/>
  <c r="K37" i="2"/>
  <c r="K85" i="2" s="1"/>
  <c r="K105" i="2"/>
  <c r="L4" i="2"/>
  <c r="K82" i="2"/>
  <c r="K46" i="2"/>
  <c r="K11" i="2"/>
  <c r="K78" i="2"/>
  <c r="K43" i="2" s="1"/>
  <c r="K6" i="2"/>
  <c r="K8" i="2" s="1"/>
  <c r="I90" i="2"/>
  <c r="I89" i="2"/>
  <c r="J38" i="2"/>
  <c r="J86" i="2" s="1"/>
  <c r="J53" i="2"/>
  <c r="J90" i="2" l="1"/>
  <c r="I59" i="2"/>
  <c r="J23" i="1"/>
  <c r="K55" i="2"/>
  <c r="K61" i="2"/>
  <c r="K54" i="2"/>
  <c r="K89" i="2" s="1"/>
  <c r="K14" i="2"/>
  <c r="K16" i="2" s="1"/>
  <c r="K39" i="2"/>
  <c r="K87" i="2" s="1"/>
  <c r="J17" i="2"/>
  <c r="J56" i="2"/>
  <c r="K53" i="2"/>
  <c r="K38" i="2"/>
  <c r="K47" i="2"/>
  <c r="H62" i="2"/>
  <c r="H64" i="2" s="1"/>
  <c r="K86" i="2"/>
  <c r="L105" i="2"/>
  <c r="L82" i="2"/>
  <c r="L78" i="2"/>
  <c r="L43" i="2" s="1"/>
  <c r="L46" i="2"/>
  <c r="L11" i="2"/>
  <c r="L37" i="2"/>
  <c r="L85" i="2" s="1"/>
  <c r="L6" i="2"/>
  <c r="I17" i="2"/>
  <c r="H26" i="2"/>
  <c r="H30" i="2" s="1"/>
  <c r="J88" i="2"/>
  <c r="L47" i="2" l="1"/>
  <c r="J25" i="1"/>
  <c r="J27" i="1"/>
  <c r="J20" i="2" s="1"/>
  <c r="K17" i="2"/>
  <c r="L53" i="2"/>
  <c r="L88" i="2" s="1"/>
  <c r="L38" i="2"/>
  <c r="L86" i="2" s="1"/>
  <c r="K56" i="2"/>
  <c r="K88" i="2"/>
  <c r="L8" i="2"/>
  <c r="L90" i="2"/>
  <c r="H99" i="2"/>
  <c r="H103" i="2" s="1"/>
  <c r="H76" i="2"/>
  <c r="L61" i="2"/>
  <c r="L54" i="2"/>
  <c r="L89" i="2" s="1"/>
  <c r="L14" i="2"/>
  <c r="L39" i="2"/>
  <c r="L87" i="2" s="1"/>
  <c r="L55" i="2"/>
  <c r="K90" i="2"/>
  <c r="J59" i="2" l="1"/>
  <c r="K23" i="1"/>
  <c r="L56" i="2"/>
  <c r="H91" i="2"/>
  <c r="H107" i="2" s="1"/>
  <c r="H109" i="2" s="1"/>
  <c r="H66" i="2"/>
  <c r="L16" i="2"/>
  <c r="K25" i="1" l="1"/>
  <c r="K27" i="1"/>
  <c r="K20" i="2" s="1"/>
  <c r="H36" i="2"/>
  <c r="I108" i="2"/>
  <c r="L17" i="2"/>
  <c r="H68" i="2"/>
  <c r="L23" i="1" l="1"/>
  <c r="K59" i="2"/>
  <c r="H40" i="2"/>
  <c r="H49" i="2" s="1"/>
  <c r="I21" i="2"/>
  <c r="I22" i="2" s="1"/>
  <c r="I24" i="2" s="1"/>
  <c r="L27" i="1" l="1"/>
  <c r="L20" i="2" s="1"/>
  <c r="L25" i="1"/>
  <c r="L59" i="2" s="1"/>
  <c r="I25" i="2"/>
  <c r="I81" i="2" s="1"/>
  <c r="I60" i="2" s="1"/>
  <c r="I62" i="2" l="1"/>
  <c r="I64" i="2" s="1"/>
  <c r="I26" i="2"/>
  <c r="I30" i="2" s="1"/>
  <c r="I99" i="2" l="1"/>
  <c r="I103" i="2" s="1"/>
  <c r="I76" i="2"/>
  <c r="I91" i="2" l="1"/>
  <c r="I107" i="2" s="1"/>
  <c r="I109" i="2" s="1"/>
  <c r="I66" i="2"/>
  <c r="I68" i="2" l="1"/>
  <c r="J108" i="2"/>
  <c r="I36" i="2"/>
  <c r="I40" i="2" l="1"/>
  <c r="I49" i="2" s="1"/>
  <c r="J21" i="2"/>
  <c r="J22" i="2" s="1"/>
  <c r="J24" i="2" s="1"/>
  <c r="J25" i="2" l="1"/>
  <c r="J81" i="2" s="1"/>
  <c r="J60" i="2" s="1"/>
  <c r="J26" i="2" l="1"/>
  <c r="J30" i="2" s="1"/>
  <c r="J99" i="2" s="1"/>
  <c r="J103" i="2" s="1"/>
  <c r="J76" i="2"/>
  <c r="J62" i="2"/>
  <c r="J64" i="2" s="1"/>
  <c r="J91" i="2" l="1"/>
  <c r="J107" i="2" s="1"/>
  <c r="J109" i="2" s="1"/>
  <c r="J66" i="2"/>
  <c r="J68" i="2" l="1"/>
  <c r="K108" i="2"/>
  <c r="J36" i="2"/>
  <c r="J40" i="2" l="1"/>
  <c r="J49" i="2" s="1"/>
  <c r="K21" i="2"/>
  <c r="K22" i="2" s="1"/>
  <c r="K24" i="2" s="1"/>
  <c r="K25" i="2" l="1"/>
  <c r="K81" i="2" s="1"/>
  <c r="K60" i="2" s="1"/>
  <c r="K62" i="2" l="1"/>
  <c r="K64" i="2" s="1"/>
  <c r="K26" i="2"/>
  <c r="K30" i="2" s="1"/>
  <c r="K76" i="2" l="1"/>
  <c r="K99" i="2"/>
  <c r="K103" i="2" s="1"/>
  <c r="K91" i="2" l="1"/>
  <c r="K107" i="2" s="1"/>
  <c r="K109" i="2" s="1"/>
  <c r="K66" i="2"/>
  <c r="K68" i="2" l="1"/>
  <c r="L108" i="2"/>
  <c r="K36" i="2"/>
  <c r="K40" i="2" l="1"/>
  <c r="K49" i="2" s="1"/>
  <c r="L21" i="2"/>
  <c r="L22" i="2" s="1"/>
  <c r="L24" i="2" s="1"/>
  <c r="L25" i="2" l="1"/>
  <c r="L81" i="2" s="1"/>
  <c r="L60" i="2" s="1"/>
  <c r="L62" i="2" s="1"/>
  <c r="L64" i="2" s="1"/>
  <c r="L26" i="2" l="1"/>
  <c r="L30" i="2" s="1"/>
  <c r="L99" i="2" l="1"/>
  <c r="L103" i="2" s="1"/>
  <c r="L76" i="2"/>
  <c r="L91" i="2" l="1"/>
  <c r="L107" i="2" s="1"/>
  <c r="L109" i="2" s="1"/>
  <c r="L36" i="2" s="1"/>
  <c r="L40" i="2" s="1"/>
  <c r="L49" i="2" s="1"/>
  <c r="L66" i="2"/>
  <c r="L68" i="2" s="1"/>
</calcChain>
</file>

<file path=xl/sharedStrings.xml><?xml version="1.0" encoding="utf-8"?>
<sst xmlns="http://schemas.openxmlformats.org/spreadsheetml/2006/main" count="235" uniqueCount="125">
  <si>
    <t>General Assumptions:</t>
  </si>
  <si>
    <t>Last Historical Year:</t>
  </si>
  <si>
    <t>Annual Gross Margin Improvement:</t>
  </si>
  <si>
    <t>Effective Tax Rate:</t>
  </si>
  <si>
    <t>Interest Rate on Debt:</t>
  </si>
  <si>
    <t>Interest Rate on Cash:</t>
  </si>
  <si>
    <t>Historical</t>
  </si>
  <si>
    <t>Projected</t>
  </si>
  <si>
    <t>Financial Statement Drivers:</t>
  </si>
  <si>
    <t>Units:</t>
  </si>
  <si>
    <t>Income Statement Drivers:</t>
  </si>
  <si>
    <t>Revenue Growth:</t>
  </si>
  <si>
    <t>%</t>
  </si>
  <si>
    <t>Gross Margin:</t>
  </si>
  <si>
    <t>SG&amp;A % Revenue:</t>
  </si>
  <si>
    <t>Amortization of Intangible Assets:</t>
  </si>
  <si>
    <t>$ M</t>
  </si>
  <si>
    <t>Impairment of Goodwill:</t>
  </si>
  <si>
    <t>Amortization of Debt:</t>
  </si>
  <si>
    <t>Beginning Debt Balance:</t>
  </si>
  <si>
    <t>(-) Amortization:</t>
  </si>
  <si>
    <t>Ending Debt Balance:</t>
  </si>
  <si>
    <t>Interest Expense:</t>
  </si>
  <si>
    <t>Interest Income:</t>
  </si>
  <si>
    <t>Income from Discontinued Operations:</t>
  </si>
  <si>
    <t>Balance Sheet Drivers:</t>
  </si>
  <si>
    <t>Days Sales Outstanding:</t>
  </si>
  <si>
    <t># Days</t>
  </si>
  <si>
    <t>Days Sales of Inventory:</t>
  </si>
  <si>
    <t>Days Payable Outstanding:</t>
  </si>
  <si>
    <t xml:space="preserve"> </t>
  </si>
  <si>
    <t>Prepaid Expenses &amp; Other % SG&amp;A:</t>
  </si>
  <si>
    <t>Other Long-Term Assets % Revenue:</t>
  </si>
  <si>
    <t>Accrued Expenses % SG&amp;A:</t>
  </si>
  <si>
    <t>Other Current Liabilities % SG&amp;A:</t>
  </si>
  <si>
    <t>s</t>
  </si>
  <si>
    <t>Other Long-Term Liabilities % SG&amp;A:</t>
  </si>
  <si>
    <t>Cash Flow Statement Drivers:</t>
  </si>
  <si>
    <t>Capital Expenditures:</t>
  </si>
  <si>
    <t>Depreciation % Revenue:</t>
  </si>
  <si>
    <t>Stock-Based Compensation % Revenue:</t>
  </si>
  <si>
    <t>Deferred Taxes % Taxes:</t>
  </si>
  <si>
    <t>Dividends % Net Income:</t>
  </si>
  <si>
    <t>Stock Repurchases:</t>
  </si>
  <si>
    <t>Other Non-Cash Items:</t>
  </si>
  <si>
    <t>Other Investing Items:</t>
  </si>
  <si>
    <t>Other Financing Items:</t>
  </si>
  <si>
    <t>FX Rate Effects % Revenue:</t>
  </si>
  <si>
    <t>Income Statement:</t>
  </si>
  <si>
    <t>Total Revenue:</t>
  </si>
  <si>
    <t>Cost of Goods Sold (COGS):</t>
  </si>
  <si>
    <t>Gross Profit:</t>
  </si>
  <si>
    <t>Operating Expenses:</t>
  </si>
  <si>
    <t>(+) Selling, General &amp; Administrative:</t>
  </si>
  <si>
    <t>(+) Amortization of Intangible Assets:</t>
  </si>
  <si>
    <t>(+) Impairment of Goodwill:</t>
  </si>
  <si>
    <t>Total Operating Expenses:</t>
  </si>
  <si>
    <t>Operating Income (EBIT):</t>
  </si>
  <si>
    <t>Operating (EBIT) Margin:</t>
  </si>
  <si>
    <t>Other Income / (Expense):</t>
  </si>
  <si>
    <t>(-) Interest Expense:</t>
  </si>
  <si>
    <t>(+) Interest and Other Income:</t>
  </si>
  <si>
    <t>Total Other Income / (Expense):</t>
  </si>
  <si>
    <t>Pre-Tax Income:</t>
  </si>
  <si>
    <t>(-) Provision For Income Taxes:</t>
  </si>
  <si>
    <t>Income from Continuing Operations:</t>
  </si>
  <si>
    <t>(+) Income from Discontinued Operations:</t>
  </si>
  <si>
    <t>Net Income:</t>
  </si>
  <si>
    <t>Balance Sheet:</t>
  </si>
  <si>
    <t>ASSETS:</t>
  </si>
  <si>
    <t>Current Assets:</t>
  </si>
  <si>
    <t>Cash &amp; Equivalents:</t>
  </si>
  <si>
    <t>Accounts Receivable:</t>
  </si>
  <si>
    <t>Inventory:</t>
  </si>
  <si>
    <t>Prepaid Expenses &amp; Other Current Assets:</t>
  </si>
  <si>
    <t>Total Current Assets:</t>
  </si>
  <si>
    <t>Non-Current Assets:</t>
  </si>
  <si>
    <t>Net PP&amp;E:</t>
  </si>
  <si>
    <t>Goodwill:</t>
  </si>
  <si>
    <t>Other Intangible Assets:</t>
  </si>
  <si>
    <t>Other Long-Term Assets:</t>
  </si>
  <si>
    <t>Total Non-Current Assets:</t>
  </si>
  <si>
    <t>Total Assets:</t>
  </si>
  <si>
    <t>LIABILITIES AND EQUITY:</t>
  </si>
  <si>
    <t>Current Liabilities:</t>
  </si>
  <si>
    <t>Accounts Payable:</t>
  </si>
  <si>
    <t>Accrued Expenses:</t>
  </si>
  <si>
    <t>Other Current Liabilities:</t>
  </si>
  <si>
    <t>Total Current Liabilities:</t>
  </si>
  <si>
    <t>Non-Current Liabilities:</t>
  </si>
  <si>
    <t>Long-Term Debt:</t>
  </si>
  <si>
    <t>Deferred Tax Liability:</t>
  </si>
  <si>
    <t>Other Long-Term Liabilities:</t>
  </si>
  <si>
    <t>Total Non-Current Liabilities:</t>
  </si>
  <si>
    <t>Total Liabilities:</t>
  </si>
  <si>
    <t>Equity:</t>
  </si>
  <si>
    <t>Total Liabilities &amp; Equity:</t>
  </si>
  <si>
    <t>Balance Check:</t>
  </si>
  <si>
    <t>Cash Flow Statement:</t>
  </si>
  <si>
    <t>CASH FLOWS FROM OPERATING ACTIVITIES:</t>
  </si>
  <si>
    <t/>
  </si>
  <si>
    <t>Adjustments for Non-Cash Charges:</t>
  </si>
  <si>
    <t>(+) Depreciation:</t>
  </si>
  <si>
    <t>(+) Amortization of Other Intangibles:</t>
  </si>
  <si>
    <t>(+/-) Deferred Taxes:</t>
  </si>
  <si>
    <t>(+) Stock-Based Compensation:</t>
  </si>
  <si>
    <t>(+/-) Other Non-Cash Items:</t>
  </si>
  <si>
    <t>Changes in Operating Assets and Liabilities:</t>
  </si>
  <si>
    <t>Prepaid Expenses &amp; Other Assets:</t>
  </si>
  <si>
    <t>Other Liabilities:</t>
  </si>
  <si>
    <t>Net Cash Provided by Operating Activities:</t>
  </si>
  <si>
    <t>CASH FLOWS FROM INVESTING ACTIVITIES:</t>
  </si>
  <si>
    <t>(-) Capital Expenditures:</t>
  </si>
  <si>
    <t>(+/-) Other Investing Items:</t>
  </si>
  <si>
    <t>Net Cash Used in Investing Activities:</t>
  </si>
  <si>
    <t>CASH FLOWS FROM FINANCING ACTIVITIES:</t>
  </si>
  <si>
    <t>(-) Dividends Paid:</t>
  </si>
  <si>
    <t>(-) Stock Repurchases:</t>
  </si>
  <si>
    <t>(+) Debt Issuances / (-) Repayments:</t>
  </si>
  <si>
    <t>(+) Other Financing Items:</t>
  </si>
  <si>
    <t>Net Cash Provided by Financing Activities:</t>
  </si>
  <si>
    <t>FX Rate Effects:</t>
  </si>
  <si>
    <t>Change in Cash &amp; Cash Equivalents:</t>
  </si>
  <si>
    <t>Beginning Cash:</t>
  </si>
  <si>
    <t>Ending Cash: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</si>
</sst>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(&quot;$&quot;* #,##0.00_);_(&quot;$&quot;* \(#,##0.00\);_(&quot;$&quot;* &quot;-&quot;??_);_(@_)"/>
    <numFmt numFmtId="165" formatCode="yyyy\-mm\-dd"/>
    <numFmt numFmtId="166" formatCode="_(#,##0.00%_);\(#,##0.00%\);_(&quot;–&quot;_)_%;_(@_)_%"/>
    <numFmt numFmtId="167" formatCode="0.0%;\(0.0%\)"/>
    <numFmt numFmtId="168" formatCode="&quot;FY&quot;yy"/>
    <numFmt numFmtId="169" formatCode="_(#,##0.0%_);\(#,##0.0%\);_(&quot;–&quot;_)_%;_(@_)_%"/>
    <numFmt numFmtId="170" formatCode="0.0%"/>
    <numFmt numFmtId="171" formatCode="_(&quot;$&quot;* #,##0.0_);_(&quot;$&quot;* \(#,##0.0\);_(&quot;$&quot;* &quot;-&quot;?_);_(@_)"/>
    <numFmt numFmtId="172" formatCode="_(* #,##0.0_);_(* \(#,##0.0\);_(* &quot;-&quot;?_);_(@_)"/>
    <numFmt numFmtId="173" formatCode="#,##0.0_);\(#,##0.0\)"/>
    <numFmt numFmtId="174" formatCode="_(* #,##0.000_);_(* \(#,##0.000\);_(* &quot;-&quot;?_);_(@_)"/>
    <numFmt numFmtId="175" formatCode="&quot;$&quot;#,##0.000\);\(&quot;$&quot;#,##0.000\);&quot;OK!&quot;;&quot;ERROR&quot;"/>
    <numFmt numFmtId="176" formatCode="_(* #,##0.00_);_(* \(#,##0.00\);_(* &quot;-&quot;??_);_(@_)"/>
    <numFmt numFmtId="177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FF"/>
      <name val="Calibri"/>
      <family val="2"/>
    </font>
    <font>
      <b/>
      <i/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FFFFFF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3" borderId="2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2" xfId="0" applyFont="1" applyFill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/>
    <xf numFmtId="166" fontId="6" fillId="4" borderId="1" xfId="1" applyNumberFormat="1" applyFont="1" applyFill="1" applyAlignment="1">
      <alignment horizontal="center"/>
    </xf>
    <xf numFmtId="167" fontId="7" fillId="4" borderId="1" xfId="1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Continuous" vertical="center"/>
    </xf>
    <xf numFmtId="0" fontId="3" fillId="3" borderId="4" xfId="0" applyFont="1" applyFill="1" applyBorder="1" applyAlignment="1">
      <alignment horizontal="centerContinuous" vertical="center"/>
    </xf>
    <xf numFmtId="0" fontId="8" fillId="3" borderId="0" xfId="0" applyFont="1" applyFill="1" applyBorder="1" applyAlignment="1">
      <alignment horizontal="center" vertical="center"/>
    </xf>
    <xf numFmtId="168" fontId="3" fillId="3" borderId="0" xfId="0" applyNumberFormat="1" applyFont="1" applyFill="1" applyBorder="1" applyAlignment="1">
      <alignment horizontal="center" vertical="center"/>
    </xf>
    <xf numFmtId="168" fontId="3" fillId="3" borderId="5" xfId="0" applyNumberFormat="1" applyFont="1" applyFill="1" applyBorder="1" applyAlignment="1">
      <alignment horizontal="center" vertical="center"/>
    </xf>
    <xf numFmtId="0" fontId="9" fillId="5" borderId="2" xfId="0" applyFont="1" applyFill="1" applyBorder="1"/>
    <xf numFmtId="0" fontId="9" fillId="0" borderId="0" xfId="0" applyFont="1" applyFill="1" applyBorder="1"/>
    <xf numFmtId="0" fontId="2" fillId="0" borderId="0" xfId="0" applyFont="1" applyBorder="1" applyAlignment="1">
      <alignment horizontal="left" indent="1"/>
    </xf>
    <xf numFmtId="0" fontId="10" fillId="0" borderId="0" xfId="0" applyFont="1" applyAlignment="1">
      <alignment horizontal="center"/>
    </xf>
    <xf numFmtId="169" fontId="2" fillId="0" borderId="0" xfId="0" applyNumberFormat="1" applyFont="1"/>
    <xf numFmtId="167" fontId="7" fillId="4" borderId="1" xfId="1" applyNumberFormat="1" applyFont="1" applyFill="1" applyBorder="1" applyAlignment="1"/>
    <xf numFmtId="0" fontId="2" fillId="0" borderId="0" xfId="0" applyFont="1" applyFill="1" applyBorder="1" applyAlignment="1">
      <alignment horizontal="left" indent="1"/>
    </xf>
    <xf numFmtId="170" fontId="2" fillId="0" borderId="0" xfId="0" applyNumberFormat="1" applyFont="1" applyAlignment="1">
      <alignment horizontal="right"/>
    </xf>
    <xf numFmtId="167" fontId="11" fillId="4" borderId="1" xfId="1" applyNumberFormat="1" applyFont="1" applyFill="1" applyBorder="1" applyAlignment="1"/>
    <xf numFmtId="0" fontId="2" fillId="0" borderId="0" xfId="0" applyFont="1" applyAlignment="1">
      <alignment horizontal="center"/>
    </xf>
    <xf numFmtId="169" fontId="10" fillId="0" borderId="0" xfId="0" applyNumberFormat="1" applyFont="1"/>
    <xf numFmtId="171" fontId="2" fillId="0" borderId="0" xfId="0" applyNumberFormat="1" applyFont="1"/>
    <xf numFmtId="172" fontId="6" fillId="4" borderId="1" xfId="1" applyNumberFormat="1" applyFont="1" applyFill="1"/>
    <xf numFmtId="49" fontId="2" fillId="0" borderId="0" xfId="0" applyNumberFormat="1" applyFont="1" applyBorder="1" applyAlignment="1">
      <alignment horizontal="left" indent="1"/>
    </xf>
    <xf numFmtId="167" fontId="7" fillId="0" borderId="0" xfId="1" applyNumberFormat="1" applyFont="1" applyFill="1" applyBorder="1" applyAlignment="1"/>
    <xf numFmtId="0" fontId="9" fillId="0" borderId="0" xfId="0" applyFont="1" applyBorder="1" applyAlignment="1">
      <alignment horizontal="left" indent="1"/>
    </xf>
    <xf numFmtId="172" fontId="2" fillId="0" borderId="0" xfId="0" applyNumberFormat="1" applyFont="1"/>
    <xf numFmtId="172" fontId="9" fillId="0" borderId="0" xfId="0" applyNumberFormat="1" applyFont="1"/>
    <xf numFmtId="0" fontId="2" fillId="0" borderId="0" xfId="0" applyFont="1" applyBorder="1" applyAlignment="1">
      <alignment horizontal="left" indent="2"/>
    </xf>
    <xf numFmtId="0" fontId="10" fillId="0" borderId="2" xfId="0" applyFont="1" applyBorder="1" applyAlignment="1">
      <alignment horizontal="center"/>
    </xf>
    <xf numFmtId="172" fontId="2" fillId="0" borderId="2" xfId="0" applyNumberFormat="1" applyFont="1" applyBorder="1"/>
    <xf numFmtId="0" fontId="9" fillId="0" borderId="6" xfId="0" applyFont="1" applyBorder="1" applyAlignment="1">
      <alignment horizontal="left" indent="1"/>
    </xf>
    <xf numFmtId="0" fontId="2" fillId="0" borderId="6" xfId="0" applyFont="1" applyBorder="1"/>
    <xf numFmtId="172" fontId="2" fillId="0" borderId="0" xfId="0" applyNumberFormat="1" applyFont="1" applyBorder="1"/>
    <xf numFmtId="0" fontId="2" fillId="0" borderId="0" xfId="0" applyFont="1" applyAlignment="1">
      <alignment horizontal="left" indent="1"/>
    </xf>
    <xf numFmtId="173" fontId="2" fillId="0" borderId="0" xfId="0" applyNumberFormat="1" applyFont="1"/>
    <xf numFmtId="173" fontId="12" fillId="4" borderId="1" xfId="1" applyNumberFormat="1" applyFont="1" applyFill="1"/>
    <xf numFmtId="10" fontId="0" fillId="0" borderId="0" xfId="0" applyNumberFormat="1"/>
    <xf numFmtId="0" fontId="2" fillId="0" borderId="0" xfId="0" applyFont="1" applyFill="1" applyBorder="1" applyAlignment="1">
      <alignment horizontal="left" wrapText="1" indent="1"/>
    </xf>
    <xf numFmtId="172" fontId="12" fillId="4" borderId="1" xfId="1" applyNumberFormat="1" applyFont="1" applyFill="1"/>
    <xf numFmtId="174" fontId="2" fillId="0" borderId="0" xfId="0" applyNumberFormat="1" applyFont="1"/>
    <xf numFmtId="0" fontId="3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168" fontId="3" fillId="3" borderId="7" xfId="0" applyNumberFormat="1" applyFont="1" applyFill="1" applyBorder="1" applyAlignment="1">
      <alignment horizontal="center" vertical="center"/>
    </xf>
    <xf numFmtId="0" fontId="9" fillId="0" borderId="0" xfId="0" applyFont="1"/>
    <xf numFmtId="171" fontId="13" fillId="0" borderId="0" xfId="0" applyNumberFormat="1" applyFont="1"/>
    <xf numFmtId="171" fontId="9" fillId="0" borderId="0" xfId="0" applyNumberFormat="1" applyFont="1"/>
    <xf numFmtId="172" fontId="6" fillId="0" borderId="0" xfId="0" applyNumberFormat="1" applyFont="1"/>
    <xf numFmtId="0" fontId="2" fillId="0" borderId="0" xfId="0" applyFont="1" applyBorder="1"/>
    <xf numFmtId="172" fontId="6" fillId="0" borderId="0" xfId="0" applyNumberFormat="1" applyFont="1" applyBorder="1"/>
    <xf numFmtId="0" fontId="9" fillId="0" borderId="0" xfId="0" applyFont="1" applyAlignment="1">
      <alignment horizontal="left"/>
    </xf>
    <xf numFmtId="172" fontId="13" fillId="0" borderId="0" xfId="0" applyNumberFormat="1" applyFont="1"/>
    <xf numFmtId="0" fontId="10" fillId="0" borderId="0" xfId="0" applyFont="1" applyAlignment="1">
      <alignment horizontal="left" indent="1"/>
    </xf>
    <xf numFmtId="49" fontId="2" fillId="0" borderId="0" xfId="0" applyNumberFormat="1" applyFont="1" applyFill="1" applyBorder="1" applyAlignment="1">
      <alignment horizontal="left" indent="1"/>
    </xf>
    <xf numFmtId="49" fontId="2" fillId="0" borderId="2" xfId="0" applyNumberFormat="1" applyFont="1" applyBorder="1" applyAlignment="1">
      <alignment horizontal="left" indent="1"/>
    </xf>
    <xf numFmtId="172" fontId="6" fillId="0" borderId="2" xfId="0" applyNumberFormat="1" applyFont="1" applyBorder="1"/>
    <xf numFmtId="49" fontId="9" fillId="0" borderId="0" xfId="0" applyNumberFormat="1" applyFont="1" applyBorder="1" applyAlignment="1">
      <alignment horizontal="left"/>
    </xf>
    <xf numFmtId="172" fontId="13" fillId="0" borderId="0" xfId="0" applyNumberFormat="1" applyFont="1" applyBorder="1"/>
    <xf numFmtId="170" fontId="14" fillId="0" borderId="0" xfId="0" applyNumberFormat="1" applyFont="1"/>
    <xf numFmtId="49" fontId="2" fillId="0" borderId="0" xfId="0" applyNumberFormat="1" applyFont="1" applyAlignment="1">
      <alignment horizontal="left" indent="1"/>
    </xf>
    <xf numFmtId="0" fontId="9" fillId="0" borderId="6" xfId="0" applyFont="1" applyBorder="1" applyAlignment="1">
      <alignment horizontal="left"/>
    </xf>
    <xf numFmtId="172" fontId="13" fillId="0" borderId="6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49" fontId="9" fillId="5" borderId="2" xfId="0" applyNumberFormat="1" applyFont="1" applyFill="1" applyBorder="1"/>
    <xf numFmtId="0" fontId="2" fillId="0" borderId="0" xfId="0" applyFont="1" applyFill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172" fontId="0" fillId="0" borderId="0" xfId="0" applyNumberFormat="1"/>
    <xf numFmtId="0" fontId="9" fillId="0" borderId="0" xfId="0" applyFont="1" applyFill="1" applyBorder="1" applyAlignment="1">
      <alignment horizontal="left"/>
    </xf>
    <xf numFmtId="0" fontId="2" fillId="0" borderId="0" xfId="0" applyFont="1" applyFill="1"/>
    <xf numFmtId="172" fontId="2" fillId="0" borderId="0" xfId="0" applyNumberFormat="1" applyFont="1" applyFill="1"/>
    <xf numFmtId="0" fontId="0" fillId="0" borderId="0" xfId="0" applyFill="1"/>
    <xf numFmtId="171" fontId="6" fillId="0" borderId="0" xfId="0" applyNumberFormat="1" applyFont="1"/>
    <xf numFmtId="0" fontId="9" fillId="0" borderId="6" xfId="0" applyFont="1" applyFill="1" applyBorder="1" applyAlignment="1">
      <alignment horizontal="left"/>
    </xf>
    <xf numFmtId="171" fontId="13" fillId="0" borderId="0" xfId="0" applyNumberFormat="1" applyFont="1" applyBorder="1"/>
    <xf numFmtId="171" fontId="9" fillId="0" borderId="0" xfId="0" applyNumberFormat="1" applyFont="1" applyBorder="1"/>
    <xf numFmtId="0" fontId="10" fillId="0" borderId="0" xfId="0" applyFont="1" applyFill="1" applyBorder="1"/>
    <xf numFmtId="175" fontId="10" fillId="0" borderId="0" xfId="0" applyNumberFormat="1" applyFont="1"/>
    <xf numFmtId="0" fontId="9" fillId="5" borderId="8" xfId="0" applyFont="1" applyFill="1" applyBorder="1"/>
    <xf numFmtId="0" fontId="9" fillId="0" borderId="6" xfId="0" applyFont="1" applyFill="1" applyBorder="1"/>
    <xf numFmtId="0" fontId="9" fillId="0" borderId="0" xfId="0" applyNumberFormat="1" applyFont="1" applyFill="1" applyBorder="1" applyAlignment="1"/>
    <xf numFmtId="176" fontId="2" fillId="0" borderId="0" xfId="0" applyNumberFormat="1" applyFont="1"/>
    <xf numFmtId="176" fontId="0" fillId="0" borderId="0" xfId="0" applyNumberFormat="1"/>
    <xf numFmtId="49" fontId="2" fillId="0" borderId="0" xfId="0" applyNumberFormat="1" applyFont="1" applyFill="1" applyAlignment="1">
      <alignment horizontal="left" indent="1"/>
    </xf>
    <xf numFmtId="0" fontId="9" fillId="0" borderId="0" xfId="0" applyFont="1" applyBorder="1"/>
    <xf numFmtId="172" fontId="2" fillId="0" borderId="9" xfId="0" applyNumberFormat="1" applyFont="1" applyBorder="1"/>
    <xf numFmtId="0" fontId="9" fillId="0" borderId="6" xfId="0" applyFont="1" applyBorder="1"/>
    <xf numFmtId="49" fontId="2" fillId="0" borderId="2" xfId="0" applyNumberFormat="1" applyFont="1" applyFill="1" applyBorder="1" applyAlignment="1">
      <alignment horizontal="left" indent="1"/>
    </xf>
    <xf numFmtId="172" fontId="6" fillId="0" borderId="0" xfId="0" applyNumberFormat="1" applyFont="1" applyFill="1" applyBorder="1" applyAlignment="1"/>
    <xf numFmtId="0" fontId="2" fillId="0" borderId="2" xfId="0" applyFont="1" applyBorder="1" applyAlignment="1">
      <alignment horizontal="left" indent="1"/>
    </xf>
    <xf numFmtId="172" fontId="6" fillId="0" borderId="9" xfId="0" applyNumberFormat="1" applyFont="1" applyBorder="1"/>
    <xf numFmtId="0" fontId="10" fillId="0" borderId="2" xfId="0" applyFont="1" applyFill="1" applyBorder="1" applyAlignment="1">
      <alignment horizontal="center"/>
    </xf>
    <xf numFmtId="172" fontId="6" fillId="0" borderId="2" xfId="0" applyNumberFormat="1" applyFont="1" applyFill="1" applyBorder="1"/>
    <xf numFmtId="172" fontId="2" fillId="0" borderId="0" xfId="0" applyNumberFormat="1" applyFont="1" applyFill="1" applyBorder="1"/>
    <xf numFmtId="0" fontId="10" fillId="0" borderId="0" xfId="0" applyFont="1" applyFill="1" applyAlignment="1">
      <alignment horizontal="center"/>
    </xf>
    <xf numFmtId="171" fontId="6" fillId="0" borderId="0" xfId="0" applyNumberFormat="1" applyFont="1" applyFill="1"/>
    <xf numFmtId="171" fontId="2" fillId="0" borderId="0" xfId="0" applyNumberFormat="1" applyFont="1" applyFill="1"/>
    <xf numFmtId="172" fontId="6" fillId="0" borderId="0" xfId="0" applyNumberFormat="1" applyFont="1" applyFill="1"/>
    <xf numFmtId="164" fontId="6" fillId="0" borderId="0" xfId="1" applyNumberFormat="1" applyFont="1" applyFill="1" applyBorder="1" applyAlignment="1">
      <alignment horizontal="center"/>
    </xf>
    <xf numFmtId="165" fontId="6" fillId="4" borderId="10" xfId="1" applyNumberFormat="1" applyFont="1" applyFill="1" applyBorder="1" applyAlignment="1">
      <alignment horizontal="center"/>
    </xf>
  </cellXfs>
  <cellStyles count="4">
    <cellStyle name="Comma 4" xfId="2"/>
    <cellStyle name="Normal" xfId="0" builtinId="0"/>
    <cellStyle name="Note" xfId="1" builtinId="10"/>
    <cellStyle name="Percent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FIRST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s"/>
      <sheetName val="forecasted statatements 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showGridLines="0" tabSelected="1" workbookViewId="0">
      <selection activeCell="O8" sqref="O8"/>
    </sheetView>
  </sheetViews>
  <sheetFormatPr defaultRowHeight="15" x14ac:dyDescent="0.25"/>
  <cols>
    <col min="3" max="3" width="34.42578125" customWidth="1"/>
    <col min="4" max="4" width="12" customWidth="1"/>
  </cols>
  <sheetData>
    <row r="1" spans="1:12" ht="15.75" x14ac:dyDescent="0.25">
      <c r="A1" s="1"/>
      <c r="B1" s="2" t="s">
        <v>0</v>
      </c>
      <c r="C1" s="3"/>
      <c r="D1" s="4"/>
      <c r="E1" s="5"/>
      <c r="F1" s="5"/>
      <c r="G1" s="5"/>
      <c r="H1" s="5"/>
      <c r="I1" s="4"/>
      <c r="J1" s="5"/>
      <c r="K1" s="5"/>
      <c r="L1" s="5"/>
    </row>
    <row r="2" spans="1:12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x14ac:dyDescent="0.25">
      <c r="A3" s="1"/>
      <c r="B3" s="1"/>
      <c r="C3" s="76"/>
      <c r="D3" s="105"/>
      <c r="E3" s="76"/>
      <c r="F3" s="76"/>
      <c r="G3" s="1"/>
      <c r="H3" s="1"/>
      <c r="I3" s="1"/>
      <c r="J3" s="1"/>
      <c r="K3" s="1"/>
      <c r="L3" s="1"/>
    </row>
    <row r="4" spans="1:12" ht="15.75" x14ac:dyDescent="0.25">
      <c r="A4" s="1"/>
      <c r="B4" s="1"/>
      <c r="C4" s="6" t="s">
        <v>1</v>
      </c>
      <c r="D4" s="106">
        <v>44561</v>
      </c>
      <c r="E4" s="1"/>
      <c r="F4" s="1"/>
      <c r="G4" s="1"/>
      <c r="H4" s="1"/>
      <c r="I4" s="1"/>
      <c r="J4" s="1"/>
      <c r="K4" s="1"/>
      <c r="L4" s="1"/>
    </row>
    <row r="5" spans="1:12" ht="15.75" x14ac:dyDescent="0.25">
      <c r="A5" s="1"/>
      <c r="B5" s="1"/>
      <c r="C5" s="6"/>
      <c r="D5" s="1"/>
      <c r="E5" s="1"/>
      <c r="F5" s="1"/>
      <c r="G5" s="1"/>
      <c r="H5" s="1"/>
      <c r="I5" s="1"/>
      <c r="J5" s="1"/>
      <c r="K5" s="1"/>
      <c r="L5" s="1"/>
    </row>
    <row r="6" spans="1:12" ht="15.75" x14ac:dyDescent="0.25">
      <c r="A6" s="1"/>
      <c r="B6" s="1"/>
      <c r="C6" s="7" t="s">
        <v>2</v>
      </c>
      <c r="D6" s="8">
        <v>3.0000000000000001E-3</v>
      </c>
      <c r="E6" s="1"/>
      <c r="F6" s="1"/>
      <c r="G6" s="1"/>
      <c r="H6" s="1"/>
      <c r="I6" s="1"/>
      <c r="J6" s="1"/>
      <c r="K6" s="1"/>
      <c r="L6" s="1"/>
    </row>
    <row r="7" spans="1:12" ht="15.75" x14ac:dyDescent="0.25">
      <c r="A7" s="1"/>
      <c r="B7" s="1"/>
      <c r="C7" s="6" t="s">
        <v>3</v>
      </c>
      <c r="D7" s="9">
        <v>0.3</v>
      </c>
      <c r="E7" s="1"/>
      <c r="F7" s="1"/>
      <c r="G7" s="1"/>
      <c r="H7" s="1"/>
      <c r="I7" s="1"/>
      <c r="J7" s="1"/>
      <c r="K7" s="1"/>
      <c r="L7" s="1"/>
    </row>
    <row r="8" spans="1:12" ht="15.75" x14ac:dyDescent="0.25">
      <c r="A8" s="1"/>
      <c r="B8" s="1"/>
      <c r="C8" s="6" t="s">
        <v>4</v>
      </c>
      <c r="D8" s="9">
        <v>0.04</v>
      </c>
      <c r="E8" s="1"/>
      <c r="F8" s="1"/>
      <c r="G8" s="1"/>
      <c r="H8" s="1"/>
      <c r="I8" s="1"/>
      <c r="J8" s="1"/>
      <c r="K8" s="1"/>
      <c r="L8" s="1"/>
    </row>
    <row r="9" spans="1:12" ht="15.75" x14ac:dyDescent="0.25">
      <c r="A9" s="1"/>
      <c r="B9" s="1"/>
      <c r="C9" s="6" t="s">
        <v>5</v>
      </c>
      <c r="D9" s="9">
        <v>5.0000000000000001E-3</v>
      </c>
      <c r="E9" s="1"/>
      <c r="F9" s="1"/>
      <c r="G9" s="1"/>
      <c r="H9" s="1"/>
      <c r="I9" s="1"/>
      <c r="J9" s="1"/>
      <c r="K9" s="1"/>
      <c r="L9" s="1"/>
    </row>
    <row r="10" spans="1:12" ht="15.75" x14ac:dyDescent="0.25">
      <c r="A10" s="1"/>
      <c r="B10" s="1"/>
      <c r="C10" s="6"/>
      <c r="D10" s="1"/>
      <c r="E10" s="1"/>
      <c r="F10" s="1"/>
      <c r="G10" s="1"/>
      <c r="H10" s="1"/>
      <c r="I10" s="1"/>
      <c r="J10" s="1"/>
      <c r="K10" s="1"/>
      <c r="L10" s="1"/>
    </row>
    <row r="11" spans="1:12" ht="15.75" x14ac:dyDescent="0.25">
      <c r="A11" s="1"/>
      <c r="B11" s="10"/>
      <c r="C11" s="10"/>
      <c r="D11" s="10"/>
      <c r="E11" s="11" t="s">
        <v>6</v>
      </c>
      <c r="F11" s="11"/>
      <c r="G11" s="11"/>
      <c r="H11" s="12" t="s">
        <v>7</v>
      </c>
      <c r="I11" s="11"/>
      <c r="J11" s="11"/>
      <c r="K11" s="11"/>
      <c r="L11" s="11"/>
    </row>
    <row r="12" spans="1:12" ht="15.75" x14ac:dyDescent="0.25">
      <c r="A12" s="1"/>
      <c r="B12" s="10" t="s">
        <v>8</v>
      </c>
      <c r="C12" s="10"/>
      <c r="D12" s="13" t="s">
        <v>9</v>
      </c>
      <c r="E12" s="14">
        <v>43830</v>
      </c>
      <c r="F12" s="14">
        <v>44196</v>
      </c>
      <c r="G12" s="14">
        <v>44561</v>
      </c>
      <c r="H12" s="15">
        <v>44926</v>
      </c>
      <c r="I12" s="14">
        <v>45291</v>
      </c>
      <c r="J12" s="14">
        <v>45657</v>
      </c>
      <c r="K12" s="14">
        <v>46022</v>
      </c>
      <c r="L12" s="14">
        <v>46387</v>
      </c>
    </row>
    <row r="13" spans="1:12" ht="15.75" x14ac:dyDescent="0.25">
      <c r="A13" s="1"/>
      <c r="B13" s="16" t="s">
        <v>10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5.75" x14ac:dyDescent="0.25">
      <c r="A14" s="1"/>
      <c r="B14" s="17"/>
      <c r="C14" s="18" t="s">
        <v>11</v>
      </c>
      <c r="D14" s="19" t="s">
        <v>12</v>
      </c>
      <c r="E14" s="20"/>
      <c r="F14" s="20">
        <f>'forecasted statatements '!F4/'forecasted statatements '!E4-1</f>
        <v>2.4690484612663655E-2</v>
      </c>
      <c r="G14" s="20">
        <f>'forecasted statatements '!G4/'forecasted statatements '!F4-1</f>
        <v>-7.4495995581331131E-2</v>
      </c>
      <c r="H14" s="21">
        <v>0.05</v>
      </c>
      <c r="I14" s="21">
        <v>0.04</v>
      </c>
      <c r="J14" s="21">
        <v>0.04</v>
      </c>
      <c r="K14" s="21">
        <v>0.03</v>
      </c>
      <c r="L14" s="21">
        <v>0.03</v>
      </c>
    </row>
    <row r="15" spans="1:12" ht="15.75" x14ac:dyDescent="0.25">
      <c r="A15" s="1"/>
      <c r="B15" s="17"/>
      <c r="C15" s="22" t="s">
        <v>13</v>
      </c>
      <c r="D15" s="19" t="s">
        <v>12</v>
      </c>
      <c r="E15" s="23">
        <f>'forecasted statatements '!E8/'forecasted statatements '!E4</f>
        <v>0.39483551467987266</v>
      </c>
      <c r="F15" s="23">
        <f>'forecasted statatements '!F8/'forecasted statatements '!F4</f>
        <v>0.40120132560066279</v>
      </c>
      <c r="G15" s="23">
        <f>'forecasted statatements '!G8/'forecasted statatements '!G4</f>
        <v>0.41156284968295415</v>
      </c>
      <c r="H15" s="24">
        <f>G15+0.3%</f>
        <v>0.41456284968295415</v>
      </c>
      <c r="I15" s="24">
        <f t="shared" ref="I15:L15" si="0">H15+0.3%</f>
        <v>0.41756284968295415</v>
      </c>
      <c r="J15" s="24">
        <f t="shared" si="0"/>
        <v>0.42056284968295415</v>
      </c>
      <c r="K15" s="24">
        <f t="shared" si="0"/>
        <v>0.42356284968295416</v>
      </c>
      <c r="L15" s="24">
        <f t="shared" si="0"/>
        <v>0.42656284968295416</v>
      </c>
    </row>
    <row r="16" spans="1:12" ht="15.75" x14ac:dyDescent="0.25">
      <c r="A16" s="1"/>
      <c r="B16" s="1"/>
      <c r="C16" s="18" t="s">
        <v>14</v>
      </c>
      <c r="D16" s="19" t="s">
        <v>12</v>
      </c>
      <c r="E16" s="20">
        <f>'forecasted statatements '!E11/'forecasted statatements '!E4</f>
        <v>0.19915104350902016</v>
      </c>
      <c r="F16" s="20">
        <f>'forecasted statatements '!F11/'forecasted statatements '!F4</f>
        <v>0.18489367578017121</v>
      </c>
      <c r="G16" s="20">
        <f>'forecasted statatements '!G11/'forecasted statatements '!G4</f>
        <v>0.1803058560238717</v>
      </c>
      <c r="H16" s="21">
        <v>0.18</v>
      </c>
      <c r="I16" s="21">
        <v>0.17499999999999999</v>
      </c>
      <c r="J16" s="21">
        <v>0.17499999999999999</v>
      </c>
      <c r="K16" s="21">
        <v>0.17</v>
      </c>
      <c r="L16" s="21">
        <v>0.17</v>
      </c>
    </row>
    <row r="17" spans="1:12" ht="15.75" x14ac:dyDescent="0.25">
      <c r="A17" s="1"/>
      <c r="B17" s="1"/>
      <c r="C17" s="18"/>
      <c r="D17" s="25"/>
      <c r="E17" s="26"/>
      <c r="F17" s="26"/>
      <c r="G17" s="26"/>
      <c r="H17" s="1"/>
      <c r="I17" s="1"/>
      <c r="J17" s="1"/>
      <c r="K17" s="1"/>
      <c r="L17" s="1"/>
    </row>
    <row r="18" spans="1:12" ht="15.75" x14ac:dyDescent="0.25">
      <c r="A18" s="1"/>
      <c r="B18" s="1"/>
      <c r="C18" s="18" t="s">
        <v>15</v>
      </c>
      <c r="D18" s="19" t="s">
        <v>16</v>
      </c>
      <c r="E18" s="27"/>
      <c r="F18" s="27"/>
      <c r="G18" s="27"/>
      <c r="H18" s="28">
        <v>217</v>
      </c>
      <c r="I18" s="28">
        <v>196</v>
      </c>
      <c r="J18" s="28">
        <v>175</v>
      </c>
      <c r="K18" s="28">
        <v>153</v>
      </c>
      <c r="L18" s="28">
        <v>134</v>
      </c>
    </row>
    <row r="19" spans="1:12" ht="15.75" x14ac:dyDescent="0.25">
      <c r="A19" s="1"/>
      <c r="B19" s="1"/>
      <c r="C19" s="29" t="s">
        <v>17</v>
      </c>
      <c r="D19" s="19" t="s">
        <v>16</v>
      </c>
      <c r="E19" s="26"/>
      <c r="F19" s="26"/>
      <c r="G19" s="26"/>
      <c r="H19" s="28">
        <v>0</v>
      </c>
      <c r="I19" s="28">
        <v>0</v>
      </c>
      <c r="J19" s="28">
        <v>0</v>
      </c>
      <c r="K19" s="28">
        <v>0</v>
      </c>
      <c r="L19" s="28">
        <v>0</v>
      </c>
    </row>
    <row r="20" spans="1:12" ht="15.75" x14ac:dyDescent="0.25">
      <c r="A20" s="1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x14ac:dyDescent="0.25">
      <c r="A21" s="1"/>
      <c r="B21" s="1"/>
      <c r="C21" s="18" t="s">
        <v>18</v>
      </c>
      <c r="D21" s="19" t="s">
        <v>12</v>
      </c>
      <c r="E21" s="1"/>
      <c r="F21" s="1"/>
      <c r="G21" s="1"/>
      <c r="H21" s="21">
        <v>0.1</v>
      </c>
      <c r="I21" s="21">
        <v>0.1</v>
      </c>
      <c r="J21" s="21">
        <v>0.1</v>
      </c>
      <c r="K21" s="21">
        <v>0.1</v>
      </c>
      <c r="L21" s="21">
        <v>0.1</v>
      </c>
    </row>
    <row r="22" spans="1:12" ht="15.75" x14ac:dyDescent="0.25">
      <c r="A22" s="1"/>
      <c r="B22" s="1"/>
      <c r="C22" s="18"/>
      <c r="D22" s="19"/>
      <c r="E22" s="1"/>
      <c r="F22" s="1"/>
      <c r="G22" s="1"/>
      <c r="H22" s="30"/>
      <c r="I22" s="30"/>
      <c r="J22" s="30"/>
      <c r="K22" s="30"/>
      <c r="L22" s="30"/>
    </row>
    <row r="23" spans="1:12" ht="15.75" x14ac:dyDescent="0.25">
      <c r="A23" s="1"/>
      <c r="B23" s="1"/>
      <c r="C23" s="31" t="s">
        <v>19</v>
      </c>
      <c r="D23" s="19" t="s">
        <v>16</v>
      </c>
      <c r="E23" s="1"/>
      <c r="F23" s="1"/>
      <c r="G23" s="32"/>
      <c r="H23" s="33">
        <f>'forecasted statatements '!G59</f>
        <v>7422</v>
      </c>
      <c r="I23" s="33">
        <f>H25</f>
        <v>6679.8</v>
      </c>
      <c r="J23" s="33">
        <f t="shared" ref="J23:L23" si="1">I25</f>
        <v>5937.6</v>
      </c>
      <c r="K23" s="33">
        <f t="shared" si="1"/>
        <v>5195.4000000000005</v>
      </c>
      <c r="L23" s="33">
        <f t="shared" si="1"/>
        <v>4453.2000000000007</v>
      </c>
    </row>
    <row r="24" spans="1:12" ht="15.75" x14ac:dyDescent="0.25">
      <c r="A24" s="1"/>
      <c r="B24" s="1"/>
      <c r="C24" s="34" t="s">
        <v>20</v>
      </c>
      <c r="D24" s="35" t="s">
        <v>16</v>
      </c>
      <c r="E24" s="1"/>
      <c r="F24" s="1"/>
      <c r="G24" s="1"/>
      <c r="H24" s="36">
        <f>-$H$23*H21</f>
        <v>-742.2</v>
      </c>
      <c r="I24" s="36">
        <f>-$H$23*I21</f>
        <v>-742.2</v>
      </c>
      <c r="J24" s="36">
        <f>-$H$23*J21</f>
        <v>-742.2</v>
      </c>
      <c r="K24" s="36">
        <f>-$H$23*K21</f>
        <v>-742.2</v>
      </c>
      <c r="L24" s="36">
        <f>-$H$23*L21</f>
        <v>-742.2</v>
      </c>
    </row>
    <row r="25" spans="1:12" ht="15.75" x14ac:dyDescent="0.25">
      <c r="A25" s="1"/>
      <c r="B25" s="1"/>
      <c r="C25" s="37" t="s">
        <v>21</v>
      </c>
      <c r="D25" s="19" t="s">
        <v>16</v>
      </c>
      <c r="E25" s="38"/>
      <c r="F25" s="38"/>
      <c r="G25" s="38"/>
      <c r="H25" s="33">
        <f>SUM(H23:H24)</f>
        <v>6679.8</v>
      </c>
      <c r="I25" s="33">
        <f t="shared" ref="I25:L25" si="2">SUM(I23:I24)</f>
        <v>5937.6</v>
      </c>
      <c r="J25" s="33">
        <f t="shared" si="2"/>
        <v>5195.4000000000005</v>
      </c>
      <c r="K25" s="33">
        <f t="shared" si="2"/>
        <v>4453.2000000000007</v>
      </c>
      <c r="L25" s="33">
        <f t="shared" si="2"/>
        <v>3711.0000000000009</v>
      </c>
    </row>
    <row r="26" spans="1:12" ht="15.75" x14ac:dyDescent="0.25">
      <c r="A26" s="1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x14ac:dyDescent="0.25">
      <c r="A27" s="1"/>
      <c r="B27" s="1"/>
      <c r="C27" s="18" t="s">
        <v>22</v>
      </c>
      <c r="D27" s="19" t="s">
        <v>16</v>
      </c>
      <c r="E27" s="1"/>
      <c r="F27" s="1"/>
      <c r="G27" s="1"/>
      <c r="H27" s="39">
        <f>H23*$D$8</f>
        <v>296.88</v>
      </c>
      <c r="I27" s="39">
        <f>I23*$D$8</f>
        <v>267.19200000000001</v>
      </c>
      <c r="J27" s="39">
        <f>J23*$D$8</f>
        <v>237.50400000000002</v>
      </c>
      <c r="K27" s="39">
        <f>K23*$D$8</f>
        <v>207.81600000000003</v>
      </c>
      <c r="L27" s="39">
        <f>L23*$D$8</f>
        <v>178.12800000000004</v>
      </c>
    </row>
    <row r="28" spans="1:12" ht="15.75" x14ac:dyDescent="0.25">
      <c r="A28" s="1"/>
      <c r="B28" s="76"/>
      <c r="C28" s="22" t="s">
        <v>23</v>
      </c>
      <c r="D28" s="101" t="s">
        <v>16</v>
      </c>
      <c r="E28" s="76"/>
      <c r="F28" s="76"/>
      <c r="G28" s="76"/>
      <c r="H28" s="100">
        <f>'forecasted statatements '!G36*drivers!$D$9</f>
        <v>15.450000000000001</v>
      </c>
      <c r="I28" s="100"/>
      <c r="J28" s="100"/>
      <c r="K28" s="100"/>
      <c r="L28" s="100"/>
    </row>
    <row r="29" spans="1:12" ht="15.75" x14ac:dyDescent="0.25">
      <c r="A29" s="1"/>
      <c r="B29" s="1"/>
      <c r="C29" s="18"/>
      <c r="D29" s="19"/>
      <c r="E29" s="27"/>
      <c r="F29" s="27"/>
      <c r="G29" s="27"/>
      <c r="H29" s="27"/>
      <c r="I29" s="27"/>
      <c r="J29" s="27"/>
      <c r="K29" s="27"/>
      <c r="L29" s="27"/>
    </row>
    <row r="30" spans="1:12" s="78" customFormat="1" ht="15.75" x14ac:dyDescent="0.25">
      <c r="A30" s="76"/>
      <c r="B30" s="1"/>
      <c r="C30" s="18" t="s">
        <v>24</v>
      </c>
      <c r="D30" s="19" t="s">
        <v>16</v>
      </c>
      <c r="E30" s="27"/>
      <c r="F30" s="27"/>
      <c r="G30" s="27"/>
      <c r="H30" s="28">
        <v>0</v>
      </c>
      <c r="I30" s="28">
        <v>0</v>
      </c>
      <c r="J30" s="28">
        <v>0</v>
      </c>
      <c r="K30" s="28">
        <v>0</v>
      </c>
      <c r="L30" s="28">
        <v>0</v>
      </c>
    </row>
    <row r="31" spans="1:12" ht="15.75" x14ac:dyDescent="0.25">
      <c r="A31" s="1"/>
      <c r="B31" s="1"/>
      <c r="C31" s="18"/>
      <c r="D31" s="19"/>
      <c r="E31" s="27"/>
      <c r="F31" s="27"/>
      <c r="G31" s="27"/>
      <c r="H31" s="27"/>
      <c r="I31" s="27"/>
      <c r="J31" s="27"/>
      <c r="K31" s="27"/>
      <c r="L31" s="27"/>
    </row>
    <row r="32" spans="1:12" ht="15.75" x14ac:dyDescent="0.25">
      <c r="A32" s="1"/>
      <c r="B32" s="16" t="s">
        <v>25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ht="15.75" x14ac:dyDescent="0.25">
      <c r="A33" s="1"/>
      <c r="B33" s="1"/>
      <c r="C33" s="40" t="s">
        <v>26</v>
      </c>
      <c r="D33" s="19" t="s">
        <v>27</v>
      </c>
      <c r="E33" s="41">
        <f>'forecasted statatements '!E37/'forecasted statatements '!E4*365</f>
        <v>61.070038910505829</v>
      </c>
      <c r="F33" s="41">
        <f>'forecasted statatements '!F37/'forecasted statatements '!F4*365</f>
        <v>57.784106600386636</v>
      </c>
      <c r="G33" s="41">
        <f>'forecasted statatements '!G37/'forecasted statatements '!G4*365</f>
        <v>59.984707198806412</v>
      </c>
      <c r="H33" s="42">
        <f>AVERAGE(E33:G33)</f>
        <v>59.612950903232957</v>
      </c>
      <c r="I33" s="42">
        <f>H33</f>
        <v>59.612950903232957</v>
      </c>
      <c r="J33" s="42">
        <f t="shared" ref="J33:L35" si="3">I33</f>
        <v>59.612950903232957</v>
      </c>
      <c r="K33" s="42">
        <f t="shared" si="3"/>
        <v>59.612950903232957</v>
      </c>
      <c r="L33" s="42">
        <f t="shared" si="3"/>
        <v>59.612950903232957</v>
      </c>
    </row>
    <row r="34" spans="1:12" ht="15.75" x14ac:dyDescent="0.25">
      <c r="A34" s="1"/>
      <c r="B34" s="1"/>
      <c r="C34" s="40" t="s">
        <v>28</v>
      </c>
      <c r="D34" s="19" t="s">
        <v>27</v>
      </c>
      <c r="E34" s="41">
        <f>'forecasted statatements '!E38/'forecasted statatements '!E6*365</f>
        <v>53.20960953939678</v>
      </c>
      <c r="F34" s="41">
        <f>'forecasted statatements '!F38/'forecasted statatements '!F6*365</f>
        <v>49.659863945578238</v>
      </c>
      <c r="G34" s="41">
        <f>'forecasted statatements '!G38/'forecasted statatements '!G6*365</f>
        <v>50.252281947261658</v>
      </c>
      <c r="H34" s="42">
        <v>50</v>
      </c>
      <c r="I34" s="42">
        <v>49</v>
      </c>
      <c r="J34" s="42">
        <f t="shared" si="3"/>
        <v>49</v>
      </c>
      <c r="K34" s="42">
        <v>48</v>
      </c>
      <c r="L34" s="42">
        <f t="shared" si="3"/>
        <v>48</v>
      </c>
    </row>
    <row r="35" spans="1:12" ht="15.75" x14ac:dyDescent="0.25">
      <c r="A35" s="1"/>
      <c r="B35" s="1"/>
      <c r="C35" s="40" t="s">
        <v>29</v>
      </c>
      <c r="D35" s="19" t="s">
        <v>27</v>
      </c>
      <c r="E35" s="41">
        <f>'forecasted statatements '!E53/'forecasted statatements '!E6*365</f>
        <v>27.052840776245031</v>
      </c>
      <c r="F35" s="41">
        <f>'forecasted statatements '!F53/'forecasted statatements '!F6*365</f>
        <v>21.547330796725468</v>
      </c>
      <c r="G35" s="41">
        <f>'forecasted statatements '!G53/'forecasted statatements '!G6*365</f>
        <v>20.776495943204868</v>
      </c>
      <c r="H35" s="42">
        <v>20</v>
      </c>
      <c r="I35" s="42">
        <v>19</v>
      </c>
      <c r="J35" s="42">
        <f t="shared" si="3"/>
        <v>19</v>
      </c>
      <c r="K35" s="42">
        <v>18</v>
      </c>
      <c r="L35" s="42">
        <f t="shared" si="3"/>
        <v>18</v>
      </c>
    </row>
    <row r="36" spans="1:12" ht="15.75" x14ac:dyDescent="0.25">
      <c r="A36" s="1"/>
      <c r="B36" s="1"/>
      <c r="C36" s="40"/>
      <c r="D36" s="25"/>
      <c r="E36" s="26"/>
      <c r="F36" s="26"/>
      <c r="G36" s="26"/>
      <c r="H36" s="26"/>
      <c r="I36" s="26"/>
      <c r="J36" s="26"/>
      <c r="K36" s="26" t="s">
        <v>30</v>
      </c>
      <c r="L36" s="26"/>
    </row>
    <row r="37" spans="1:12" ht="15.75" x14ac:dyDescent="0.25">
      <c r="A37" s="1"/>
      <c r="B37" s="1"/>
      <c r="C37" s="40" t="s">
        <v>31</v>
      </c>
      <c r="D37" s="25" t="s">
        <v>12</v>
      </c>
      <c r="E37" s="43">
        <f>'forecasted statatements '!E39/'forecasted statatements '!E11</f>
        <v>0.9186500888099467</v>
      </c>
      <c r="F37" s="43">
        <f>'forecasted statatements '!F39/'forecasted statatements '!F11</f>
        <v>0.14973861090365945</v>
      </c>
      <c r="G37" s="43">
        <f>'forecasted statatements '!G39/'forecasted statatements '!G11</f>
        <v>0.14108398841539099</v>
      </c>
      <c r="H37" s="43">
        <v>0.13</v>
      </c>
      <c r="I37" s="43">
        <v>0.13</v>
      </c>
      <c r="J37" s="43">
        <v>0.12</v>
      </c>
      <c r="K37" s="43">
        <v>0.12</v>
      </c>
      <c r="L37" s="43">
        <v>0.11</v>
      </c>
    </row>
    <row r="38" spans="1:12" ht="15.75" x14ac:dyDescent="0.25">
      <c r="A38" s="1"/>
      <c r="B38" s="1"/>
      <c r="C38" s="18" t="s">
        <v>32</v>
      </c>
      <c r="D38" s="25" t="s">
        <v>12</v>
      </c>
      <c r="E38" s="20">
        <f>'forecasted statatements '!E46/'forecasted statatements '!E4</f>
        <v>0.11008135833038557</v>
      </c>
      <c r="F38" s="20">
        <f>'forecasted statatements '!F46/'forecasted statatements '!F4</f>
        <v>0.1000414250207125</v>
      </c>
      <c r="G38" s="20">
        <f>'forecasted statatements '!G46/'forecasted statatements '!G4</f>
        <v>0.10690041029466617</v>
      </c>
      <c r="H38" s="24">
        <v>0.106</v>
      </c>
      <c r="I38" s="24">
        <f>H38</f>
        <v>0.106</v>
      </c>
      <c r="J38" s="24">
        <f t="shared" ref="J38:L38" si="4">I38</f>
        <v>0.106</v>
      </c>
      <c r="K38" s="24">
        <f t="shared" si="4"/>
        <v>0.106</v>
      </c>
      <c r="L38" s="24">
        <f t="shared" si="4"/>
        <v>0.106</v>
      </c>
    </row>
    <row r="39" spans="1:12" ht="15.75" x14ac:dyDescent="0.25">
      <c r="A39" s="1"/>
      <c r="B39" s="1"/>
      <c r="C39" s="40" t="s">
        <v>33</v>
      </c>
      <c r="D39" s="25" t="s">
        <v>12</v>
      </c>
      <c r="E39" s="20">
        <f>'forecasted statatements '!E54/'forecasted statatements '!E11</f>
        <v>0.45186500888099468</v>
      </c>
      <c r="F39" s="20">
        <f>'forecasted statatements '!F54/'forecasted statatements '!F11</f>
        <v>0.48058252427184467</v>
      </c>
      <c r="G39" s="20">
        <f>'forecasted statatements '!G54/'forecasted statatements '!G11</f>
        <v>0.47000413736036406</v>
      </c>
      <c r="H39" s="24">
        <v>0.46700000000000003</v>
      </c>
      <c r="I39" s="24">
        <v>0.46700000000000003</v>
      </c>
      <c r="J39" s="24">
        <v>0.46700000000000003</v>
      </c>
      <c r="K39" s="24">
        <v>0.46700000000000003</v>
      </c>
      <c r="L39" s="24">
        <v>0.46700000000000003</v>
      </c>
    </row>
    <row r="40" spans="1:12" ht="15.75" x14ac:dyDescent="0.25">
      <c r="A40" s="1"/>
      <c r="B40" s="1"/>
      <c r="C40" s="40"/>
      <c r="D40" s="25"/>
      <c r="E40" s="26"/>
      <c r="F40" s="26"/>
      <c r="G40" s="26"/>
      <c r="H40" s="20"/>
      <c r="I40" s="1"/>
      <c r="J40" s="1"/>
      <c r="K40" s="1"/>
      <c r="L40" s="1"/>
    </row>
    <row r="41" spans="1:12" ht="15.75" x14ac:dyDescent="0.25">
      <c r="A41" s="1"/>
      <c r="B41" s="1"/>
      <c r="C41" s="40" t="s">
        <v>34</v>
      </c>
      <c r="D41" s="25" t="s">
        <v>35</v>
      </c>
      <c r="E41" s="20">
        <f>'forecasted statatements '!E55/'forecasted statatements '!E11</f>
        <v>0.20497335701598579</v>
      </c>
      <c r="F41" s="20">
        <f>'forecasted statatements '!F55/'forecasted statatements '!F11</f>
        <v>9.3353248693054516E-2</v>
      </c>
      <c r="G41" s="20">
        <f>'forecasted statatements '!G55/'forecasted statatements '!G11</f>
        <v>0.1063301613570542</v>
      </c>
      <c r="H41" s="21">
        <v>0.1</v>
      </c>
      <c r="I41" s="21">
        <v>0.1</v>
      </c>
      <c r="J41" s="21">
        <v>0.1</v>
      </c>
      <c r="K41" s="21">
        <v>0.1</v>
      </c>
      <c r="L41" s="21">
        <v>0.1</v>
      </c>
    </row>
    <row r="42" spans="1:12" ht="15.75" x14ac:dyDescent="0.25">
      <c r="A42" s="1"/>
      <c r="B42" s="1"/>
      <c r="C42" s="40" t="s">
        <v>36</v>
      </c>
      <c r="D42" s="25" t="s">
        <v>12</v>
      </c>
      <c r="E42" s="20">
        <f>'forecasted statatements '!E61/'forecasted statatements '!E11</f>
        <v>0.32788632326820605</v>
      </c>
      <c r="F42" s="20">
        <f>'forecasted statatements '!F61/'forecasted statatements '!F11</f>
        <v>0.37415982076176252</v>
      </c>
      <c r="G42" s="20">
        <f>'forecasted statatements '!G61/'forecasted statatements '!G11</f>
        <v>0.40587505171700455</v>
      </c>
      <c r="H42" s="24">
        <f>AVERAGE(E42:G42)</f>
        <v>0.36930706524899098</v>
      </c>
      <c r="I42" s="24">
        <f>H42</f>
        <v>0.36930706524899098</v>
      </c>
      <c r="J42" s="24">
        <f t="shared" ref="J42:L42" si="5">I42</f>
        <v>0.36930706524899098</v>
      </c>
      <c r="K42" s="24">
        <f t="shared" si="5"/>
        <v>0.36930706524899098</v>
      </c>
      <c r="L42" s="24">
        <f t="shared" si="5"/>
        <v>0.36930706524899098</v>
      </c>
    </row>
    <row r="43" spans="1:12" ht="15.75" x14ac:dyDescent="0.25">
      <c r="A43" s="1"/>
      <c r="B43" s="1"/>
      <c r="C43" s="40"/>
      <c r="D43" s="25"/>
      <c r="E43" s="26"/>
      <c r="F43" s="26"/>
      <c r="G43" s="26"/>
      <c r="H43" s="1"/>
      <c r="I43" s="1"/>
      <c r="J43" s="1"/>
      <c r="K43" s="1"/>
      <c r="L43" s="1"/>
    </row>
    <row r="44" spans="1:12" ht="15.75" x14ac:dyDescent="0.25">
      <c r="A44" s="1"/>
      <c r="B44" s="16" t="s">
        <v>37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5.75" x14ac:dyDescent="0.25">
      <c r="A45" s="1"/>
      <c r="B45" s="1"/>
      <c r="C45" s="22" t="s">
        <v>38</v>
      </c>
      <c r="D45" s="19" t="s">
        <v>16</v>
      </c>
      <c r="E45" s="20"/>
      <c r="F45" s="20"/>
      <c r="G45" s="20"/>
      <c r="H45" s="28">
        <v>-285</v>
      </c>
      <c r="I45" s="28">
        <v>-325</v>
      </c>
      <c r="J45" s="28">
        <v>-375</v>
      </c>
      <c r="K45" s="28">
        <v>-425</v>
      </c>
      <c r="L45" s="28">
        <v>-475</v>
      </c>
    </row>
    <row r="46" spans="1:12" ht="15.75" x14ac:dyDescent="0.25">
      <c r="A46" s="1"/>
      <c r="B46" s="1"/>
      <c r="C46" s="18" t="s">
        <v>39</v>
      </c>
      <c r="D46" s="19" t="s">
        <v>12</v>
      </c>
      <c r="E46" s="20">
        <f>'forecasted statatements '!E78/'forecasted statatements '!E4</f>
        <v>2.1153165900247611E-2</v>
      </c>
      <c r="F46" s="20">
        <f>'forecasted statatements '!F78/'forecasted statatements '!F4</f>
        <v>1.8088925711129522E-2</v>
      </c>
      <c r="G46" s="20">
        <f>'forecasted statatements '!G78/'forecasted statatements '!G4</f>
        <v>1.8202163371876166E-2</v>
      </c>
      <c r="H46" s="21">
        <v>1.7000000000000001E-2</v>
      </c>
      <c r="I46" s="21">
        <v>1.7999999999999999E-2</v>
      </c>
      <c r="J46" s="21">
        <v>1.9E-2</v>
      </c>
      <c r="K46" s="21">
        <v>0.02</v>
      </c>
      <c r="L46" s="21">
        <v>2.1000000000000001E-2</v>
      </c>
    </row>
    <row r="47" spans="1:12" ht="15.75" x14ac:dyDescent="0.25">
      <c r="A47" s="1"/>
      <c r="B47" s="1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1:12" ht="15.75" x14ac:dyDescent="0.25">
      <c r="A48" s="1"/>
      <c r="B48" s="1"/>
      <c r="C48" s="18" t="s">
        <v>40</v>
      </c>
      <c r="D48" s="25" t="s">
        <v>12</v>
      </c>
      <c r="E48" s="20">
        <f>'forecasted statatements '!E82/'forecasted statatements '!E4</f>
        <v>2.6176158471878318E-3</v>
      </c>
      <c r="F48" s="20">
        <f>'forecasted statatements '!F82/'forecasted statatements '!F4</f>
        <v>2.6926263463131731E-3</v>
      </c>
      <c r="G48" s="20">
        <f>'forecasted statatements '!G82/'forecasted statatements '!G4</f>
        <v>3.0585602387168966E-3</v>
      </c>
      <c r="H48" s="24">
        <f>AVERAGE(E48:G48)</f>
        <v>2.7896008107393005E-3</v>
      </c>
      <c r="I48" s="24">
        <f>H48</f>
        <v>2.7896008107393005E-3</v>
      </c>
      <c r="J48" s="24">
        <f t="shared" ref="J48:L48" si="6">I48</f>
        <v>2.7896008107393005E-3</v>
      </c>
      <c r="K48" s="24">
        <f t="shared" si="6"/>
        <v>2.7896008107393005E-3</v>
      </c>
      <c r="L48" s="24">
        <f t="shared" si="6"/>
        <v>2.7896008107393005E-3</v>
      </c>
    </row>
    <row r="49" spans="1:12" ht="15.75" x14ac:dyDescent="0.25">
      <c r="A49" s="1"/>
      <c r="B49" s="1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ht="15.75" x14ac:dyDescent="0.25">
      <c r="A50" s="1"/>
      <c r="B50" s="1"/>
      <c r="C50" s="44" t="s">
        <v>41</v>
      </c>
      <c r="D50" s="25" t="s">
        <v>12</v>
      </c>
      <c r="E50" s="20">
        <f>-'forecasted statatements '!E81/'forecasted statatements '!E25</f>
        <v>8.368200836820083E-3</v>
      </c>
      <c r="F50" s="20">
        <f>-'forecasted statatements '!F81/'forecasted statatements '!F25</f>
        <v>6.7985166872682329E-2</v>
      </c>
      <c r="G50" s="20">
        <f>-'forecasted statatements '!G81/'forecasted statatements '!G25</f>
        <v>-1.3414634146341463E-2</v>
      </c>
      <c r="H50" s="24">
        <f>AVERAGE(E50:G50)</f>
        <v>2.0979577854386981E-2</v>
      </c>
      <c r="I50" s="24">
        <f>H50</f>
        <v>2.0979577854386981E-2</v>
      </c>
      <c r="J50" s="24">
        <f t="shared" ref="J50:L51" si="7">I50</f>
        <v>2.0979577854386981E-2</v>
      </c>
      <c r="K50" s="24">
        <f t="shared" si="7"/>
        <v>2.0979577854386981E-2</v>
      </c>
      <c r="L50" s="24">
        <f t="shared" si="7"/>
        <v>2.0979577854386981E-2</v>
      </c>
    </row>
    <row r="51" spans="1:12" ht="15.75" x14ac:dyDescent="0.25">
      <c r="A51" s="1"/>
      <c r="B51" s="1"/>
      <c r="C51" s="18" t="s">
        <v>42</v>
      </c>
      <c r="D51" s="25" t="s">
        <v>12</v>
      </c>
      <c r="E51" s="20">
        <f>-'forecasted statatements '!E99/'forecasted statatements '!E30</f>
        <v>0.31447290053603333</v>
      </c>
      <c r="F51" s="20">
        <f>-'forecasted statatements '!F99/'forecasted statatements '!F30</f>
        <v>0.24134419551934827</v>
      </c>
      <c r="G51" s="20">
        <f>-'forecasted statatements '!G99/'forecasted statatements '!G30</f>
        <v>0.39073196419167983</v>
      </c>
      <c r="H51" s="24">
        <f>AVERAGE(E51:G51)</f>
        <v>0.31551635341568712</v>
      </c>
      <c r="I51" s="24">
        <f>H51</f>
        <v>0.31551635341568712</v>
      </c>
      <c r="J51" s="24">
        <f t="shared" si="7"/>
        <v>0.31551635341568712</v>
      </c>
      <c r="K51" s="24">
        <f t="shared" si="7"/>
        <v>0.31551635341568712</v>
      </c>
      <c r="L51" s="24">
        <f t="shared" si="7"/>
        <v>0.31551635341568712</v>
      </c>
    </row>
    <row r="52" spans="1:12" ht="15.75" x14ac:dyDescent="0.25">
      <c r="A52" s="1"/>
      <c r="B52" s="1"/>
      <c r="C52" s="6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x14ac:dyDescent="0.25">
      <c r="A53" s="1"/>
      <c r="B53" s="1"/>
      <c r="C53" s="18" t="s">
        <v>43</v>
      </c>
      <c r="D53" s="19" t="s">
        <v>16</v>
      </c>
      <c r="E53" s="32">
        <v>1900</v>
      </c>
      <c r="F53" s="32">
        <v>4198</v>
      </c>
      <c r="G53" s="32">
        <v>1943</v>
      </c>
      <c r="H53" s="28">
        <v>1000</v>
      </c>
      <c r="I53" s="45">
        <v>1000</v>
      </c>
      <c r="J53" s="45">
        <v>1000</v>
      </c>
      <c r="K53" s="45">
        <v>1000</v>
      </c>
      <c r="L53" s="45">
        <v>1000</v>
      </c>
    </row>
    <row r="54" spans="1:12" ht="15.75" x14ac:dyDescent="0.25">
      <c r="A54" s="1"/>
      <c r="B54" s="1"/>
      <c r="C54" s="22"/>
      <c r="D54" s="19"/>
      <c r="E54" s="46"/>
      <c r="F54" s="46"/>
      <c r="G54" s="46"/>
      <c r="H54" s="1"/>
      <c r="I54" s="1"/>
      <c r="J54" s="1"/>
      <c r="K54" s="1"/>
      <c r="L54" s="1"/>
    </row>
    <row r="55" spans="1:12" ht="15.75" x14ac:dyDescent="0.25">
      <c r="A55" s="1"/>
      <c r="B55" s="1"/>
      <c r="C55" s="22" t="s">
        <v>44</v>
      </c>
      <c r="D55" s="19" t="s">
        <v>16</v>
      </c>
      <c r="E55" s="46"/>
      <c r="F55" s="46"/>
      <c r="G55" s="46"/>
      <c r="H55" s="28">
        <v>0</v>
      </c>
      <c r="I55" s="28">
        <v>0</v>
      </c>
      <c r="J55" s="28">
        <v>0</v>
      </c>
      <c r="K55" s="28">
        <v>0</v>
      </c>
      <c r="L55" s="28">
        <v>0</v>
      </c>
    </row>
    <row r="56" spans="1:12" ht="15.75" x14ac:dyDescent="0.25">
      <c r="A56" s="1"/>
      <c r="B56" s="1"/>
      <c r="C56" s="22" t="s">
        <v>45</v>
      </c>
      <c r="D56" s="19" t="s">
        <v>16</v>
      </c>
      <c r="E56" s="46"/>
      <c r="F56" s="46"/>
      <c r="G56" s="46"/>
      <c r="H56" s="28">
        <v>0</v>
      </c>
      <c r="I56" s="28">
        <v>0</v>
      </c>
      <c r="J56" s="28">
        <v>0</v>
      </c>
      <c r="K56" s="28">
        <v>0</v>
      </c>
      <c r="L56" s="28">
        <v>0</v>
      </c>
    </row>
    <row r="57" spans="1:12" ht="15.75" x14ac:dyDescent="0.25">
      <c r="A57" s="1"/>
      <c r="B57" s="1"/>
      <c r="C57" s="22" t="s">
        <v>46</v>
      </c>
      <c r="D57" s="19" t="s">
        <v>16</v>
      </c>
      <c r="E57" s="46"/>
      <c r="F57" s="46"/>
      <c r="G57" s="46"/>
      <c r="H57" s="28">
        <v>0</v>
      </c>
      <c r="I57" s="28">
        <v>0</v>
      </c>
      <c r="J57" s="28">
        <v>0</v>
      </c>
      <c r="K57" s="28">
        <v>0</v>
      </c>
      <c r="L57" s="28">
        <v>0</v>
      </c>
    </row>
    <row r="58" spans="1:12" ht="15.75" x14ac:dyDescent="0.25">
      <c r="A58" s="1"/>
      <c r="B58" s="1"/>
      <c r="C58" s="22"/>
      <c r="D58" s="19"/>
      <c r="E58" s="46"/>
      <c r="F58" s="46"/>
      <c r="G58" s="46"/>
      <c r="H58" s="1"/>
      <c r="I58" s="1"/>
      <c r="J58" s="1"/>
      <c r="K58" s="1"/>
      <c r="L58" s="1"/>
    </row>
    <row r="59" spans="1:12" ht="15.75" x14ac:dyDescent="0.25">
      <c r="A59" s="1"/>
      <c r="B59" s="1"/>
      <c r="C59" s="22" t="s">
        <v>47</v>
      </c>
      <c r="D59" s="19" t="s">
        <v>12</v>
      </c>
      <c r="E59" s="20">
        <f>'forecasted statatements '!E105/'forecasted statatements '!E4</f>
        <v>-6.5794128050937388E-3</v>
      </c>
      <c r="F59" s="20">
        <f>'forecasted statatements '!F105/'forecasted statatements '!F4</f>
        <v>-3.6937310135321734E-2</v>
      </c>
      <c r="G59" s="20">
        <f>'forecasted statatements '!G105/'forecasted statatements '!G4</f>
        <v>-3.4539350988437148E-2</v>
      </c>
      <c r="H59" s="24">
        <f>AVERAGE(E59:G59)</f>
        <v>-2.601869130961754E-2</v>
      </c>
      <c r="I59" s="24">
        <f>H59</f>
        <v>-2.601869130961754E-2</v>
      </c>
      <c r="J59" s="24">
        <f t="shared" ref="J59:L59" si="8">I59</f>
        <v>-2.601869130961754E-2</v>
      </c>
      <c r="K59" s="24">
        <f t="shared" si="8"/>
        <v>-2.601869130961754E-2</v>
      </c>
      <c r="L59" s="24">
        <f t="shared" si="8"/>
        <v>-2.601869130961754E-2</v>
      </c>
    </row>
    <row r="60" spans="1:12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x14ac:dyDescent="0.25">
      <c r="A61" s="1"/>
    </row>
    <row r="62" spans="1:12" ht="15.75" x14ac:dyDescent="0.25">
      <c r="A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showGridLines="0" topLeftCell="A86" zoomScaleNormal="100" workbookViewId="0">
      <selection activeCell="B13" sqref="B13"/>
    </sheetView>
  </sheetViews>
  <sheetFormatPr defaultRowHeight="15" x14ac:dyDescent="0.25"/>
  <cols>
    <col min="2" max="2" width="23" customWidth="1"/>
    <col min="3" max="3" width="44.140625" bestFit="1" customWidth="1"/>
    <col min="4" max="4" width="7.28515625" bestFit="1" customWidth="1"/>
    <col min="5" max="12" width="11.5703125" bestFit="1" customWidth="1"/>
    <col min="14" max="14" width="8.5703125" bestFit="1" customWidth="1"/>
    <col min="15" max="15" width="18.28515625" bestFit="1" customWidth="1"/>
    <col min="16" max="19" width="8.5703125" bestFit="1" customWidth="1"/>
  </cols>
  <sheetData>
    <row r="1" spans="1:18" ht="15.75" x14ac:dyDescent="0.25">
      <c r="A1" s="1"/>
      <c r="B1" s="10"/>
      <c r="C1" s="10"/>
      <c r="D1" s="10"/>
      <c r="E1" s="11" t="s">
        <v>6</v>
      </c>
      <c r="F1" s="11"/>
      <c r="G1" s="11"/>
      <c r="H1" s="12" t="s">
        <v>7</v>
      </c>
      <c r="I1" s="11"/>
      <c r="J1" s="11"/>
      <c r="K1" s="11"/>
      <c r="L1" s="11"/>
    </row>
    <row r="2" spans="1:18" ht="15.75" x14ac:dyDescent="0.25">
      <c r="A2" s="1"/>
      <c r="B2" s="47" t="s">
        <v>48</v>
      </c>
      <c r="C2" s="47"/>
      <c r="D2" s="48" t="s">
        <v>9</v>
      </c>
      <c r="E2" s="49">
        <v>43830</v>
      </c>
      <c r="F2" s="49">
        <v>44196</v>
      </c>
      <c r="G2" s="49">
        <v>44561</v>
      </c>
      <c r="H2" s="50">
        <v>44926</v>
      </c>
      <c r="I2" s="49">
        <v>45291</v>
      </c>
      <c r="J2" s="49">
        <v>45657</v>
      </c>
      <c r="K2" s="49">
        <v>46022</v>
      </c>
      <c r="L2" s="49">
        <v>46387</v>
      </c>
    </row>
    <row r="3" spans="1:18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R3" t="s">
        <v>30</v>
      </c>
    </row>
    <row r="4" spans="1:18" ht="15.75" x14ac:dyDescent="0.25">
      <c r="A4" s="1"/>
      <c r="B4" s="1"/>
      <c r="C4" s="51" t="s">
        <v>49</v>
      </c>
      <c r="D4" s="19" t="s">
        <v>16</v>
      </c>
      <c r="E4" s="52">
        <v>14135</v>
      </c>
      <c r="F4" s="52">
        <v>14484</v>
      </c>
      <c r="G4" s="52">
        <v>13405</v>
      </c>
      <c r="H4" s="53">
        <f>G4*(1+drivers!H14)</f>
        <v>14075.25</v>
      </c>
      <c r="I4" s="53">
        <f>H4*(1+drivers!I14)</f>
        <v>14638.26</v>
      </c>
      <c r="J4" s="53">
        <f>I4*(1+drivers!J14)</f>
        <v>15223.7904</v>
      </c>
      <c r="K4" s="53">
        <f>J4*(1+drivers!K14)</f>
        <v>15680.504112000001</v>
      </c>
      <c r="L4" s="53">
        <f>K4*(1+drivers!L14)</f>
        <v>16150.919235360001</v>
      </c>
    </row>
    <row r="5" spans="1:18" ht="15.75" x14ac:dyDescent="0.25">
      <c r="A5" s="1"/>
      <c r="B5" s="1"/>
      <c r="C5" s="1"/>
      <c r="D5" s="1"/>
      <c r="E5" s="54"/>
      <c r="F5" s="54"/>
      <c r="G5" s="54"/>
      <c r="H5" s="32"/>
      <c r="I5" s="32"/>
      <c r="J5" s="32"/>
      <c r="K5" s="32"/>
      <c r="L5" s="32"/>
    </row>
    <row r="6" spans="1:18" ht="15.75" x14ac:dyDescent="0.25">
      <c r="A6" s="1"/>
      <c r="B6" s="1"/>
      <c r="C6" s="55" t="s">
        <v>50</v>
      </c>
      <c r="D6" s="19" t="s">
        <v>16</v>
      </c>
      <c r="E6" s="56">
        <v>8554</v>
      </c>
      <c r="F6" s="56">
        <v>8673</v>
      </c>
      <c r="G6" s="56">
        <v>7888</v>
      </c>
      <c r="H6" s="39">
        <f>H4*(1-drivers!H15)</f>
        <v>8240.17425</v>
      </c>
      <c r="I6" s="39">
        <f>I4*(1-drivers!I15)</f>
        <v>8525.8664399999998</v>
      </c>
      <c r="J6" s="39">
        <f>J4*(1-drivers!J15)</f>
        <v>8821.2297264000008</v>
      </c>
      <c r="K6" s="39">
        <f>K4*(1-drivers!K15)</f>
        <v>9038.8251058559981</v>
      </c>
      <c r="L6" s="39">
        <f>L4*(1-drivers!L15)</f>
        <v>9261.5371013256008</v>
      </c>
    </row>
    <row r="7" spans="1:18" ht="15.75" x14ac:dyDescent="0.25">
      <c r="A7" s="1"/>
      <c r="B7" s="1"/>
      <c r="C7" s="55"/>
      <c r="D7" s="55"/>
      <c r="E7" s="56"/>
      <c r="F7" s="56"/>
      <c r="G7" s="56"/>
      <c r="H7" s="39"/>
      <c r="I7" s="39"/>
      <c r="J7" s="39"/>
      <c r="K7" s="39"/>
      <c r="L7" s="39"/>
      <c r="O7" t="s">
        <v>30</v>
      </c>
    </row>
    <row r="8" spans="1:18" ht="15.75" x14ac:dyDescent="0.25">
      <c r="A8" s="1"/>
      <c r="B8" s="1"/>
      <c r="C8" s="57" t="s">
        <v>51</v>
      </c>
      <c r="D8" s="19" t="s">
        <v>16</v>
      </c>
      <c r="E8" s="58">
        <f>E4-E6</f>
        <v>5581</v>
      </c>
      <c r="F8" s="58">
        <f t="shared" ref="F8:L8" si="0">F4-F6</f>
        <v>5811</v>
      </c>
      <c r="G8" s="58">
        <f t="shared" si="0"/>
        <v>5517</v>
      </c>
      <c r="H8" s="58">
        <f t="shared" si="0"/>
        <v>5835.07575</v>
      </c>
      <c r="I8" s="58">
        <f t="shared" si="0"/>
        <v>6112.3935600000004</v>
      </c>
      <c r="J8" s="58">
        <f t="shared" si="0"/>
        <v>6402.5606735999991</v>
      </c>
      <c r="K8" s="58">
        <f t="shared" si="0"/>
        <v>6641.6790061440024</v>
      </c>
      <c r="L8" s="58">
        <f t="shared" si="0"/>
        <v>6889.3821340344002</v>
      </c>
    </row>
    <row r="9" spans="1:18" ht="15.75" x14ac:dyDescent="0.25">
      <c r="A9" s="1"/>
      <c r="B9" s="1"/>
      <c r="C9" s="59"/>
      <c r="D9" s="1"/>
      <c r="E9" s="23"/>
      <c r="F9" s="23"/>
      <c r="G9" s="23"/>
      <c r="H9" s="32"/>
      <c r="I9" s="32"/>
      <c r="J9" s="32"/>
      <c r="K9" s="32"/>
      <c r="L9" s="32"/>
    </row>
    <row r="10" spans="1:18" ht="15.75" x14ac:dyDescent="0.25">
      <c r="A10" s="1"/>
      <c r="B10" s="1"/>
      <c r="C10" s="51" t="s">
        <v>52</v>
      </c>
      <c r="D10" s="1"/>
      <c r="E10" s="32"/>
      <c r="F10" s="32"/>
      <c r="G10" s="32"/>
      <c r="H10" s="32"/>
      <c r="I10" s="32"/>
      <c r="J10" s="32"/>
      <c r="K10" s="32"/>
      <c r="L10" s="32"/>
    </row>
    <row r="11" spans="1:18" ht="15.75" x14ac:dyDescent="0.25">
      <c r="A11" s="1"/>
      <c r="B11" s="1"/>
      <c r="C11" s="18" t="s">
        <v>53</v>
      </c>
      <c r="D11" s="19" t="s">
        <v>16</v>
      </c>
      <c r="E11" s="56">
        <v>2815</v>
      </c>
      <c r="F11" s="56">
        <v>2678</v>
      </c>
      <c r="G11" s="56">
        <v>2417</v>
      </c>
      <c r="H11" s="39">
        <f>H4*drivers!H16</f>
        <v>2533.5450000000001</v>
      </c>
      <c r="I11" s="39">
        <f>I4*drivers!I16</f>
        <v>2561.6954999999998</v>
      </c>
      <c r="J11" s="39">
        <f>J4*drivers!J16</f>
        <v>2664.1633199999997</v>
      </c>
      <c r="K11" s="39">
        <f>K4*drivers!K16</f>
        <v>2665.6856990400001</v>
      </c>
      <c r="L11" s="39">
        <f>L4*drivers!L16</f>
        <v>2745.6562700112004</v>
      </c>
    </row>
    <row r="12" spans="1:18" ht="15.75" x14ac:dyDescent="0.25">
      <c r="A12" s="1"/>
      <c r="B12" s="1"/>
      <c r="C12" s="60" t="s">
        <v>54</v>
      </c>
      <c r="D12" s="19" t="s">
        <v>16</v>
      </c>
      <c r="E12" s="56">
        <v>250</v>
      </c>
      <c r="F12" s="56">
        <v>242</v>
      </c>
      <c r="G12" s="56">
        <v>231</v>
      </c>
      <c r="H12" s="39">
        <f>drivers!H18</f>
        <v>217</v>
      </c>
      <c r="I12" s="39">
        <f>drivers!I18</f>
        <v>196</v>
      </c>
      <c r="J12" s="39">
        <f>drivers!J18</f>
        <v>175</v>
      </c>
      <c r="K12" s="39">
        <f>drivers!K18</f>
        <v>153</v>
      </c>
      <c r="L12" s="39">
        <f>drivers!L18</f>
        <v>134</v>
      </c>
    </row>
    <row r="13" spans="1:18" ht="15.75" x14ac:dyDescent="0.25">
      <c r="A13" s="1"/>
      <c r="B13" s="1"/>
      <c r="C13" s="61" t="s">
        <v>55</v>
      </c>
      <c r="D13" s="35" t="s">
        <v>16</v>
      </c>
      <c r="E13" s="62">
        <v>2</v>
      </c>
      <c r="F13" s="62">
        <v>3</v>
      </c>
      <c r="G13" s="62">
        <v>2</v>
      </c>
      <c r="H13" s="36">
        <f>drivers!H19</f>
        <v>0</v>
      </c>
      <c r="I13" s="36">
        <f>drivers!I19</f>
        <v>0</v>
      </c>
      <c r="J13" s="36">
        <f>drivers!J19</f>
        <v>0</v>
      </c>
      <c r="K13" s="36">
        <f>drivers!K19</f>
        <v>0</v>
      </c>
      <c r="L13" s="36">
        <f>drivers!L19</f>
        <v>0</v>
      </c>
    </row>
    <row r="14" spans="1:18" ht="15.75" x14ac:dyDescent="0.25">
      <c r="A14" s="1"/>
      <c r="B14" s="1"/>
      <c r="C14" s="63" t="s">
        <v>56</v>
      </c>
      <c r="D14" s="19" t="s">
        <v>16</v>
      </c>
      <c r="E14" s="64">
        <f>SUM(E11:E13)</f>
        <v>3067</v>
      </c>
      <c r="F14" s="64">
        <f t="shared" ref="F14:L14" si="1">SUM(F11:F13)</f>
        <v>2923</v>
      </c>
      <c r="G14" s="64">
        <f t="shared" si="1"/>
        <v>2650</v>
      </c>
      <c r="H14" s="64">
        <f t="shared" si="1"/>
        <v>2750.5450000000001</v>
      </c>
      <c r="I14" s="64">
        <f t="shared" si="1"/>
        <v>2757.6954999999998</v>
      </c>
      <c r="J14" s="64">
        <f t="shared" si="1"/>
        <v>2839.1633199999997</v>
      </c>
      <c r="K14" s="64">
        <f t="shared" si="1"/>
        <v>2818.6856990400001</v>
      </c>
      <c r="L14" s="64">
        <f t="shared" si="1"/>
        <v>2879.6562700112004</v>
      </c>
    </row>
    <row r="15" spans="1:18" ht="15.75" x14ac:dyDescent="0.25">
      <c r="A15" s="1"/>
      <c r="B15" s="1"/>
      <c r="C15" s="29"/>
      <c r="D15" s="55"/>
      <c r="E15" s="56"/>
      <c r="F15" s="56"/>
      <c r="G15" s="56"/>
      <c r="H15" s="39"/>
      <c r="I15" s="39"/>
      <c r="J15" s="39"/>
      <c r="K15" s="39"/>
      <c r="L15" s="39"/>
    </row>
    <row r="16" spans="1:18" ht="15.75" x14ac:dyDescent="0.25">
      <c r="A16" s="1"/>
      <c r="B16" s="1"/>
      <c r="C16" s="57" t="s">
        <v>57</v>
      </c>
      <c r="D16" s="19" t="s">
        <v>16</v>
      </c>
      <c r="E16" s="58">
        <f>E8-E14</f>
        <v>2514</v>
      </c>
      <c r="F16" s="58">
        <f t="shared" ref="F16:L16" si="2">F8-F14</f>
        <v>2888</v>
      </c>
      <c r="G16" s="58">
        <f t="shared" si="2"/>
        <v>2867</v>
      </c>
      <c r="H16" s="58">
        <f t="shared" si="2"/>
        <v>3084.5307499999999</v>
      </c>
      <c r="I16" s="58">
        <f t="shared" si="2"/>
        <v>3354.6980600000006</v>
      </c>
      <c r="J16" s="58">
        <f t="shared" si="2"/>
        <v>3563.3973535999994</v>
      </c>
      <c r="K16" s="58">
        <f t="shared" si="2"/>
        <v>3822.9933071040023</v>
      </c>
      <c r="L16" s="58">
        <f t="shared" si="2"/>
        <v>4009.7258640231998</v>
      </c>
    </row>
    <row r="17" spans="1:12" ht="15.75" x14ac:dyDescent="0.25">
      <c r="A17" s="1"/>
      <c r="B17" s="1"/>
      <c r="C17" s="59" t="s">
        <v>58</v>
      </c>
      <c r="D17" s="19" t="s">
        <v>12</v>
      </c>
      <c r="E17" s="65">
        <f>E16/E4</f>
        <v>0.17785638486027591</v>
      </c>
      <c r="F17" s="65">
        <f t="shared" ref="F17:L17" si="3">F16/F4</f>
        <v>0.19939243302954984</v>
      </c>
      <c r="G17" s="65">
        <f t="shared" si="3"/>
        <v>0.21387541961954495</v>
      </c>
      <c r="H17" s="65">
        <f t="shared" si="3"/>
        <v>0.21914571677234862</v>
      </c>
      <c r="I17" s="65">
        <f t="shared" si="3"/>
        <v>0.2291732801576144</v>
      </c>
      <c r="J17" s="65">
        <f t="shared" si="3"/>
        <v>0.23406768353825994</v>
      </c>
      <c r="K17" s="65">
        <f t="shared" si="3"/>
        <v>0.24380551032019029</v>
      </c>
      <c r="L17" s="65">
        <f t="shared" si="3"/>
        <v>0.24826610829955176</v>
      </c>
    </row>
    <row r="18" spans="1:12" ht="15.75" x14ac:dyDescent="0.25">
      <c r="A18" s="1"/>
      <c r="B18" s="1"/>
      <c r="C18" s="1"/>
      <c r="D18" s="1"/>
      <c r="E18" s="32"/>
      <c r="F18" s="32"/>
      <c r="G18" s="32"/>
      <c r="H18" s="32"/>
      <c r="I18" s="32"/>
      <c r="J18" s="32"/>
      <c r="K18" s="32"/>
      <c r="L18" s="32"/>
    </row>
    <row r="19" spans="1:12" ht="15.75" x14ac:dyDescent="0.25">
      <c r="A19" s="1"/>
      <c r="B19" s="1"/>
      <c r="C19" s="51" t="s">
        <v>59</v>
      </c>
      <c r="D19" s="1"/>
      <c r="E19" s="32"/>
      <c r="F19" s="32"/>
      <c r="G19" s="32"/>
      <c r="H19" s="32"/>
      <c r="I19" s="32"/>
      <c r="J19" s="32"/>
      <c r="K19" s="32"/>
      <c r="L19" s="32"/>
    </row>
    <row r="20" spans="1:12" ht="15.75" x14ac:dyDescent="0.25">
      <c r="A20" s="1"/>
      <c r="B20" s="1"/>
      <c r="C20" s="66" t="s">
        <v>60</v>
      </c>
      <c r="D20" s="19" t="s">
        <v>16</v>
      </c>
      <c r="E20" s="54">
        <v>-239</v>
      </c>
      <c r="F20" s="54">
        <v>-250</v>
      </c>
      <c r="G20" s="54">
        <v>-226</v>
      </c>
      <c r="H20" s="39">
        <f>-drivers!H27</f>
        <v>-296.88</v>
      </c>
      <c r="I20" s="39">
        <f>-drivers!I27</f>
        <v>-267.19200000000001</v>
      </c>
      <c r="J20" s="39">
        <f>-drivers!J27</f>
        <v>-237.50400000000002</v>
      </c>
      <c r="K20" s="39">
        <f>-drivers!K27</f>
        <v>-207.81600000000003</v>
      </c>
      <c r="L20" s="39">
        <f>-drivers!L27</f>
        <v>-178.12800000000004</v>
      </c>
    </row>
    <row r="21" spans="1:12" s="78" customFormat="1" ht="15.75" x14ac:dyDescent="0.25">
      <c r="A21" s="76"/>
      <c r="B21" s="76"/>
      <c r="C21" s="94" t="s">
        <v>61</v>
      </c>
      <c r="D21" s="98" t="s">
        <v>16</v>
      </c>
      <c r="E21" s="99">
        <v>72</v>
      </c>
      <c r="F21" s="99">
        <v>61</v>
      </c>
      <c r="G21" s="99">
        <v>78</v>
      </c>
      <c r="H21" s="100">
        <f>G36*drivers!$D$9</f>
        <v>15.450000000000001</v>
      </c>
      <c r="I21" s="100">
        <f>H36*drivers!$D$9</f>
        <v>11.837949587402049</v>
      </c>
      <c r="J21" s="100">
        <f>I36*drivers!$D$9</f>
        <v>8.8597599069318331</v>
      </c>
      <c r="K21" s="100">
        <f>J36*drivers!$D$9</f>
        <v>6.5572766013160004</v>
      </c>
      <c r="L21" s="100">
        <f>K36*drivers!$D$9</f>
        <v>4.3254177930566833</v>
      </c>
    </row>
    <row r="22" spans="1:12" ht="15.75" x14ac:dyDescent="0.25">
      <c r="A22" s="1"/>
      <c r="B22" s="1"/>
      <c r="C22" s="63" t="s">
        <v>62</v>
      </c>
      <c r="D22" s="19" t="s">
        <v>16</v>
      </c>
      <c r="E22" s="64">
        <f>SUM(E20:E21)</f>
        <v>-167</v>
      </c>
      <c r="F22" s="64">
        <f t="shared" ref="F22:L22" si="4">SUM(F20:F21)</f>
        <v>-189</v>
      </c>
      <c r="G22" s="64">
        <f t="shared" si="4"/>
        <v>-148</v>
      </c>
      <c r="H22" s="64">
        <f t="shared" si="4"/>
        <v>-281.43</v>
      </c>
      <c r="I22" s="64">
        <f t="shared" si="4"/>
        <v>-255.35405041259796</v>
      </c>
      <c r="J22" s="64">
        <f t="shared" si="4"/>
        <v>-228.64424009306819</v>
      </c>
      <c r="K22" s="64">
        <f t="shared" si="4"/>
        <v>-201.25872339868403</v>
      </c>
      <c r="L22" s="64">
        <f t="shared" si="4"/>
        <v>-173.80258220694336</v>
      </c>
    </row>
    <row r="23" spans="1:12" ht="15.75" x14ac:dyDescent="0.25">
      <c r="A23" s="1"/>
      <c r="B23" s="1"/>
      <c r="C23" s="29"/>
      <c r="D23" s="55"/>
      <c r="E23" s="56"/>
      <c r="F23" s="56"/>
      <c r="G23" s="56"/>
      <c r="H23" s="39"/>
      <c r="I23" s="39"/>
      <c r="J23" s="39"/>
      <c r="K23" s="39"/>
      <c r="L23" s="39"/>
    </row>
    <row r="24" spans="1:12" ht="15.75" x14ac:dyDescent="0.25">
      <c r="A24" s="1"/>
      <c r="B24" s="1"/>
      <c r="C24" s="57" t="s">
        <v>63</v>
      </c>
      <c r="D24" s="19" t="s">
        <v>16</v>
      </c>
      <c r="E24" s="58">
        <f>E16+E22</f>
        <v>2347</v>
      </c>
      <c r="F24" s="58">
        <f t="shared" ref="F24:L24" si="5">F16+F22</f>
        <v>2699</v>
      </c>
      <c r="G24" s="58">
        <f t="shared" si="5"/>
        <v>2719</v>
      </c>
      <c r="H24" s="58">
        <f t="shared" si="5"/>
        <v>2803.1007500000001</v>
      </c>
      <c r="I24" s="58">
        <f t="shared" si="5"/>
        <v>3099.3440095874025</v>
      </c>
      <c r="J24" s="58">
        <f t="shared" si="5"/>
        <v>3334.7531135069312</v>
      </c>
      <c r="K24" s="58">
        <f t="shared" si="5"/>
        <v>3621.7345837053181</v>
      </c>
      <c r="L24" s="58">
        <f t="shared" si="5"/>
        <v>3835.9232818162563</v>
      </c>
    </row>
    <row r="25" spans="1:12" ht="15.75" x14ac:dyDescent="0.25">
      <c r="A25" s="1"/>
      <c r="B25" s="1"/>
      <c r="C25" s="18" t="s">
        <v>64</v>
      </c>
      <c r="D25" s="35" t="s">
        <v>16</v>
      </c>
      <c r="E25" s="56">
        <v>-717</v>
      </c>
      <c r="F25" s="56">
        <v>-809</v>
      </c>
      <c r="G25" s="56">
        <v>-820</v>
      </c>
      <c r="H25" s="39">
        <f>-H24*drivers!$D$7</f>
        <v>-840.93022499999995</v>
      </c>
      <c r="I25" s="39">
        <f>-I24*drivers!$D$7</f>
        <v>-929.80320287622067</v>
      </c>
      <c r="J25" s="39">
        <f>-J24*drivers!$D$7</f>
        <v>-1000.4259340520794</v>
      </c>
      <c r="K25" s="39">
        <f>-K24*drivers!$D$7</f>
        <v>-1086.5203751115953</v>
      </c>
      <c r="L25" s="39">
        <f>-L24*drivers!$D$7</f>
        <v>-1150.7769845448768</v>
      </c>
    </row>
    <row r="26" spans="1:12" ht="15.75" x14ac:dyDescent="0.25">
      <c r="A26" s="1"/>
      <c r="B26" s="1"/>
      <c r="C26" s="67" t="s">
        <v>65</v>
      </c>
      <c r="D26" s="19" t="s">
        <v>16</v>
      </c>
      <c r="E26" s="68">
        <f>E24+E25</f>
        <v>1630</v>
      </c>
      <c r="F26" s="68">
        <f t="shared" ref="F26:L26" si="6">F24+F25</f>
        <v>1890</v>
      </c>
      <c r="G26" s="68">
        <f t="shared" si="6"/>
        <v>1899</v>
      </c>
      <c r="H26" s="68">
        <f t="shared" si="6"/>
        <v>1962.170525</v>
      </c>
      <c r="I26" s="68">
        <f t="shared" si="6"/>
        <v>2169.5408067111821</v>
      </c>
      <c r="J26" s="68">
        <f t="shared" si="6"/>
        <v>2334.3271794548518</v>
      </c>
      <c r="K26" s="68">
        <f t="shared" si="6"/>
        <v>2535.214208593723</v>
      </c>
      <c r="L26" s="68">
        <f t="shared" si="6"/>
        <v>2685.1462972713798</v>
      </c>
    </row>
    <row r="27" spans="1:12" ht="15.75" x14ac:dyDescent="0.25">
      <c r="A27" s="1"/>
      <c r="B27" s="1"/>
      <c r="C27" s="69"/>
      <c r="D27" s="1"/>
      <c r="E27" s="32"/>
      <c r="F27" s="32"/>
      <c r="G27" s="32"/>
      <c r="H27" s="32"/>
      <c r="I27" s="32"/>
      <c r="J27" s="32"/>
      <c r="K27" s="32"/>
      <c r="L27" s="32"/>
    </row>
    <row r="28" spans="1:12" ht="15.75" x14ac:dyDescent="0.25">
      <c r="A28" s="1"/>
      <c r="B28" s="1"/>
      <c r="C28" s="70" t="s">
        <v>66</v>
      </c>
      <c r="D28" s="19" t="s">
        <v>16</v>
      </c>
      <c r="E28" s="56">
        <v>49</v>
      </c>
      <c r="F28" s="56">
        <v>1056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</row>
    <row r="29" spans="1:12" ht="15.75" x14ac:dyDescent="0.25">
      <c r="A29" s="1"/>
      <c r="B29" s="1"/>
      <c r="C29" s="70"/>
      <c r="D29" s="55"/>
      <c r="E29" s="56"/>
      <c r="F29" s="56"/>
      <c r="G29" s="56"/>
      <c r="H29" s="39"/>
      <c r="I29" s="39"/>
      <c r="J29" s="39"/>
      <c r="K29" s="39"/>
      <c r="L29" s="39"/>
    </row>
    <row r="30" spans="1:12" ht="15.75" x14ac:dyDescent="0.25">
      <c r="A30" s="1"/>
      <c r="B30" s="1"/>
      <c r="C30" s="57" t="s">
        <v>67</v>
      </c>
      <c r="D30" s="19" t="s">
        <v>16</v>
      </c>
      <c r="E30" s="52">
        <f>E26+E28</f>
        <v>1679</v>
      </c>
      <c r="F30" s="52">
        <f t="shared" ref="F30:L30" si="7">F26+F28</f>
        <v>2946</v>
      </c>
      <c r="G30" s="52">
        <f t="shared" si="7"/>
        <v>1899</v>
      </c>
      <c r="H30" s="52">
        <f t="shared" si="7"/>
        <v>1962.170525</v>
      </c>
      <c r="I30" s="52">
        <f t="shared" si="7"/>
        <v>2169.5408067111821</v>
      </c>
      <c r="J30" s="52">
        <f t="shared" si="7"/>
        <v>2334.3271794548518</v>
      </c>
      <c r="K30" s="52">
        <f t="shared" si="7"/>
        <v>2535.214208593723</v>
      </c>
      <c r="L30" s="52">
        <f t="shared" si="7"/>
        <v>2685.1462972713798</v>
      </c>
    </row>
    <row r="31" spans="1:12" ht="15.75" x14ac:dyDescent="0.25">
      <c r="A31" s="1"/>
      <c r="B31" s="1"/>
      <c r="C31" s="40"/>
      <c r="D31" s="1"/>
      <c r="E31" s="27"/>
      <c r="F31" s="27"/>
      <c r="G31" s="27"/>
      <c r="H31" s="27"/>
      <c r="I31" s="27"/>
      <c r="J31" s="27"/>
      <c r="K31" s="27"/>
      <c r="L31" s="27"/>
    </row>
    <row r="32" spans="1:12" ht="15.75" x14ac:dyDescent="0.25">
      <c r="A32" s="1"/>
      <c r="B32" s="10"/>
      <c r="C32" s="10"/>
      <c r="D32" s="10"/>
      <c r="E32" s="11" t="s">
        <v>6</v>
      </c>
      <c r="F32" s="11"/>
      <c r="G32" s="11"/>
      <c r="H32" s="12" t="s">
        <v>7</v>
      </c>
      <c r="I32" s="11"/>
      <c r="J32" s="11"/>
      <c r="K32" s="11"/>
      <c r="L32" s="11"/>
    </row>
    <row r="33" spans="1:19" ht="15.75" x14ac:dyDescent="0.25">
      <c r="A33" s="1"/>
      <c r="B33" s="47" t="s">
        <v>68</v>
      </c>
      <c r="C33" s="47"/>
      <c r="D33" s="48" t="s">
        <v>9</v>
      </c>
      <c r="E33" s="49">
        <v>43830</v>
      </c>
      <c r="F33" s="49">
        <v>44196</v>
      </c>
      <c r="G33" s="49">
        <v>44561</v>
      </c>
      <c r="H33" s="50">
        <v>44926</v>
      </c>
      <c r="I33" s="49">
        <v>45291</v>
      </c>
      <c r="J33" s="49">
        <v>45657</v>
      </c>
      <c r="K33" s="49">
        <v>46022</v>
      </c>
      <c r="L33" s="49">
        <v>46387</v>
      </c>
    </row>
    <row r="34" spans="1:19" ht="15.75" x14ac:dyDescent="0.25">
      <c r="A34" s="1"/>
      <c r="B34" s="71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9" ht="15.75" x14ac:dyDescent="0.25">
      <c r="A35" s="1"/>
      <c r="B35" s="1"/>
      <c r="C35" s="51" t="s">
        <v>70</v>
      </c>
      <c r="D35" s="1"/>
      <c r="E35" s="1"/>
      <c r="F35" s="1"/>
      <c r="G35" s="1"/>
      <c r="H35" s="1"/>
      <c r="I35" s="1"/>
      <c r="J35" s="1"/>
      <c r="K35" s="1"/>
      <c r="L35" s="1"/>
    </row>
    <row r="36" spans="1:19" s="78" customFormat="1" ht="15.75" x14ac:dyDescent="0.25">
      <c r="A36" s="76"/>
      <c r="B36" s="76"/>
      <c r="C36" s="72" t="s">
        <v>71</v>
      </c>
      <c r="D36" s="101" t="s">
        <v>16</v>
      </c>
      <c r="E36" s="102">
        <v>3618</v>
      </c>
      <c r="F36" s="102">
        <v>3990</v>
      </c>
      <c r="G36" s="102">
        <v>3090</v>
      </c>
      <c r="H36" s="103">
        <f>H109</f>
        <v>2367.5899174804099</v>
      </c>
      <c r="I36" s="103">
        <f t="shared" ref="I36:L36" si="8">I109</f>
        <v>1771.9519813863665</v>
      </c>
      <c r="J36" s="103">
        <f t="shared" si="8"/>
        <v>1311.4553202632001</v>
      </c>
      <c r="K36" s="103">
        <f t="shared" si="8"/>
        <v>865.08355861133668</v>
      </c>
      <c r="L36" s="103">
        <f t="shared" si="8"/>
        <v>555.701567465219</v>
      </c>
    </row>
    <row r="37" spans="1:19" ht="15.75" x14ac:dyDescent="0.25">
      <c r="A37" s="1"/>
      <c r="B37" s="1"/>
      <c r="C37" s="72" t="s">
        <v>72</v>
      </c>
      <c r="D37" s="19" t="s">
        <v>16</v>
      </c>
      <c r="E37" s="54">
        <v>2365</v>
      </c>
      <c r="F37" s="54">
        <v>2293</v>
      </c>
      <c r="G37" s="54">
        <v>2203</v>
      </c>
      <c r="H37" s="32">
        <f>H4*drivers!H33/365</f>
        <v>2298.8142115088481</v>
      </c>
      <c r="I37" s="32">
        <f>I4*drivers!I33/365</f>
        <v>2390.7667799692022</v>
      </c>
      <c r="J37" s="32">
        <f>J4*drivers!J33/365</f>
        <v>2486.3974511679703</v>
      </c>
      <c r="K37" s="32">
        <f>K4*drivers!K33/365</f>
        <v>2560.9893747030096</v>
      </c>
      <c r="L37" s="32">
        <f>L4*drivers!L33/365</f>
        <v>2637.8190559441</v>
      </c>
    </row>
    <row r="38" spans="1:19" ht="15.75" x14ac:dyDescent="0.25">
      <c r="A38" s="1"/>
      <c r="B38" s="1"/>
      <c r="C38" s="72" t="s">
        <v>73</v>
      </c>
      <c r="D38" s="19" t="s">
        <v>16</v>
      </c>
      <c r="E38" s="54">
        <v>1247</v>
      </c>
      <c r="F38" s="54">
        <v>1180</v>
      </c>
      <c r="G38" s="54">
        <v>1086</v>
      </c>
      <c r="H38" s="32">
        <f>H6*drivers!H34/365</f>
        <v>1128.7909931506849</v>
      </c>
      <c r="I38" s="32">
        <f>I6*drivers!I34/365</f>
        <v>1144.5683713972603</v>
      </c>
      <c r="J38" s="32">
        <f>J6*drivers!J34/365</f>
        <v>1184.2198810783561</v>
      </c>
      <c r="K38" s="32">
        <f>K6*drivers!K34/365</f>
        <v>1188.6674111810628</v>
      </c>
      <c r="L38" s="32">
        <f>L6*drivers!L34/365</f>
        <v>1217.955564009942</v>
      </c>
    </row>
    <row r="39" spans="1:19" ht="15.75" x14ac:dyDescent="0.25">
      <c r="A39" s="1"/>
      <c r="B39" s="1"/>
      <c r="C39" s="73" t="s">
        <v>74</v>
      </c>
      <c r="D39" s="35" t="s">
        <v>16</v>
      </c>
      <c r="E39" s="62">
        <v>2586</v>
      </c>
      <c r="F39" s="62">
        <v>401</v>
      </c>
      <c r="G39" s="62">
        <v>341</v>
      </c>
      <c r="H39" s="36">
        <f>H11*drivers!H37</f>
        <v>329.36085000000003</v>
      </c>
      <c r="I39" s="36">
        <f>I11*drivers!I37</f>
        <v>333.02041500000001</v>
      </c>
      <c r="J39" s="36">
        <f>J11*drivers!J37</f>
        <v>319.69959839999996</v>
      </c>
      <c r="K39" s="36">
        <f>K11*drivers!K37</f>
        <v>319.88228388480002</v>
      </c>
      <c r="L39" s="36">
        <f>L11*drivers!L37</f>
        <v>302.02218970123204</v>
      </c>
    </row>
    <row r="40" spans="1:19" ht="15.75" x14ac:dyDescent="0.25">
      <c r="A40" s="1"/>
      <c r="B40" s="1"/>
      <c r="C40" s="57" t="s">
        <v>75</v>
      </c>
      <c r="D40" s="19" t="s">
        <v>16</v>
      </c>
      <c r="E40" s="58">
        <f>SUM(E36:E39)</f>
        <v>9816</v>
      </c>
      <c r="F40" s="58">
        <f t="shared" ref="F40:L40" si="9">SUM(F36:F39)</f>
        <v>7864</v>
      </c>
      <c r="G40" s="58">
        <f t="shared" si="9"/>
        <v>6720</v>
      </c>
      <c r="H40" s="58">
        <f t="shared" si="9"/>
        <v>6124.5559721399422</v>
      </c>
      <c r="I40" s="58">
        <f t="shared" si="9"/>
        <v>5640.3075477528291</v>
      </c>
      <c r="J40" s="58">
        <f t="shared" si="9"/>
        <v>5301.7722509095265</v>
      </c>
      <c r="K40" s="58">
        <f t="shared" si="9"/>
        <v>4934.6226283802089</v>
      </c>
      <c r="L40" s="58">
        <f t="shared" si="9"/>
        <v>4713.4983771204934</v>
      </c>
    </row>
    <row r="41" spans="1:19" ht="15.75" x14ac:dyDescent="0.25">
      <c r="A41" s="1"/>
      <c r="B41" s="1"/>
      <c r="C41" s="1"/>
      <c r="D41" s="1"/>
      <c r="E41" s="32"/>
      <c r="F41" s="32"/>
      <c r="G41" s="32"/>
      <c r="H41" s="32"/>
      <c r="I41" s="32"/>
      <c r="J41" s="32"/>
      <c r="K41" s="32"/>
      <c r="L41" s="32"/>
      <c r="N41" s="74"/>
      <c r="O41" s="74"/>
      <c r="P41" s="74"/>
      <c r="Q41" s="74"/>
      <c r="R41" s="74"/>
      <c r="S41" s="74"/>
    </row>
    <row r="42" spans="1:19" ht="15.75" x14ac:dyDescent="0.25">
      <c r="A42" s="1"/>
      <c r="B42" s="1"/>
      <c r="C42" s="75" t="s">
        <v>76</v>
      </c>
      <c r="D42" s="1"/>
      <c r="E42" s="32"/>
      <c r="F42" s="32"/>
      <c r="G42" s="32"/>
      <c r="H42" s="32"/>
      <c r="I42" s="32"/>
      <c r="J42" s="32"/>
      <c r="K42" s="32"/>
      <c r="L42" s="32"/>
      <c r="O42" s="74"/>
      <c r="P42" s="74"/>
      <c r="Q42" s="74"/>
      <c r="R42" s="74"/>
      <c r="S42" s="74"/>
    </row>
    <row r="43" spans="1:19" ht="15.75" x14ac:dyDescent="0.25">
      <c r="A43" s="1"/>
      <c r="B43" s="1"/>
      <c r="C43" s="72" t="s">
        <v>77</v>
      </c>
      <c r="D43" s="19" t="s">
        <v>16</v>
      </c>
      <c r="E43" s="54">
        <v>1709</v>
      </c>
      <c r="F43" s="54">
        <v>1686</v>
      </c>
      <c r="G43" s="54">
        <v>1577</v>
      </c>
      <c r="H43" s="32">
        <f>G43-drivers!H45-H78</f>
        <v>1622.72075</v>
      </c>
      <c r="I43" s="32">
        <f>H43-drivers!I45-I78</f>
        <v>1684.23207</v>
      </c>
      <c r="J43" s="32">
        <f>I43-drivers!J45-J78</f>
        <v>1769.9800524</v>
      </c>
      <c r="K43" s="32">
        <f>J43-drivers!K45-K78</f>
        <v>1881.3699701600003</v>
      </c>
      <c r="L43" s="32">
        <f>K43-drivers!L45-L78</f>
        <v>2017.2006662174404</v>
      </c>
    </row>
    <row r="44" spans="1:19" ht="15.75" x14ac:dyDescent="0.25">
      <c r="A44" s="1"/>
      <c r="B44" s="1"/>
      <c r="C44" s="72" t="s">
        <v>78</v>
      </c>
      <c r="D44" s="19" t="s">
        <v>16</v>
      </c>
      <c r="E44" s="54">
        <v>4886</v>
      </c>
      <c r="F44" s="54">
        <v>4667</v>
      </c>
      <c r="G44" s="54">
        <v>4439</v>
      </c>
      <c r="H44" s="32">
        <f>G44-H79</f>
        <v>4439</v>
      </c>
      <c r="I44" s="32">
        <f t="shared" ref="I44:L45" si="10">H44-I79</f>
        <v>4439</v>
      </c>
      <c r="J44" s="32">
        <f t="shared" si="10"/>
        <v>4439</v>
      </c>
      <c r="K44" s="32">
        <f t="shared" si="10"/>
        <v>4439</v>
      </c>
      <c r="L44" s="32">
        <f t="shared" si="10"/>
        <v>4439</v>
      </c>
    </row>
    <row r="45" spans="1:19" ht="15.75" x14ac:dyDescent="0.25">
      <c r="A45" s="1"/>
      <c r="B45" s="1"/>
      <c r="C45" s="72" t="s">
        <v>79</v>
      </c>
      <c r="D45" s="19" t="s">
        <v>16</v>
      </c>
      <c r="E45" s="54">
        <v>1999</v>
      </c>
      <c r="F45" s="54">
        <v>1799</v>
      </c>
      <c r="G45" s="54">
        <v>1560</v>
      </c>
      <c r="H45" s="32">
        <f>G45-H80</f>
        <v>1343</v>
      </c>
      <c r="I45" s="32">
        <f t="shared" si="10"/>
        <v>1147</v>
      </c>
      <c r="J45" s="32">
        <f t="shared" si="10"/>
        <v>972</v>
      </c>
      <c r="K45" s="32">
        <f t="shared" si="10"/>
        <v>819</v>
      </c>
      <c r="L45" s="32">
        <f t="shared" si="10"/>
        <v>685</v>
      </c>
    </row>
    <row r="46" spans="1:19" ht="15.75" x14ac:dyDescent="0.25">
      <c r="A46" s="1"/>
      <c r="B46" s="1"/>
      <c r="C46" s="73" t="s">
        <v>80</v>
      </c>
      <c r="D46" s="35" t="s">
        <v>16</v>
      </c>
      <c r="E46" s="62">
        <v>1556</v>
      </c>
      <c r="F46" s="62">
        <v>1449</v>
      </c>
      <c r="G46" s="62">
        <v>1433</v>
      </c>
      <c r="H46" s="36">
        <f>H4*drivers!H38</f>
        <v>1491.9765</v>
      </c>
      <c r="I46" s="36">
        <f>I4*drivers!I38</f>
        <v>1551.6555599999999</v>
      </c>
      <c r="J46" s="36">
        <f>J4*drivers!J38</f>
        <v>1613.7217823999999</v>
      </c>
      <c r="K46" s="36">
        <f>K4*drivers!K38</f>
        <v>1662.1334358720001</v>
      </c>
      <c r="L46" s="36">
        <f>L4*drivers!L38</f>
        <v>1711.9974389481602</v>
      </c>
    </row>
    <row r="47" spans="1:19" ht="15.75" x14ac:dyDescent="0.25">
      <c r="A47" s="1"/>
      <c r="B47" s="1"/>
      <c r="C47" s="57" t="s">
        <v>81</v>
      </c>
      <c r="D47" s="19" t="s">
        <v>16</v>
      </c>
      <c r="E47" s="58">
        <f>SUM(E43:E46)</f>
        <v>10150</v>
      </c>
      <c r="F47" s="58">
        <f t="shared" ref="F47:L47" si="11">SUM(F43:F46)</f>
        <v>9601</v>
      </c>
      <c r="G47" s="58">
        <f t="shared" si="11"/>
        <v>9009</v>
      </c>
      <c r="H47" s="58">
        <f t="shared" si="11"/>
        <v>8896.6972500000011</v>
      </c>
      <c r="I47" s="58">
        <f t="shared" si="11"/>
        <v>8821.8876299999993</v>
      </c>
      <c r="J47" s="58">
        <f t="shared" si="11"/>
        <v>8794.7018348000001</v>
      </c>
      <c r="K47" s="58">
        <f t="shared" si="11"/>
        <v>8801.5034060319995</v>
      </c>
      <c r="L47" s="58">
        <f t="shared" si="11"/>
        <v>8853.1981051656003</v>
      </c>
    </row>
    <row r="48" spans="1:19" ht="15.75" x14ac:dyDescent="0.25">
      <c r="A48" s="1"/>
      <c r="B48" s="1"/>
      <c r="C48" s="57"/>
      <c r="D48" s="1"/>
      <c r="E48" s="32"/>
      <c r="F48" s="33"/>
      <c r="G48" s="33"/>
      <c r="H48" s="32"/>
      <c r="I48" s="32"/>
      <c r="J48" s="32"/>
      <c r="K48" s="32"/>
      <c r="L48" s="32"/>
    </row>
    <row r="49" spans="1:20" ht="15.75" x14ac:dyDescent="0.25">
      <c r="A49" s="1"/>
      <c r="B49" s="1"/>
      <c r="C49" s="57" t="s">
        <v>82</v>
      </c>
      <c r="D49" s="19" t="s">
        <v>16</v>
      </c>
      <c r="E49" s="52">
        <f>E47+E40</f>
        <v>19966</v>
      </c>
      <c r="F49" s="52">
        <f t="shared" ref="F49:L49" si="12">F47+F40</f>
        <v>17465</v>
      </c>
      <c r="G49" s="52">
        <f t="shared" si="12"/>
        <v>15729</v>
      </c>
      <c r="H49" s="52">
        <f t="shared" si="12"/>
        <v>15021.253222139943</v>
      </c>
      <c r="I49" s="52">
        <f t="shared" si="12"/>
        <v>14462.195177752828</v>
      </c>
      <c r="J49" s="52">
        <f t="shared" si="12"/>
        <v>14096.474085709528</v>
      </c>
      <c r="K49" s="52">
        <f t="shared" si="12"/>
        <v>13736.126034412209</v>
      </c>
      <c r="L49" s="52">
        <f t="shared" si="12"/>
        <v>13566.696482286094</v>
      </c>
      <c r="O49" t="s">
        <v>30</v>
      </c>
    </row>
    <row r="50" spans="1:20" ht="15.75" x14ac:dyDescent="0.25">
      <c r="A50" s="1"/>
      <c r="B50" s="1"/>
      <c r="C50" s="57"/>
      <c r="D50" s="1"/>
      <c r="E50" s="32"/>
      <c r="F50" s="33"/>
      <c r="G50" s="33"/>
      <c r="H50" s="32"/>
      <c r="I50" s="32"/>
      <c r="J50" s="32"/>
      <c r="K50" s="32"/>
      <c r="L50" s="32"/>
    </row>
    <row r="51" spans="1:20" ht="15.75" x14ac:dyDescent="0.25">
      <c r="A51" s="1"/>
      <c r="B51" s="16" t="s">
        <v>83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20" ht="15.75" x14ac:dyDescent="0.25">
      <c r="A52" s="76"/>
      <c r="B52" s="76"/>
      <c r="C52" s="17" t="s">
        <v>84</v>
      </c>
      <c r="D52" s="17"/>
      <c r="E52" s="17"/>
      <c r="F52" s="77"/>
      <c r="G52" s="77"/>
      <c r="H52" s="77"/>
      <c r="I52" s="77"/>
      <c r="J52" s="77"/>
      <c r="K52" s="77"/>
      <c r="L52" s="77"/>
      <c r="M52" s="78"/>
      <c r="N52" s="78"/>
      <c r="O52" s="78"/>
      <c r="P52" s="78"/>
      <c r="Q52" s="78"/>
      <c r="R52" s="78"/>
      <c r="S52" s="78"/>
      <c r="T52" s="78"/>
    </row>
    <row r="53" spans="1:20" ht="15.75" x14ac:dyDescent="0.25">
      <c r="A53" s="1"/>
      <c r="B53" s="1"/>
      <c r="C53" s="72" t="s">
        <v>85</v>
      </c>
      <c r="D53" s="19" t="s">
        <v>16</v>
      </c>
      <c r="E53" s="79">
        <v>634</v>
      </c>
      <c r="F53" s="79">
        <v>512</v>
      </c>
      <c r="G53" s="79">
        <v>449</v>
      </c>
      <c r="H53" s="27">
        <f>H6*drivers!H35/365</f>
        <v>451.51639726027395</v>
      </c>
      <c r="I53" s="27">
        <f>I6*drivers!I35/365</f>
        <v>443.81222564383563</v>
      </c>
      <c r="J53" s="27">
        <f>J6*drivers!J35/365</f>
        <v>459.18730082630145</v>
      </c>
      <c r="K53" s="27">
        <f>K6*drivers!K35/365</f>
        <v>445.75027919289852</v>
      </c>
      <c r="L53" s="27">
        <f>L6*drivers!L35/365</f>
        <v>456.73333650372831</v>
      </c>
    </row>
    <row r="54" spans="1:20" ht="15.75" x14ac:dyDescent="0.25">
      <c r="A54" s="1"/>
      <c r="B54" s="1"/>
      <c r="C54" s="72" t="s">
        <v>86</v>
      </c>
      <c r="D54" s="19" t="s">
        <v>16</v>
      </c>
      <c r="E54" s="54">
        <v>1272</v>
      </c>
      <c r="F54" s="54">
        <v>1287</v>
      </c>
      <c r="G54" s="54">
        <v>1136</v>
      </c>
      <c r="H54" s="32">
        <f>H11*drivers!H39</f>
        <v>1183.1655150000001</v>
      </c>
      <c r="I54" s="32">
        <f>I11*drivers!I39</f>
        <v>1196.3117984999999</v>
      </c>
      <c r="J54" s="32">
        <f>J11*drivers!J39</f>
        <v>1244.1642704399999</v>
      </c>
      <c r="K54" s="32">
        <f>K11*drivers!K39</f>
        <v>1244.8752214516801</v>
      </c>
      <c r="L54" s="32">
        <f>L11*drivers!L39</f>
        <v>1282.2214780952306</v>
      </c>
      <c r="M54" s="74"/>
    </row>
    <row r="55" spans="1:20" ht="15.75" x14ac:dyDescent="0.25">
      <c r="A55" s="1"/>
      <c r="B55" s="1"/>
      <c r="C55" s="72" t="s">
        <v>87</v>
      </c>
      <c r="D55" s="35" t="s">
        <v>16</v>
      </c>
      <c r="E55" s="54">
        <v>577</v>
      </c>
      <c r="F55" s="54">
        <v>250</v>
      </c>
      <c r="G55" s="54">
        <v>257</v>
      </c>
      <c r="H55" s="32">
        <f>H11*drivers!H41</f>
        <v>253.35450000000003</v>
      </c>
      <c r="I55" s="32">
        <f>I11*drivers!I41</f>
        <v>256.16955000000002</v>
      </c>
      <c r="J55" s="32">
        <f>J11*drivers!J41</f>
        <v>266.41633199999995</v>
      </c>
      <c r="K55" s="32">
        <f>K11*drivers!K41</f>
        <v>266.56856990400001</v>
      </c>
      <c r="L55" s="32">
        <f>L11*drivers!L41</f>
        <v>274.56562700112005</v>
      </c>
      <c r="M55" s="74"/>
    </row>
    <row r="56" spans="1:20" ht="15.75" x14ac:dyDescent="0.25">
      <c r="A56" s="1"/>
      <c r="B56" s="1"/>
      <c r="C56" s="80" t="s">
        <v>88</v>
      </c>
      <c r="D56" s="19" t="s">
        <v>16</v>
      </c>
      <c r="E56" s="68">
        <f>SUM(E53:E55)</f>
        <v>2483</v>
      </c>
      <c r="F56" s="68">
        <f t="shared" ref="F56:L56" si="13">SUM(F53:F55)</f>
        <v>2049</v>
      </c>
      <c r="G56" s="68">
        <f t="shared" si="13"/>
        <v>1842</v>
      </c>
      <c r="H56" s="68">
        <f t="shared" si="13"/>
        <v>1888.0364122602741</v>
      </c>
      <c r="I56" s="68">
        <f t="shared" si="13"/>
        <v>1896.2935741438355</v>
      </c>
      <c r="J56" s="68">
        <f t="shared" si="13"/>
        <v>1969.7679032663013</v>
      </c>
      <c r="K56" s="68">
        <f t="shared" si="13"/>
        <v>1957.1940705485786</v>
      </c>
      <c r="L56" s="68">
        <f t="shared" si="13"/>
        <v>2013.5204416000788</v>
      </c>
      <c r="M56" s="74"/>
    </row>
    <row r="57" spans="1:20" ht="15.75" x14ac:dyDescent="0.25">
      <c r="A57" s="1"/>
      <c r="B57" s="1"/>
      <c r="C57" s="76"/>
      <c r="D57" s="1"/>
      <c r="E57" s="32"/>
      <c r="F57" s="32"/>
      <c r="G57" s="32"/>
      <c r="H57" s="32"/>
      <c r="I57" s="32"/>
      <c r="J57" s="32"/>
      <c r="K57" s="32"/>
      <c r="L57" s="32"/>
      <c r="M57" s="74"/>
    </row>
    <row r="58" spans="1:20" ht="15.75" x14ac:dyDescent="0.25">
      <c r="A58" s="1"/>
      <c r="B58" s="1"/>
      <c r="C58" s="75" t="s">
        <v>89</v>
      </c>
      <c r="D58" s="1"/>
      <c r="E58" s="32"/>
      <c r="F58" s="32"/>
      <c r="G58" s="32"/>
      <c r="H58" s="32"/>
      <c r="I58" s="32"/>
      <c r="J58" s="32"/>
      <c r="K58" s="32"/>
      <c r="L58" s="32"/>
      <c r="M58" s="74"/>
    </row>
    <row r="59" spans="1:20" ht="15.75" x14ac:dyDescent="0.25">
      <c r="A59" s="1"/>
      <c r="B59" s="1"/>
      <c r="C59" s="72" t="s">
        <v>90</v>
      </c>
      <c r="D59" s="19" t="s">
        <v>16</v>
      </c>
      <c r="E59" s="54">
        <v>6344</v>
      </c>
      <c r="F59" s="54">
        <v>7419</v>
      </c>
      <c r="G59" s="54">
        <v>7422</v>
      </c>
      <c r="H59" s="39">
        <f>drivers!H25</f>
        <v>6679.8</v>
      </c>
      <c r="I59" s="39">
        <f>drivers!I25</f>
        <v>5937.6</v>
      </c>
      <c r="J59" s="39">
        <f>drivers!J25</f>
        <v>5195.4000000000005</v>
      </c>
      <c r="K59" s="39">
        <f>drivers!K25</f>
        <v>4453.2000000000007</v>
      </c>
      <c r="L59" s="39">
        <f>drivers!L25</f>
        <v>3711.0000000000009</v>
      </c>
      <c r="M59" s="39"/>
    </row>
    <row r="60" spans="1:20" ht="15.75" x14ac:dyDescent="0.25">
      <c r="A60" s="1"/>
      <c r="B60" s="1"/>
      <c r="C60" s="72" t="s">
        <v>91</v>
      </c>
      <c r="D60" s="19" t="s">
        <v>16</v>
      </c>
      <c r="E60" s="54">
        <v>507</v>
      </c>
      <c r="F60" s="54">
        <v>171</v>
      </c>
      <c r="G60" s="54">
        <v>256</v>
      </c>
      <c r="H60" s="32">
        <f>G60+H81</f>
        <v>273.64236112549463</v>
      </c>
      <c r="I60" s="32">
        <f t="shared" ref="I60:L60" si="14">H60+I81</f>
        <v>293.1492398094947</v>
      </c>
      <c r="J60" s="32">
        <f t="shared" si="14"/>
        <v>314.13775358048809</v>
      </c>
      <c r="K60" s="32">
        <f t="shared" si="14"/>
        <v>336.93249238051953</v>
      </c>
      <c r="L60" s="32">
        <f t="shared" si="14"/>
        <v>361.07530772081543</v>
      </c>
      <c r="M60" s="74"/>
    </row>
    <row r="61" spans="1:20" ht="15.75" x14ac:dyDescent="0.25">
      <c r="A61" s="1"/>
      <c r="B61" s="1"/>
      <c r="C61" s="73" t="s">
        <v>92</v>
      </c>
      <c r="D61" s="35" t="s">
        <v>16</v>
      </c>
      <c r="E61" s="62">
        <v>923</v>
      </c>
      <c r="F61" s="62">
        <v>1002</v>
      </c>
      <c r="G61" s="62">
        <v>981</v>
      </c>
      <c r="H61" s="36">
        <f>H11*drivers!H42</f>
        <v>935.65606862625486</v>
      </c>
      <c r="I61" s="36">
        <f>I11*drivers!I42</f>
        <v>946.05224716654652</v>
      </c>
      <c r="J61" s="36">
        <f>J11*drivers!J42</f>
        <v>983.89433705320835</v>
      </c>
      <c r="K61" s="36">
        <f>K11*drivers!K42</f>
        <v>984.45656238866752</v>
      </c>
      <c r="L61" s="36">
        <f>L11*drivers!L42</f>
        <v>1013.9902592603275</v>
      </c>
      <c r="M61" s="74"/>
    </row>
    <row r="62" spans="1:20" ht="15.75" x14ac:dyDescent="0.25">
      <c r="A62" s="1"/>
      <c r="B62" s="1"/>
      <c r="C62" s="75" t="s">
        <v>93</v>
      </c>
      <c r="D62" s="19" t="s">
        <v>16</v>
      </c>
      <c r="E62" s="58">
        <f>SUM(E59:E61)</f>
        <v>7774</v>
      </c>
      <c r="F62" s="58">
        <f t="shared" ref="F62:L62" si="15">SUM(F59:F61)</f>
        <v>8592</v>
      </c>
      <c r="G62" s="58">
        <f t="shared" si="15"/>
        <v>8659</v>
      </c>
      <c r="H62" s="58">
        <f t="shared" si="15"/>
        <v>7889.0984297517498</v>
      </c>
      <c r="I62" s="58">
        <f t="shared" si="15"/>
        <v>7176.8014869760409</v>
      </c>
      <c r="J62" s="58">
        <f t="shared" si="15"/>
        <v>6493.4320906336961</v>
      </c>
      <c r="K62" s="58">
        <f t="shared" si="15"/>
        <v>5774.5890547691879</v>
      </c>
      <c r="L62" s="58">
        <f t="shared" si="15"/>
        <v>5086.065566981144</v>
      </c>
      <c r="M62" s="74"/>
    </row>
    <row r="63" spans="1:20" ht="15.75" x14ac:dyDescent="0.25">
      <c r="A63" s="1"/>
      <c r="B63" s="1"/>
      <c r="C63" s="75"/>
      <c r="D63" s="1"/>
      <c r="E63" s="32"/>
      <c r="F63" s="33"/>
      <c r="G63" s="33"/>
      <c r="H63" s="32"/>
      <c r="I63" s="32"/>
      <c r="J63" s="32"/>
      <c r="K63" s="32"/>
      <c r="L63" s="32"/>
      <c r="M63" s="74"/>
    </row>
    <row r="64" spans="1:20" ht="15.75" x14ac:dyDescent="0.25">
      <c r="A64" s="1"/>
      <c r="B64" s="1"/>
      <c r="C64" s="75" t="s">
        <v>94</v>
      </c>
      <c r="D64" s="19" t="s">
        <v>16</v>
      </c>
      <c r="E64" s="52">
        <f>E62+E56</f>
        <v>10257</v>
      </c>
      <c r="F64" s="52">
        <f t="shared" ref="F64:L64" si="16">F62+F56</f>
        <v>10641</v>
      </c>
      <c r="G64" s="52">
        <f t="shared" si="16"/>
        <v>10501</v>
      </c>
      <c r="H64" s="52">
        <f t="shared" si="16"/>
        <v>9777.134842012023</v>
      </c>
      <c r="I64" s="52">
        <f t="shared" si="16"/>
        <v>9073.0950611198768</v>
      </c>
      <c r="J64" s="52">
        <f t="shared" si="16"/>
        <v>8463.1999938999979</v>
      </c>
      <c r="K64" s="52">
        <f t="shared" si="16"/>
        <v>7731.7831253177665</v>
      </c>
      <c r="L64" s="52">
        <f t="shared" si="16"/>
        <v>7099.5860085812228</v>
      </c>
      <c r="M64" s="74"/>
    </row>
    <row r="65" spans="1:15" ht="15.75" x14ac:dyDescent="0.25">
      <c r="A65" s="1"/>
      <c r="B65" s="1"/>
      <c r="C65" s="76"/>
      <c r="D65" s="1"/>
      <c r="E65" s="32"/>
      <c r="F65" s="32"/>
      <c r="G65" s="32"/>
      <c r="H65" s="32"/>
      <c r="I65" s="32"/>
      <c r="J65" s="32"/>
      <c r="K65" s="32"/>
      <c r="L65" s="32"/>
      <c r="M65" s="74"/>
    </row>
    <row r="66" spans="1:15" ht="15.75" x14ac:dyDescent="0.25">
      <c r="A66" s="1"/>
      <c r="B66" s="1"/>
      <c r="C66" s="75" t="s">
        <v>95</v>
      </c>
      <c r="D66" s="19" t="s">
        <v>16</v>
      </c>
      <c r="E66" s="81">
        <v>9709</v>
      </c>
      <c r="F66" s="81">
        <v>6824</v>
      </c>
      <c r="G66" s="81">
        <v>5228</v>
      </c>
      <c r="H66" s="82">
        <f>G66+H76+H82+H83+H99+H100+H102+H105</f>
        <v>5244.1183801279194</v>
      </c>
      <c r="I66" s="82">
        <f t="shared" ref="I66:L66" si="17">H66+I76+I82+I83+I99+I100+I102+I105</f>
        <v>5389.1001166329515</v>
      </c>
      <c r="J66" s="82">
        <f t="shared" si="17"/>
        <v>5633.2740918095287</v>
      </c>
      <c r="K66" s="82">
        <f t="shared" si="17"/>
        <v>6004.3429090944428</v>
      </c>
      <c r="L66" s="82">
        <f t="shared" si="17"/>
        <v>6467.1104737048718</v>
      </c>
      <c r="M66" s="74"/>
    </row>
    <row r="67" spans="1:15" ht="15.75" x14ac:dyDescent="0.25">
      <c r="A67" s="1"/>
      <c r="B67" s="1"/>
      <c r="C67" s="57"/>
      <c r="D67" s="1"/>
      <c r="E67" s="32"/>
      <c r="F67" s="33"/>
      <c r="G67" s="33"/>
      <c r="H67" s="32"/>
      <c r="I67" s="32"/>
      <c r="J67" s="32"/>
      <c r="K67" s="32"/>
      <c r="L67" s="32"/>
    </row>
    <row r="68" spans="1:15" ht="15.75" x14ac:dyDescent="0.25">
      <c r="A68" s="1"/>
      <c r="B68" s="1"/>
      <c r="C68" s="57" t="s">
        <v>96</v>
      </c>
      <c r="D68" s="19" t="s">
        <v>16</v>
      </c>
      <c r="E68" s="52">
        <f>E66+E64</f>
        <v>19966</v>
      </c>
      <c r="F68" s="52">
        <f t="shared" ref="F68:L68" si="18">F66+F64</f>
        <v>17465</v>
      </c>
      <c r="G68" s="52">
        <f t="shared" si="18"/>
        <v>15729</v>
      </c>
      <c r="H68" s="52">
        <f t="shared" si="18"/>
        <v>15021.253222139941</v>
      </c>
      <c r="I68" s="52">
        <f t="shared" si="18"/>
        <v>14462.195177752828</v>
      </c>
      <c r="J68" s="52">
        <f t="shared" si="18"/>
        <v>14096.474085709528</v>
      </c>
      <c r="K68" s="52">
        <f t="shared" si="18"/>
        <v>13736.126034412209</v>
      </c>
      <c r="L68" s="52">
        <f t="shared" si="18"/>
        <v>13566.696482286094</v>
      </c>
    </row>
    <row r="69" spans="1:15" ht="15.75" x14ac:dyDescent="0.25">
      <c r="A69" s="1"/>
      <c r="B69" s="1"/>
      <c r="C69" s="40"/>
      <c r="D69" s="1"/>
      <c r="E69" s="32"/>
      <c r="F69" s="32"/>
      <c r="G69" s="33"/>
      <c r="H69" s="32"/>
      <c r="I69" s="32"/>
      <c r="J69" s="32"/>
      <c r="K69" s="32"/>
      <c r="L69" s="32"/>
    </row>
    <row r="70" spans="1:15" ht="15.75" x14ac:dyDescent="0.25">
      <c r="A70" s="1"/>
      <c r="B70" s="1"/>
      <c r="C70" s="83" t="s">
        <v>97</v>
      </c>
      <c r="D70" s="1"/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5" ht="15.75" x14ac:dyDescent="0.25">
      <c r="A72" s="1"/>
      <c r="B72" s="10"/>
      <c r="C72" s="10"/>
      <c r="D72" s="10"/>
      <c r="E72" s="11" t="s">
        <v>6</v>
      </c>
      <c r="F72" s="11"/>
      <c r="G72" s="11"/>
      <c r="H72" s="12"/>
      <c r="I72" s="11"/>
      <c r="J72" s="11"/>
      <c r="K72" s="11"/>
      <c r="L72" s="11"/>
    </row>
    <row r="73" spans="1:15" ht="15.75" x14ac:dyDescent="0.25">
      <c r="A73" s="1"/>
      <c r="B73" s="47" t="s">
        <v>98</v>
      </c>
      <c r="C73" s="47"/>
      <c r="D73" s="48" t="s">
        <v>9</v>
      </c>
      <c r="E73" s="49">
        <v>43830</v>
      </c>
      <c r="F73" s="49">
        <v>44196</v>
      </c>
      <c r="G73" s="49">
        <v>44561</v>
      </c>
      <c r="H73" s="50"/>
      <c r="I73" s="49"/>
      <c r="J73" s="49"/>
      <c r="K73" s="49"/>
      <c r="L73" s="49"/>
    </row>
    <row r="74" spans="1:15" ht="15.75" x14ac:dyDescent="0.25">
      <c r="A74" s="1"/>
      <c r="B74" s="16" t="s">
        <v>99</v>
      </c>
      <c r="C74" s="85"/>
      <c r="D74" s="16"/>
      <c r="E74" s="16" t="s">
        <v>100</v>
      </c>
      <c r="F74" s="16" t="s">
        <v>100</v>
      </c>
      <c r="G74" s="16" t="s">
        <v>100</v>
      </c>
      <c r="H74" s="16"/>
      <c r="I74" s="16"/>
      <c r="J74" s="16"/>
      <c r="K74" s="16"/>
      <c r="L74" s="16"/>
    </row>
    <row r="75" spans="1:15" ht="15.75" x14ac:dyDescent="0.25">
      <c r="A75" s="1"/>
      <c r="B75" s="17"/>
      <c r="C75" s="86"/>
      <c r="D75" s="17"/>
      <c r="E75" s="17"/>
      <c r="F75" s="17"/>
      <c r="G75" s="17"/>
      <c r="H75" s="17"/>
      <c r="I75" s="17"/>
      <c r="J75" s="17"/>
      <c r="K75" s="17"/>
      <c r="L75" s="17"/>
    </row>
    <row r="76" spans="1:15" ht="15.75" x14ac:dyDescent="0.25">
      <c r="A76" s="1"/>
      <c r="B76" s="1"/>
      <c r="C76" s="87" t="s">
        <v>67</v>
      </c>
      <c r="D76" s="19" t="s">
        <v>16</v>
      </c>
      <c r="E76" s="52">
        <f>E30</f>
        <v>1679</v>
      </c>
      <c r="F76" s="52">
        <f t="shared" ref="F76:G76" si="19">F30</f>
        <v>2946</v>
      </c>
      <c r="G76" s="52">
        <f t="shared" si="19"/>
        <v>1899</v>
      </c>
      <c r="H76" s="53">
        <f>H30</f>
        <v>1962.170525</v>
      </c>
      <c r="I76" s="53">
        <f t="shared" ref="I76:L76" si="20">I30</f>
        <v>2169.5408067111821</v>
      </c>
      <c r="J76" s="53">
        <f t="shared" si="20"/>
        <v>2334.3271794548518</v>
      </c>
      <c r="K76" s="53">
        <f t="shared" si="20"/>
        <v>2535.214208593723</v>
      </c>
      <c r="L76" s="53">
        <f t="shared" si="20"/>
        <v>2685.1462972713798</v>
      </c>
    </row>
    <row r="77" spans="1:15" ht="15.75" x14ac:dyDescent="0.25">
      <c r="A77" s="1"/>
      <c r="B77" s="1"/>
      <c r="C77" s="51" t="s">
        <v>101</v>
      </c>
      <c r="D77" s="1"/>
      <c r="E77" s="88"/>
      <c r="F77" s="88"/>
      <c r="G77" s="88"/>
      <c r="H77" s="88"/>
      <c r="I77" s="88"/>
      <c r="J77" s="88"/>
      <c r="K77" s="88"/>
      <c r="L77" s="88"/>
      <c r="O77" s="89"/>
    </row>
    <row r="78" spans="1:15" ht="15.75" x14ac:dyDescent="0.25">
      <c r="A78" s="1"/>
      <c r="B78" s="1"/>
      <c r="C78" s="72" t="s">
        <v>102</v>
      </c>
      <c r="D78" s="19" t="s">
        <v>16</v>
      </c>
      <c r="E78" s="54">
        <v>299</v>
      </c>
      <c r="F78" s="54">
        <v>262</v>
      </c>
      <c r="G78" s="54">
        <v>244</v>
      </c>
      <c r="H78" s="32">
        <f>H4*drivers!H46</f>
        <v>239.27925000000002</v>
      </c>
      <c r="I78" s="32">
        <f>I4*drivers!I46</f>
        <v>263.48867999999999</v>
      </c>
      <c r="J78" s="32">
        <f>J4*drivers!J46</f>
        <v>289.25201759999999</v>
      </c>
      <c r="K78" s="32">
        <f>K4*drivers!K46</f>
        <v>313.61008224</v>
      </c>
      <c r="L78" s="32">
        <f>L4*drivers!L46</f>
        <v>339.16930394256002</v>
      </c>
    </row>
    <row r="79" spans="1:15" ht="15.75" x14ac:dyDescent="0.25">
      <c r="A79" s="1"/>
      <c r="B79" s="1"/>
      <c r="C79" s="72" t="s">
        <v>55</v>
      </c>
      <c r="D79" s="19" t="s">
        <v>16</v>
      </c>
      <c r="E79" s="54">
        <v>2</v>
      </c>
      <c r="F79" s="54">
        <v>3</v>
      </c>
      <c r="G79" s="54">
        <v>2</v>
      </c>
      <c r="H79" s="32">
        <f>drivers!H19</f>
        <v>0</v>
      </c>
      <c r="I79" s="32">
        <f>drivers!I19</f>
        <v>0</v>
      </c>
      <c r="J79" s="32">
        <f>drivers!J19</f>
        <v>0</v>
      </c>
      <c r="K79" s="32">
        <f>drivers!K19</f>
        <v>0</v>
      </c>
      <c r="L79" s="32">
        <f>drivers!L19</f>
        <v>0</v>
      </c>
    </row>
    <row r="80" spans="1:15" ht="15.75" x14ac:dyDescent="0.25">
      <c r="A80" s="1"/>
      <c r="B80" s="1"/>
      <c r="C80" s="72" t="s">
        <v>103</v>
      </c>
      <c r="D80" s="19" t="s">
        <v>16</v>
      </c>
      <c r="E80" s="54">
        <v>312</v>
      </c>
      <c r="F80" s="54">
        <v>242</v>
      </c>
      <c r="G80" s="54">
        <v>231</v>
      </c>
      <c r="H80" s="32">
        <f>drivers!H18</f>
        <v>217</v>
      </c>
      <c r="I80" s="32">
        <f>drivers!I18</f>
        <v>196</v>
      </c>
      <c r="J80" s="32">
        <f>drivers!J18</f>
        <v>175</v>
      </c>
      <c r="K80" s="32">
        <f>drivers!K18</f>
        <v>153</v>
      </c>
      <c r="L80" s="32">
        <f>drivers!L18</f>
        <v>134</v>
      </c>
    </row>
    <row r="81" spans="1:12" ht="15.75" x14ac:dyDescent="0.25">
      <c r="A81" s="1"/>
      <c r="B81" s="1"/>
      <c r="C81" s="90" t="s">
        <v>104</v>
      </c>
      <c r="D81" s="19" t="s">
        <v>16</v>
      </c>
      <c r="E81" s="54">
        <v>6</v>
      </c>
      <c r="F81" s="54">
        <v>55</v>
      </c>
      <c r="G81" s="54">
        <v>-11</v>
      </c>
      <c r="H81" s="39">
        <f>-H25*drivers!H50</f>
        <v>17.642361125494659</v>
      </c>
      <c r="I81" s="39">
        <f>-I25*drivers!I50</f>
        <v>19.506878684000043</v>
      </c>
      <c r="J81" s="39">
        <f>-J25*drivers!J50</f>
        <v>20.988513770993414</v>
      </c>
      <c r="K81" s="39">
        <f>-K25*drivers!K50</f>
        <v>22.79473880003146</v>
      </c>
      <c r="L81" s="39">
        <f>-L25*drivers!L50</f>
        <v>24.142815340295925</v>
      </c>
    </row>
    <row r="82" spans="1:12" ht="15.75" x14ac:dyDescent="0.25">
      <c r="A82" s="1"/>
      <c r="B82" s="1"/>
      <c r="C82" s="90" t="s">
        <v>105</v>
      </c>
      <c r="D82" s="19" t="s">
        <v>16</v>
      </c>
      <c r="E82" s="54">
        <v>37</v>
      </c>
      <c r="F82" s="54">
        <v>39</v>
      </c>
      <c r="G82" s="54">
        <v>41</v>
      </c>
      <c r="H82" s="32">
        <f>H4*drivers!H48</f>
        <v>39.26432881135834</v>
      </c>
      <c r="I82" s="32">
        <f>I4*drivers!I48</f>
        <v>40.834901963812676</v>
      </c>
      <c r="J82" s="32">
        <f>J4*drivers!J48</f>
        <v>42.468298042365177</v>
      </c>
      <c r="K82" s="32">
        <f>K4*drivers!K48</f>
        <v>43.742346983636139</v>
      </c>
      <c r="L82" s="32">
        <f>L4*drivers!L48</f>
        <v>45.054617393145222</v>
      </c>
    </row>
    <row r="83" spans="1:12" ht="15.75" x14ac:dyDescent="0.25">
      <c r="A83" s="1"/>
      <c r="B83" s="1"/>
      <c r="C83" s="66" t="s">
        <v>106</v>
      </c>
      <c r="D83" s="19" t="s">
        <v>16</v>
      </c>
      <c r="E83" s="54">
        <v>76</v>
      </c>
      <c r="F83" s="54">
        <v>-1700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</row>
    <row r="84" spans="1:12" ht="15.75" x14ac:dyDescent="0.25">
      <c r="A84" s="1"/>
      <c r="B84" s="1"/>
      <c r="C84" s="91" t="s">
        <v>107</v>
      </c>
      <c r="D84" s="1"/>
      <c r="E84" s="54"/>
      <c r="F84" s="54"/>
      <c r="G84" s="54"/>
      <c r="H84" s="32"/>
      <c r="I84" s="32"/>
      <c r="J84" s="32"/>
      <c r="K84" s="32"/>
      <c r="L84" s="32"/>
    </row>
    <row r="85" spans="1:12" ht="15.75" x14ac:dyDescent="0.25">
      <c r="A85" s="1"/>
      <c r="B85" s="1"/>
      <c r="C85" s="72" t="s">
        <v>72</v>
      </c>
      <c r="D85" s="19" t="s">
        <v>16</v>
      </c>
      <c r="E85" s="54">
        <v>-83</v>
      </c>
      <c r="F85" s="54">
        <v>-70</v>
      </c>
      <c r="G85" s="54">
        <v>-42</v>
      </c>
      <c r="H85" s="32">
        <f>G37-H37</f>
        <v>-95.814211508848075</v>
      </c>
      <c r="I85" s="32">
        <f t="shared" ref="I85:L86" si="21">H37-I37</f>
        <v>-91.952568460354087</v>
      </c>
      <c r="J85" s="32">
        <f t="shared" si="21"/>
        <v>-95.630671198768141</v>
      </c>
      <c r="K85" s="32">
        <f t="shared" si="21"/>
        <v>-74.591923535039314</v>
      </c>
      <c r="L85" s="32">
        <f t="shared" si="21"/>
        <v>-76.829681241090384</v>
      </c>
    </row>
    <row r="86" spans="1:12" ht="15.75" x14ac:dyDescent="0.25">
      <c r="A86" s="1"/>
      <c r="B86" s="1"/>
      <c r="C86" s="72" t="s">
        <v>73</v>
      </c>
      <c r="D86" s="19" t="s">
        <v>16</v>
      </c>
      <c r="E86" s="54">
        <v>24</v>
      </c>
      <c r="F86" s="54">
        <v>-10</v>
      </c>
      <c r="G86" s="54">
        <v>25</v>
      </c>
      <c r="H86" s="32">
        <f>G38-H38</f>
        <v>-42.790993150684926</v>
      </c>
      <c r="I86" s="32">
        <f t="shared" si="21"/>
        <v>-15.777378246575381</v>
      </c>
      <c r="J86" s="32">
        <f t="shared" si="21"/>
        <v>-39.651509681095831</v>
      </c>
      <c r="K86" s="32">
        <f t="shared" si="21"/>
        <v>-4.4475301027066507</v>
      </c>
      <c r="L86" s="32">
        <f t="shared" si="21"/>
        <v>-29.28815282887922</v>
      </c>
    </row>
    <row r="87" spans="1:12" s="78" customFormat="1" ht="15.75" x14ac:dyDescent="0.25">
      <c r="A87" s="76"/>
      <c r="B87" s="76"/>
      <c r="C87" s="22" t="s">
        <v>108</v>
      </c>
      <c r="D87" s="101" t="s">
        <v>16</v>
      </c>
      <c r="E87" s="104">
        <v>226</v>
      </c>
      <c r="F87" s="104">
        <v>-98</v>
      </c>
      <c r="G87" s="104">
        <v>24</v>
      </c>
      <c r="H87" s="77">
        <f>G39-H39+G46-H46</f>
        <v>-47.337350000000015</v>
      </c>
      <c r="I87" s="77">
        <f t="shared" ref="I87:L87" si="22">H39-I39+H46-I46</f>
        <v>-63.338624999999865</v>
      </c>
      <c r="J87" s="77">
        <f t="shared" si="22"/>
        <v>-48.745405799999844</v>
      </c>
      <c r="K87" s="77">
        <f t="shared" si="22"/>
        <v>-48.594338956800129</v>
      </c>
      <c r="L87" s="77">
        <f t="shared" si="22"/>
        <v>-32.003908892592108</v>
      </c>
    </row>
    <row r="88" spans="1:12" ht="15.75" x14ac:dyDescent="0.25">
      <c r="A88" s="1"/>
      <c r="B88" s="1"/>
      <c r="C88" s="72" t="s">
        <v>85</v>
      </c>
      <c r="D88" s="19" t="s">
        <v>16</v>
      </c>
      <c r="E88" s="54">
        <v>8</v>
      </c>
      <c r="F88" s="54">
        <v>-20</v>
      </c>
      <c r="G88" s="54">
        <v>-30</v>
      </c>
      <c r="H88" s="32">
        <f xml:space="preserve"> - (G53-H53)</f>
        <v>2.5163972602739477</v>
      </c>
      <c r="I88" s="32">
        <f t="shared" ref="I88:L88" si="23" xml:space="preserve"> - (H53-I53)</f>
        <v>-7.7041716164383161</v>
      </c>
      <c r="J88" s="32">
        <f t="shared" si="23"/>
        <v>15.375075182465821</v>
      </c>
      <c r="K88" s="32">
        <f t="shared" si="23"/>
        <v>-13.437021633402935</v>
      </c>
      <c r="L88" s="32">
        <f t="shared" si="23"/>
        <v>10.983057310829793</v>
      </c>
    </row>
    <row r="89" spans="1:12" ht="15.75" x14ac:dyDescent="0.25">
      <c r="A89" s="1"/>
      <c r="B89" s="1"/>
      <c r="C89" s="72" t="s">
        <v>86</v>
      </c>
      <c r="D89" s="19" t="s">
        <v>16</v>
      </c>
      <c r="E89" s="54">
        <v>161</v>
      </c>
      <c r="F89" s="54">
        <v>5</v>
      </c>
      <c r="G89" s="54">
        <v>-56</v>
      </c>
      <c r="H89" s="32">
        <f xml:space="preserve"> -(G54-H54)</f>
        <v>47.165515000000141</v>
      </c>
      <c r="I89" s="32">
        <f t="shared" ref="I89:L89" si="24" xml:space="preserve"> -(H54-I54)</f>
        <v>13.146283499999754</v>
      </c>
      <c r="J89" s="32">
        <f t="shared" si="24"/>
        <v>47.852471939999987</v>
      </c>
      <c r="K89" s="32">
        <f t="shared" si="24"/>
        <v>0.71095101168020847</v>
      </c>
      <c r="L89" s="32">
        <f t="shared" si="24"/>
        <v>37.346256643550532</v>
      </c>
    </row>
    <row r="90" spans="1:12" ht="15.75" x14ac:dyDescent="0.25">
      <c r="A90" s="1"/>
      <c r="B90" s="1"/>
      <c r="C90" s="73" t="s">
        <v>109</v>
      </c>
      <c r="D90" s="35" t="s">
        <v>16</v>
      </c>
      <c r="E90" s="62">
        <v>-219</v>
      </c>
      <c r="F90" s="62">
        <v>-38</v>
      </c>
      <c r="G90" s="62">
        <v>-28</v>
      </c>
      <c r="H90" s="92">
        <f>-(G55-H55+G61-H61)</f>
        <v>-48.989431373745106</v>
      </c>
      <c r="I90" s="92">
        <f t="shared" ref="I90:L90" si="25">-(H55-I55+H61-I61)</f>
        <v>13.211228540291586</v>
      </c>
      <c r="J90" s="92">
        <f t="shared" si="25"/>
        <v>48.088871886661764</v>
      </c>
      <c r="K90" s="92">
        <f t="shared" si="25"/>
        <v>0.71446323945917811</v>
      </c>
      <c r="L90" s="92">
        <f t="shared" si="25"/>
        <v>37.530753968780118</v>
      </c>
    </row>
    <row r="91" spans="1:12" ht="15.75" x14ac:dyDescent="0.25">
      <c r="A91" s="1"/>
      <c r="B91" s="1"/>
      <c r="C91" s="91" t="s">
        <v>110</v>
      </c>
      <c r="D91" s="19" t="s">
        <v>16</v>
      </c>
      <c r="E91" s="58">
        <f>SUM(E76:E90)</f>
        <v>2528</v>
      </c>
      <c r="F91" s="58">
        <f t="shared" ref="F91:L91" si="26">SUM(F76:F90)</f>
        <v>1616</v>
      </c>
      <c r="G91" s="58">
        <f t="shared" si="26"/>
        <v>2299</v>
      </c>
      <c r="H91" s="58">
        <f t="shared" si="26"/>
        <v>2290.1063911638489</v>
      </c>
      <c r="I91" s="58">
        <f t="shared" si="26"/>
        <v>2536.9560360759187</v>
      </c>
      <c r="J91" s="58">
        <f t="shared" si="26"/>
        <v>2789.3248411974737</v>
      </c>
      <c r="K91" s="58">
        <f t="shared" si="26"/>
        <v>2928.7159766405816</v>
      </c>
      <c r="L91" s="58">
        <f t="shared" si="26"/>
        <v>3175.251358907979</v>
      </c>
    </row>
    <row r="92" spans="1:12" ht="15.75" x14ac:dyDescent="0.25">
      <c r="A92" s="1"/>
      <c r="B92" s="1"/>
      <c r="C92" s="91"/>
      <c r="D92" s="1"/>
      <c r="E92" s="32"/>
      <c r="F92" s="32"/>
      <c r="G92" s="32"/>
      <c r="H92" s="32"/>
      <c r="I92" s="32"/>
      <c r="J92" s="32"/>
      <c r="K92" s="32"/>
      <c r="L92" s="32"/>
    </row>
    <row r="93" spans="1:12" ht="15.75" x14ac:dyDescent="0.25">
      <c r="A93" s="1"/>
      <c r="B93" s="16" t="s">
        <v>111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ht="15.75" x14ac:dyDescent="0.25">
      <c r="A94" s="1"/>
      <c r="B94" s="1"/>
      <c r="C94" s="22" t="s">
        <v>112</v>
      </c>
      <c r="D94" s="19" t="s">
        <v>16</v>
      </c>
      <c r="E94" s="56">
        <v>-368</v>
      </c>
      <c r="F94" s="56">
        <v>-361</v>
      </c>
      <c r="G94" s="56">
        <v>-284</v>
      </c>
      <c r="H94" s="39">
        <f>drivers!H45</f>
        <v>-285</v>
      </c>
      <c r="I94" s="39">
        <f>drivers!I45</f>
        <v>-325</v>
      </c>
      <c r="J94" s="39">
        <f>drivers!J45</f>
        <v>-375</v>
      </c>
      <c r="K94" s="39">
        <f>drivers!K45</f>
        <v>-425</v>
      </c>
      <c r="L94" s="39">
        <f>drivers!L45</f>
        <v>-475</v>
      </c>
    </row>
    <row r="95" spans="1:12" ht="15.75" x14ac:dyDescent="0.25">
      <c r="A95" s="1"/>
      <c r="B95" s="1"/>
      <c r="C95" s="22" t="s">
        <v>113</v>
      </c>
      <c r="D95" s="35" t="s">
        <v>16</v>
      </c>
      <c r="E95" s="56">
        <v>-88</v>
      </c>
      <c r="F95" s="56">
        <v>3203</v>
      </c>
      <c r="G95" s="56">
        <v>74</v>
      </c>
      <c r="H95" s="39">
        <f>drivers!H56</f>
        <v>0</v>
      </c>
      <c r="I95" s="39">
        <f>drivers!I56</f>
        <v>0</v>
      </c>
      <c r="J95" s="39">
        <f>drivers!J56</f>
        <v>0</v>
      </c>
      <c r="K95" s="39">
        <f>drivers!K56</f>
        <v>0</v>
      </c>
      <c r="L95" s="39">
        <f>drivers!L56</f>
        <v>0</v>
      </c>
    </row>
    <row r="96" spans="1:12" ht="15.75" x14ac:dyDescent="0.25">
      <c r="A96" s="1"/>
      <c r="B96" s="1"/>
      <c r="C96" s="93" t="s">
        <v>114</v>
      </c>
      <c r="D96" s="19" t="s">
        <v>16</v>
      </c>
      <c r="E96" s="68">
        <f>SUM(E94:E95)</f>
        <v>-456</v>
      </c>
      <c r="F96" s="68">
        <f t="shared" ref="F96:L96" si="27">SUM(F94:F95)</f>
        <v>2842</v>
      </c>
      <c r="G96" s="68">
        <f t="shared" si="27"/>
        <v>-210</v>
      </c>
      <c r="H96" s="68">
        <f t="shared" si="27"/>
        <v>-285</v>
      </c>
      <c r="I96" s="68">
        <f t="shared" si="27"/>
        <v>-325</v>
      </c>
      <c r="J96" s="68">
        <f t="shared" si="27"/>
        <v>-375</v>
      </c>
      <c r="K96" s="68">
        <f t="shared" si="27"/>
        <v>-425</v>
      </c>
      <c r="L96" s="68">
        <f t="shared" si="27"/>
        <v>-475</v>
      </c>
    </row>
    <row r="97" spans="1:12" ht="15.75" x14ac:dyDescent="0.25">
      <c r="A97" s="1"/>
      <c r="B97" s="1"/>
      <c r="C97" s="91"/>
      <c r="D97" s="1"/>
      <c r="E97" s="32"/>
      <c r="F97" s="32"/>
      <c r="G97" s="32"/>
      <c r="H97" s="32"/>
      <c r="I97" s="32"/>
      <c r="J97" s="32"/>
      <c r="K97" s="32"/>
      <c r="L97" s="32"/>
    </row>
    <row r="98" spans="1:12" ht="15.75" x14ac:dyDescent="0.25">
      <c r="A98" s="1"/>
      <c r="B98" s="16" t="s">
        <v>115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ht="15.75" x14ac:dyDescent="0.25">
      <c r="A99" s="1"/>
      <c r="B99" s="1"/>
      <c r="C99" s="90" t="s">
        <v>116</v>
      </c>
      <c r="D99" s="19" t="s">
        <v>16</v>
      </c>
      <c r="E99" s="54">
        <v>-528</v>
      </c>
      <c r="F99" s="54">
        <v>-711</v>
      </c>
      <c r="G99" s="54">
        <v>-742</v>
      </c>
      <c r="H99" s="32">
        <f>-H30*drivers!H51</f>
        <v>-619.09688882774435</v>
      </c>
      <c r="I99" s="32">
        <f>-I30*drivers!I51</f>
        <v>-684.52560392004023</v>
      </c>
      <c r="J99" s="32">
        <f>-J30*drivers!J51</f>
        <v>-736.51839934072109</v>
      </c>
      <c r="K99" s="32">
        <f>-K30*drivers!K51</f>
        <v>-799.90154222312867</v>
      </c>
      <c r="L99" s="32">
        <f>-L30*drivers!L51</f>
        <v>-847.20756810270029</v>
      </c>
    </row>
    <row r="100" spans="1:12" ht="15.75" x14ac:dyDescent="0.25">
      <c r="A100" s="1"/>
      <c r="B100" s="1"/>
      <c r="C100" s="90" t="s">
        <v>117</v>
      </c>
      <c r="D100" s="19" t="s">
        <v>16</v>
      </c>
      <c r="E100" s="54">
        <v>-1900</v>
      </c>
      <c r="F100" s="54">
        <v>-4198</v>
      </c>
      <c r="G100" s="54">
        <v>-1943</v>
      </c>
      <c r="H100" s="39">
        <f>-drivers!H53</f>
        <v>-1000</v>
      </c>
      <c r="I100" s="39">
        <f>-drivers!I53</f>
        <v>-1000</v>
      </c>
      <c r="J100" s="39">
        <f>-drivers!J53</f>
        <v>-1000</v>
      </c>
      <c r="K100" s="39">
        <f>-drivers!K53</f>
        <v>-1000</v>
      </c>
      <c r="L100" s="39">
        <f>-drivers!L53</f>
        <v>-1000</v>
      </c>
    </row>
    <row r="101" spans="1:12" ht="15.75" x14ac:dyDescent="0.25">
      <c r="A101" s="1"/>
      <c r="B101" s="1"/>
      <c r="C101" s="90" t="s">
        <v>118</v>
      </c>
      <c r="D101" s="19" t="s">
        <v>16</v>
      </c>
      <c r="E101" s="54">
        <v>1264</v>
      </c>
      <c r="F101" s="54">
        <v>1339</v>
      </c>
      <c r="G101" s="54">
        <v>151</v>
      </c>
      <c r="H101" s="39">
        <f>drivers!H24</f>
        <v>-742.2</v>
      </c>
      <c r="I101" s="39">
        <f>drivers!I24</f>
        <v>-742.2</v>
      </c>
      <c r="J101" s="39">
        <f>drivers!J24</f>
        <v>-742.2</v>
      </c>
      <c r="K101" s="39">
        <f>drivers!K24</f>
        <v>-742.2</v>
      </c>
      <c r="L101" s="39">
        <f>drivers!L24</f>
        <v>-742.2</v>
      </c>
    </row>
    <row r="102" spans="1:12" ht="15.75" x14ac:dyDescent="0.25">
      <c r="A102" s="1"/>
      <c r="B102" s="1"/>
      <c r="C102" s="94" t="s">
        <v>119</v>
      </c>
      <c r="D102" s="35" t="s">
        <v>16</v>
      </c>
      <c r="E102" s="62">
        <v>24</v>
      </c>
      <c r="F102" s="62">
        <v>19</v>
      </c>
      <c r="G102" s="62">
        <v>8</v>
      </c>
      <c r="H102" s="36">
        <f>drivers!H57</f>
        <v>0</v>
      </c>
      <c r="I102" s="36">
        <f>drivers!I57</f>
        <v>0</v>
      </c>
      <c r="J102" s="36">
        <f>drivers!J57</f>
        <v>0</v>
      </c>
      <c r="K102" s="36">
        <f>drivers!K57</f>
        <v>0</v>
      </c>
      <c r="L102" s="36">
        <f>drivers!L57</f>
        <v>0</v>
      </c>
    </row>
    <row r="103" spans="1:12" ht="15.75" x14ac:dyDescent="0.25">
      <c r="A103" s="1"/>
      <c r="B103" s="1"/>
      <c r="C103" s="17" t="s">
        <v>120</v>
      </c>
      <c r="D103" s="19" t="s">
        <v>16</v>
      </c>
      <c r="E103" s="58">
        <f>SUM(E99:E102)</f>
        <v>-1140</v>
      </c>
      <c r="F103" s="58">
        <f t="shared" ref="F103:L103" si="28">SUM(F99:F102)</f>
        <v>-3551</v>
      </c>
      <c r="G103" s="58">
        <f t="shared" si="28"/>
        <v>-2526</v>
      </c>
      <c r="H103" s="58">
        <f t="shared" si="28"/>
        <v>-2361.2968888277446</v>
      </c>
      <c r="I103" s="58">
        <f t="shared" si="28"/>
        <v>-2426.7256039200402</v>
      </c>
      <c r="J103" s="58">
        <f t="shared" si="28"/>
        <v>-2478.7183993407211</v>
      </c>
      <c r="K103" s="58">
        <f t="shared" si="28"/>
        <v>-2542.1015422231285</v>
      </c>
      <c r="L103" s="58">
        <f t="shared" si="28"/>
        <v>-2589.4075681027007</v>
      </c>
    </row>
    <row r="104" spans="1:12" ht="15.75" x14ac:dyDescent="0.25">
      <c r="A104" s="1"/>
      <c r="B104" s="1"/>
      <c r="C104" s="17"/>
      <c r="D104" s="1"/>
      <c r="E104" s="32"/>
      <c r="F104" s="32"/>
      <c r="G104" s="32"/>
      <c r="H104" s="32"/>
      <c r="I104" s="32"/>
      <c r="J104" s="32"/>
      <c r="K104" s="32"/>
      <c r="L104" s="32"/>
    </row>
    <row r="105" spans="1:12" ht="15.75" x14ac:dyDescent="0.25">
      <c r="A105" s="1"/>
      <c r="B105" s="1"/>
      <c r="C105" s="60" t="s">
        <v>121</v>
      </c>
      <c r="D105" s="19" t="s">
        <v>16</v>
      </c>
      <c r="E105" s="54">
        <v>-93</v>
      </c>
      <c r="F105" s="56">
        <v>-535</v>
      </c>
      <c r="G105" s="56">
        <v>-463</v>
      </c>
      <c r="H105" s="32">
        <f>'forecasted statatements '!H4*drivers!H59</f>
        <v>-366.21958485569428</v>
      </c>
      <c r="I105" s="32">
        <f>'forecasted statatements '!I4*drivers!I59</f>
        <v>-380.86836824992207</v>
      </c>
      <c r="J105" s="32">
        <f>'forecasted statatements '!J4*drivers!J59</f>
        <v>-396.1031029799189</v>
      </c>
      <c r="K105" s="32">
        <f>'forecasted statatements '!K4*drivers!K59</f>
        <v>-407.98619606931652</v>
      </c>
      <c r="L105" s="32">
        <f>'forecasted statatements '!L4*drivers!L59</f>
        <v>-420.22578195139602</v>
      </c>
    </row>
    <row r="106" spans="1:12" ht="15.75" x14ac:dyDescent="0.25">
      <c r="A106" s="1"/>
      <c r="B106" s="1"/>
      <c r="C106" s="60"/>
      <c r="D106" s="1"/>
      <c r="E106" s="32"/>
      <c r="F106" s="32"/>
      <c r="G106" s="32"/>
      <c r="H106" s="32"/>
      <c r="I106" s="32"/>
      <c r="J106" s="32"/>
      <c r="K106" s="32"/>
      <c r="L106" s="32"/>
    </row>
    <row r="107" spans="1:12" ht="15.75" x14ac:dyDescent="0.25">
      <c r="A107" s="1"/>
      <c r="B107" s="1"/>
      <c r="C107" s="70" t="s">
        <v>122</v>
      </c>
      <c r="D107" s="19" t="s">
        <v>16</v>
      </c>
      <c r="E107" s="95">
        <f>E91+E96+E103+E105</f>
        <v>839</v>
      </c>
      <c r="F107" s="95">
        <f t="shared" ref="F107:L107" si="29">F91+F96+F103+F105</f>
        <v>372</v>
      </c>
      <c r="G107" s="95">
        <f t="shared" si="29"/>
        <v>-900</v>
      </c>
      <c r="H107" s="95">
        <f t="shared" si="29"/>
        <v>-722.41008251958999</v>
      </c>
      <c r="I107" s="95">
        <f t="shared" si="29"/>
        <v>-595.63793609404343</v>
      </c>
      <c r="J107" s="95">
        <f t="shared" si="29"/>
        <v>-460.49666112316635</v>
      </c>
      <c r="K107" s="95">
        <f t="shared" si="29"/>
        <v>-446.37176165186338</v>
      </c>
      <c r="L107" s="95">
        <f t="shared" si="29"/>
        <v>-309.38199114611768</v>
      </c>
    </row>
    <row r="108" spans="1:12" ht="15.75" x14ac:dyDescent="0.25">
      <c r="A108" s="1"/>
      <c r="B108" s="1"/>
      <c r="C108" s="96" t="s">
        <v>123</v>
      </c>
      <c r="D108" s="35" t="s">
        <v>16</v>
      </c>
      <c r="E108" s="97">
        <v>2779</v>
      </c>
      <c r="F108" s="97">
        <v>3618</v>
      </c>
      <c r="G108" s="62">
        <v>3990</v>
      </c>
      <c r="H108" s="39">
        <f>G109</f>
        <v>3090</v>
      </c>
      <c r="I108" s="39">
        <f t="shared" ref="I108:L108" si="30">H109</f>
        <v>2367.5899174804099</v>
      </c>
      <c r="J108" s="39">
        <f t="shared" si="30"/>
        <v>1771.9519813863665</v>
      </c>
      <c r="K108" s="39">
        <f t="shared" si="30"/>
        <v>1311.4553202632001</v>
      </c>
      <c r="L108" s="39">
        <f t="shared" si="30"/>
        <v>865.08355861133668</v>
      </c>
    </row>
    <row r="109" spans="1:12" ht="15.75" x14ac:dyDescent="0.25">
      <c r="A109" s="1"/>
      <c r="B109" s="1"/>
      <c r="C109" s="91" t="s">
        <v>124</v>
      </c>
      <c r="D109" s="19" t="s">
        <v>16</v>
      </c>
      <c r="E109" s="81">
        <f>E107+E108</f>
        <v>3618</v>
      </c>
      <c r="F109" s="81">
        <f t="shared" ref="F109:L109" si="31">F107+F108</f>
        <v>3990</v>
      </c>
      <c r="G109" s="81">
        <f t="shared" si="31"/>
        <v>3090</v>
      </c>
      <c r="H109" s="81">
        <f t="shared" si="31"/>
        <v>2367.5899174804099</v>
      </c>
      <c r="I109" s="81">
        <f t="shared" si="31"/>
        <v>1771.9519813863665</v>
      </c>
      <c r="J109" s="81">
        <f t="shared" si="31"/>
        <v>1311.4553202632001</v>
      </c>
      <c r="K109" s="81">
        <f t="shared" si="31"/>
        <v>865.08355861133668</v>
      </c>
      <c r="L109" s="81">
        <f t="shared" si="31"/>
        <v>555.701567465219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drivers</vt:lpstr>
      <vt:lpstr>forecasted statatements 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</dc:creator>
  <cp:lastModifiedBy>khushi</cp:lastModifiedBy>
  <dcterms:created xsi:type="dcterms:W3CDTF">2025-06-22T10:36:31Z</dcterms:created>
  <dcterms:modified xsi:type="dcterms:W3CDTF">2025-06-22T10:55:23Z</dcterms:modified>
</cp:coreProperties>
</file>