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신현학원\신현학원\"/>
    </mc:Choice>
  </mc:AlternateContent>
  <bookViews>
    <workbookView xWindow="0" yWindow="0" windowWidth="28800" windowHeight="12285" activeTab="7"/>
  </bookViews>
  <sheets>
    <sheet name="수업료현황" sheetId="12" r:id="rId1"/>
    <sheet name="total" sheetId="13" r:id="rId2"/>
    <sheet name="11월정산" sheetId="18" r:id="rId3"/>
    <sheet name="12월정산" sheetId="19" r:id="rId4"/>
    <sheet name="23.01" sheetId="20" r:id="rId5"/>
    <sheet name="23.02" sheetId="21" r:id="rId6"/>
    <sheet name="23.03" sheetId="22" r:id="rId7"/>
    <sheet name="23.04" sheetId="23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3" i="23" l="1"/>
  <c r="J68" i="23"/>
  <c r="P68" i="23"/>
  <c r="N68" i="23"/>
  <c r="L68" i="23"/>
  <c r="Q67" i="23"/>
  <c r="O67" i="23"/>
  <c r="M67" i="23"/>
  <c r="K67" i="23"/>
  <c r="G67" i="23"/>
  <c r="O66" i="23"/>
  <c r="M66" i="23"/>
  <c r="K66" i="23"/>
  <c r="O65" i="23"/>
  <c r="K65" i="23"/>
  <c r="G65" i="23"/>
  <c r="H65" i="23" s="1"/>
  <c r="O64" i="23"/>
  <c r="M64" i="23"/>
  <c r="K64" i="23"/>
  <c r="G64" i="23"/>
  <c r="H64" i="23" s="1"/>
  <c r="O63" i="23"/>
  <c r="M63" i="23"/>
  <c r="G63" i="23"/>
  <c r="H63" i="23" s="1"/>
  <c r="Q62" i="23"/>
  <c r="O62" i="23"/>
  <c r="M62" i="23"/>
  <c r="K62" i="23"/>
  <c r="G62" i="23"/>
  <c r="Q61" i="23"/>
  <c r="O61" i="23"/>
  <c r="M61" i="23"/>
  <c r="K61" i="23"/>
  <c r="G61" i="23"/>
  <c r="Q60" i="23"/>
  <c r="O60" i="23"/>
  <c r="M60" i="23"/>
  <c r="K60" i="23"/>
  <c r="G60" i="23"/>
  <c r="Q59" i="23"/>
  <c r="O59" i="23"/>
  <c r="M59" i="23"/>
  <c r="K59" i="23"/>
  <c r="G59" i="23"/>
  <c r="Q58" i="23"/>
  <c r="O58" i="23"/>
  <c r="M58" i="23"/>
  <c r="K58" i="23"/>
  <c r="G58" i="23"/>
  <c r="O57" i="23"/>
  <c r="M57" i="23"/>
  <c r="K57" i="23"/>
  <c r="G57" i="23"/>
  <c r="H57" i="23" s="1"/>
  <c r="H61" i="23" l="1"/>
  <c r="H58" i="23"/>
  <c r="K68" i="23"/>
  <c r="H59" i="23"/>
  <c r="M68" i="23"/>
  <c r="Q68" i="23"/>
  <c r="G68" i="23"/>
  <c r="O68" i="23"/>
  <c r="H62" i="23"/>
  <c r="H60" i="23"/>
  <c r="I67" i="23"/>
  <c r="I68" i="23" s="1"/>
  <c r="H67" i="23"/>
  <c r="M20" i="23"/>
  <c r="K20" i="23"/>
  <c r="H20" i="23" s="1"/>
  <c r="G20" i="23"/>
  <c r="K48" i="23"/>
  <c r="J48" i="23"/>
  <c r="L48" i="23" s="1"/>
  <c r="K47" i="23"/>
  <c r="L47" i="23" s="1"/>
  <c r="J47" i="23"/>
  <c r="L45" i="23"/>
  <c r="M45" i="23" s="1"/>
  <c r="N45" i="23" s="1"/>
  <c r="P36" i="23"/>
  <c r="N36" i="23"/>
  <c r="N37" i="23" s="1"/>
  <c r="L36" i="23"/>
  <c r="J36" i="23"/>
  <c r="I36" i="23"/>
  <c r="Q35" i="23"/>
  <c r="O35" i="23"/>
  <c r="M35" i="23"/>
  <c r="K35" i="23"/>
  <c r="G35" i="23"/>
  <c r="Q34" i="23"/>
  <c r="O34" i="23"/>
  <c r="M34" i="23"/>
  <c r="K34" i="23"/>
  <c r="G34" i="23"/>
  <c r="Q33" i="23"/>
  <c r="O33" i="23"/>
  <c r="M33" i="23"/>
  <c r="K33" i="23"/>
  <c r="G33" i="23"/>
  <c r="K32" i="23"/>
  <c r="H32" i="23" s="1"/>
  <c r="G32" i="23"/>
  <c r="Q31" i="23"/>
  <c r="O31" i="23"/>
  <c r="M31" i="23"/>
  <c r="K31" i="23"/>
  <c r="G31" i="23"/>
  <c r="Q30" i="23"/>
  <c r="O30" i="23"/>
  <c r="O36" i="23" s="1"/>
  <c r="M30" i="23"/>
  <c r="K30" i="23"/>
  <c r="G30" i="23"/>
  <c r="P28" i="23"/>
  <c r="N28" i="23"/>
  <c r="L28" i="23"/>
  <c r="J28" i="23"/>
  <c r="I28" i="23"/>
  <c r="O27" i="23"/>
  <c r="K27" i="23"/>
  <c r="G27" i="23"/>
  <c r="Q26" i="23"/>
  <c r="O26" i="23"/>
  <c r="M26" i="23"/>
  <c r="K26" i="23"/>
  <c r="H26" i="23"/>
  <c r="G26" i="23"/>
  <c r="Q25" i="23"/>
  <c r="O25" i="23"/>
  <c r="M25" i="23"/>
  <c r="K25" i="23"/>
  <c r="G25" i="23"/>
  <c r="Q24" i="23"/>
  <c r="O24" i="23"/>
  <c r="M24" i="23"/>
  <c r="K24" i="23"/>
  <c r="G24" i="23"/>
  <c r="Q23" i="23"/>
  <c r="O23" i="23"/>
  <c r="M23" i="23"/>
  <c r="K23" i="23"/>
  <c r="G23" i="23"/>
  <c r="Q22" i="23"/>
  <c r="O22" i="23"/>
  <c r="M22" i="23"/>
  <c r="K22" i="23"/>
  <c r="H22" i="23" s="1"/>
  <c r="G22" i="23"/>
  <c r="Q21" i="23"/>
  <c r="O21" i="23"/>
  <c r="M21" i="23"/>
  <c r="K21" i="23"/>
  <c r="G21" i="23"/>
  <c r="Q19" i="23"/>
  <c r="O19" i="23"/>
  <c r="M19" i="23"/>
  <c r="K19" i="23"/>
  <c r="G19" i="23"/>
  <c r="Q18" i="23"/>
  <c r="O18" i="23"/>
  <c r="M18" i="23"/>
  <c r="K18" i="23"/>
  <c r="G18" i="23"/>
  <c r="P16" i="23"/>
  <c r="N16" i="23"/>
  <c r="L16" i="23"/>
  <c r="G16" i="23" s="1"/>
  <c r="J16" i="23"/>
  <c r="Q15" i="23"/>
  <c r="O15" i="23"/>
  <c r="M15" i="23"/>
  <c r="K15" i="23"/>
  <c r="G15" i="23"/>
  <c r="O14" i="23"/>
  <c r="M14" i="23"/>
  <c r="K14" i="23"/>
  <c r="O13" i="23"/>
  <c r="K13" i="23"/>
  <c r="G13" i="23"/>
  <c r="H13" i="23" s="1"/>
  <c r="O12" i="23"/>
  <c r="M12" i="23"/>
  <c r="K12" i="23"/>
  <c r="H12" i="23"/>
  <c r="G12" i="23"/>
  <c r="O11" i="23"/>
  <c r="M11" i="23"/>
  <c r="K11" i="23"/>
  <c r="G11" i="23"/>
  <c r="H11" i="23" s="1"/>
  <c r="Q10" i="23"/>
  <c r="O10" i="23"/>
  <c r="M10" i="23"/>
  <c r="K10" i="23"/>
  <c r="G10" i="23"/>
  <c r="Q9" i="23"/>
  <c r="O9" i="23"/>
  <c r="M9" i="23"/>
  <c r="K9" i="23"/>
  <c r="G9" i="23"/>
  <c r="Q8" i="23"/>
  <c r="O8" i="23"/>
  <c r="M8" i="23"/>
  <c r="K8" i="23"/>
  <c r="G8" i="23"/>
  <c r="Q7" i="23"/>
  <c r="O7" i="23"/>
  <c r="M7" i="23"/>
  <c r="K7" i="23"/>
  <c r="G7" i="23"/>
  <c r="Q6" i="23"/>
  <c r="O6" i="23"/>
  <c r="M6" i="23"/>
  <c r="K6" i="23"/>
  <c r="G6" i="23"/>
  <c r="O5" i="23"/>
  <c r="M5" i="23"/>
  <c r="K5" i="23"/>
  <c r="G5" i="23"/>
  <c r="H5" i="23" s="1"/>
  <c r="H33" i="23" l="1"/>
  <c r="H68" i="23"/>
  <c r="Q16" i="23"/>
  <c r="P37" i="23"/>
  <c r="H15" i="23"/>
  <c r="I15" i="23" s="1"/>
  <c r="I16" i="23" s="1"/>
  <c r="I37" i="23" s="1"/>
  <c r="H24" i="23"/>
  <c r="H35" i="23"/>
  <c r="J37" i="23"/>
  <c r="M48" i="23"/>
  <c r="N48" i="23" s="1"/>
  <c r="M16" i="23"/>
  <c r="H7" i="23"/>
  <c r="H19" i="23"/>
  <c r="H21" i="23"/>
  <c r="M36" i="23"/>
  <c r="H31" i="23"/>
  <c r="G36" i="23"/>
  <c r="Q36" i="23"/>
  <c r="J43" i="23"/>
  <c r="J50" i="23" s="1"/>
  <c r="K28" i="23"/>
  <c r="L37" i="23"/>
  <c r="H8" i="23"/>
  <c r="H27" i="23"/>
  <c r="H9" i="23"/>
  <c r="O28" i="23"/>
  <c r="H25" i="23"/>
  <c r="O16" i="23"/>
  <c r="M28" i="23"/>
  <c r="K16" i="23"/>
  <c r="H10" i="23"/>
  <c r="G28" i="23"/>
  <c r="Q28" i="23"/>
  <c r="H23" i="23"/>
  <c r="H34" i="23"/>
  <c r="K36" i="23"/>
  <c r="M47" i="23"/>
  <c r="H6" i="23"/>
  <c r="H30" i="23"/>
  <c r="H18" i="23"/>
  <c r="Q16" i="22"/>
  <c r="P16" i="22"/>
  <c r="N16" i="22"/>
  <c r="L16" i="22"/>
  <c r="J16" i="22"/>
  <c r="J40" i="22"/>
  <c r="J44" i="22"/>
  <c r="H16" i="23" l="1"/>
  <c r="K43" i="23"/>
  <c r="Q37" i="23"/>
  <c r="M37" i="23"/>
  <c r="O37" i="23"/>
  <c r="G37" i="23"/>
  <c r="K37" i="23"/>
  <c r="K41" i="23"/>
  <c r="L41" i="23" s="1"/>
  <c r="M41" i="23" s="1"/>
  <c r="N41" i="23" s="1"/>
  <c r="H28" i="23"/>
  <c r="H36" i="23"/>
  <c r="L43" i="23"/>
  <c r="K50" i="23"/>
  <c r="N47" i="23"/>
  <c r="M5" i="22"/>
  <c r="M16" i="22" s="1"/>
  <c r="O5" i="22"/>
  <c r="O16" i="22" s="1"/>
  <c r="K5" i="22"/>
  <c r="K16" i="22" s="1"/>
  <c r="G5" i="22"/>
  <c r="H5" i="22" s="1"/>
  <c r="H16" i="22" s="1"/>
  <c r="K31" i="22"/>
  <c r="H31" i="22" s="1"/>
  <c r="G31" i="22"/>
  <c r="H37" i="23" l="1"/>
  <c r="L50" i="23"/>
  <c r="M43" i="23"/>
  <c r="O24" i="22"/>
  <c r="O26" i="22"/>
  <c r="Q23" i="22"/>
  <c r="N43" i="23" l="1"/>
  <c r="M50" i="23"/>
  <c r="N50" i="23" s="1"/>
  <c r="Q20" i="22"/>
  <c r="Q19" i="22"/>
  <c r="Q18" i="22"/>
  <c r="K11" i="22"/>
  <c r="L47" i="22"/>
  <c r="K47" i="22"/>
  <c r="J47" i="22"/>
  <c r="K46" i="22"/>
  <c r="L46" i="22" s="1"/>
  <c r="J46" i="22"/>
  <c r="P35" i="22"/>
  <c r="N35" i="22"/>
  <c r="L35" i="22"/>
  <c r="J35" i="22"/>
  <c r="I35" i="22"/>
  <c r="Q34" i="22"/>
  <c r="O34" i="22"/>
  <c r="M34" i="22"/>
  <c r="K34" i="22"/>
  <c r="G34" i="22"/>
  <c r="Q33" i="22"/>
  <c r="O33" i="22"/>
  <c r="M33" i="22"/>
  <c r="K33" i="22"/>
  <c r="G33" i="22"/>
  <c r="Q32" i="22"/>
  <c r="O32" i="22"/>
  <c r="M32" i="22"/>
  <c r="K32" i="22"/>
  <c r="G32" i="22"/>
  <c r="Q30" i="22"/>
  <c r="O30" i="22"/>
  <c r="M30" i="22"/>
  <c r="K30" i="22"/>
  <c r="G30" i="22"/>
  <c r="Q29" i="22"/>
  <c r="O29" i="22"/>
  <c r="M29" i="22"/>
  <c r="K29" i="22"/>
  <c r="G29" i="22"/>
  <c r="P27" i="22"/>
  <c r="P36" i="22" s="1"/>
  <c r="N27" i="22"/>
  <c r="L27" i="22"/>
  <c r="J27" i="22"/>
  <c r="I27" i="22"/>
  <c r="K26" i="22"/>
  <c r="H26" i="22" s="1"/>
  <c r="G26" i="22"/>
  <c r="Q25" i="22"/>
  <c r="O25" i="22"/>
  <c r="M25" i="22"/>
  <c r="K25" i="22"/>
  <c r="G25" i="22"/>
  <c r="Q24" i="22"/>
  <c r="M24" i="22"/>
  <c r="K24" i="22"/>
  <c r="G24" i="22"/>
  <c r="O23" i="22"/>
  <c r="M23" i="22"/>
  <c r="K23" i="22"/>
  <c r="G23" i="22"/>
  <c r="Q22" i="22"/>
  <c r="O22" i="22"/>
  <c r="M22" i="22"/>
  <c r="K22" i="22"/>
  <c r="G22" i="22"/>
  <c r="Q21" i="22"/>
  <c r="O21" i="22"/>
  <c r="M21" i="22"/>
  <c r="K21" i="22"/>
  <c r="G21" i="22"/>
  <c r="O20" i="22"/>
  <c r="M20" i="22"/>
  <c r="K20" i="22"/>
  <c r="G20" i="22"/>
  <c r="O19" i="22"/>
  <c r="M19" i="22"/>
  <c r="K19" i="22"/>
  <c r="G19" i="22"/>
  <c r="O18" i="22"/>
  <c r="M18" i="22"/>
  <c r="K18" i="22"/>
  <c r="G18" i="22"/>
  <c r="Q15" i="22"/>
  <c r="O15" i="22"/>
  <c r="M15" i="22"/>
  <c r="K15" i="22"/>
  <c r="G15" i="22"/>
  <c r="H15" i="22" s="1"/>
  <c r="I15" i="22" s="1"/>
  <c r="I16" i="22" s="1"/>
  <c r="O14" i="22"/>
  <c r="M14" i="22"/>
  <c r="K14" i="22"/>
  <c r="O13" i="22"/>
  <c r="K13" i="22"/>
  <c r="G13" i="22"/>
  <c r="H13" i="22" s="1"/>
  <c r="O12" i="22"/>
  <c r="M12" i="22"/>
  <c r="K12" i="22"/>
  <c r="G12" i="22"/>
  <c r="H12" i="22" s="1"/>
  <c r="O11" i="22"/>
  <c r="M11" i="22"/>
  <c r="G11" i="22"/>
  <c r="H11" i="22" s="1"/>
  <c r="Q10" i="22"/>
  <c r="O10" i="22"/>
  <c r="M10" i="22"/>
  <c r="K10" i="22"/>
  <c r="G10" i="22"/>
  <c r="Q9" i="22"/>
  <c r="O9" i="22"/>
  <c r="M9" i="22"/>
  <c r="K9" i="22"/>
  <c r="G9" i="22"/>
  <c r="Q8" i="22"/>
  <c r="O8" i="22"/>
  <c r="M8" i="22"/>
  <c r="K8" i="22"/>
  <c r="G8" i="22"/>
  <c r="Q7" i="22"/>
  <c r="O7" i="22"/>
  <c r="M7" i="22"/>
  <c r="K7" i="22"/>
  <c r="G7" i="22"/>
  <c r="Q6" i="22"/>
  <c r="O6" i="22"/>
  <c r="M6" i="22"/>
  <c r="K6" i="22"/>
  <c r="G6" i="22"/>
  <c r="Q35" i="22" l="1"/>
  <c r="H33" i="22"/>
  <c r="H9" i="22"/>
  <c r="H32" i="22"/>
  <c r="M27" i="22"/>
  <c r="M47" i="22"/>
  <c r="N47" i="22" s="1"/>
  <c r="H29" i="22"/>
  <c r="H30" i="22"/>
  <c r="O35" i="22"/>
  <c r="M35" i="22"/>
  <c r="H34" i="22"/>
  <c r="G35" i="22"/>
  <c r="H25" i="22"/>
  <c r="H23" i="22"/>
  <c r="H22" i="22"/>
  <c r="H27" i="22" s="1"/>
  <c r="H21" i="22"/>
  <c r="G27" i="22"/>
  <c r="K27" i="22"/>
  <c r="K40" i="22" s="1"/>
  <c r="H10" i="22"/>
  <c r="H8" i="22"/>
  <c r="H7" i="22"/>
  <c r="N36" i="22"/>
  <c r="H6" i="22"/>
  <c r="G16" i="22"/>
  <c r="J42" i="22"/>
  <c r="J49" i="22" s="1"/>
  <c r="J36" i="22"/>
  <c r="M46" i="22"/>
  <c r="I36" i="22"/>
  <c r="K35" i="22"/>
  <c r="L36" i="22"/>
  <c r="K25" i="21"/>
  <c r="H25" i="21" s="1"/>
  <c r="G25" i="21"/>
  <c r="H35" i="22" l="1"/>
  <c r="M36" i="22"/>
  <c r="G36" i="22"/>
  <c r="L40" i="22"/>
  <c r="M40" i="22" s="1"/>
  <c r="N40" i="22" s="1"/>
  <c r="N46" i="22"/>
  <c r="K36" i="22"/>
  <c r="P15" i="21"/>
  <c r="L44" i="22" l="1"/>
  <c r="M39" i="20"/>
  <c r="M37" i="20"/>
  <c r="J37" i="20"/>
  <c r="K37" i="20"/>
  <c r="N15" i="20"/>
  <c r="O15" i="20"/>
  <c r="J15" i="20"/>
  <c r="K15" i="20"/>
  <c r="M41" i="20"/>
  <c r="L41" i="20"/>
  <c r="G32" i="20"/>
  <c r="H32" i="20"/>
  <c r="K32" i="20"/>
  <c r="J32" i="20"/>
  <c r="M51" i="20"/>
  <c r="M44" i="22" l="1"/>
  <c r="G31" i="20"/>
  <c r="N44" i="22" l="1"/>
  <c r="G18" i="21"/>
  <c r="G30" i="21" l="1"/>
  <c r="G32" i="21"/>
  <c r="K45" i="21" l="1"/>
  <c r="J45" i="21"/>
  <c r="L45" i="21" s="1"/>
  <c r="L44" i="21"/>
  <c r="K44" i="21"/>
  <c r="J44" i="21"/>
  <c r="P33" i="21"/>
  <c r="N33" i="21"/>
  <c r="L33" i="21"/>
  <c r="J33" i="21"/>
  <c r="J42" i="21" s="1"/>
  <c r="I33" i="21"/>
  <c r="Q32" i="21"/>
  <c r="O32" i="21"/>
  <c r="M32" i="21"/>
  <c r="K32" i="21"/>
  <c r="Q31" i="21"/>
  <c r="O31" i="21"/>
  <c r="M31" i="21"/>
  <c r="K31" i="21"/>
  <c r="G31" i="21"/>
  <c r="Q30" i="21"/>
  <c r="O30" i="21"/>
  <c r="M30" i="21"/>
  <c r="K30" i="21"/>
  <c r="Q29" i="21"/>
  <c r="O29" i="21"/>
  <c r="M29" i="21"/>
  <c r="K29" i="21"/>
  <c r="G29" i="21"/>
  <c r="Q28" i="21"/>
  <c r="O28" i="21"/>
  <c r="M28" i="21"/>
  <c r="M33" i="21" s="1"/>
  <c r="K28" i="21"/>
  <c r="G28" i="21"/>
  <c r="P26" i="21"/>
  <c r="P34" i="21" s="1"/>
  <c r="N26" i="21"/>
  <c r="L26" i="21"/>
  <c r="J26" i="21"/>
  <c r="I26" i="21"/>
  <c r="Q24" i="21"/>
  <c r="O24" i="21"/>
  <c r="M24" i="21"/>
  <c r="K24" i="21"/>
  <c r="G24" i="21"/>
  <c r="Q23" i="21"/>
  <c r="O23" i="21"/>
  <c r="M23" i="21"/>
  <c r="K23" i="21"/>
  <c r="G23" i="21"/>
  <c r="Q22" i="21"/>
  <c r="O22" i="21"/>
  <c r="M22" i="21"/>
  <c r="K22" i="21"/>
  <c r="G22" i="21"/>
  <c r="Q21" i="21"/>
  <c r="O21" i="21"/>
  <c r="M21" i="21"/>
  <c r="K21" i="21"/>
  <c r="G21" i="21"/>
  <c r="Q20" i="21"/>
  <c r="O20" i="21"/>
  <c r="M20" i="21"/>
  <c r="K20" i="21"/>
  <c r="G20" i="21"/>
  <c r="Q19" i="21"/>
  <c r="O19" i="21"/>
  <c r="M19" i="21"/>
  <c r="K19" i="21"/>
  <c r="G19" i="21"/>
  <c r="Q18" i="21"/>
  <c r="O18" i="21"/>
  <c r="M18" i="21"/>
  <c r="K18" i="21"/>
  <c r="Q17" i="21"/>
  <c r="O17" i="21"/>
  <c r="M17" i="21"/>
  <c r="K17" i="21"/>
  <c r="G17" i="21"/>
  <c r="N15" i="21"/>
  <c r="L15" i="21"/>
  <c r="J15" i="21"/>
  <c r="Q14" i="21"/>
  <c r="O14" i="21"/>
  <c r="M14" i="21"/>
  <c r="K14" i="21"/>
  <c r="G14" i="21"/>
  <c r="O13" i="21"/>
  <c r="M13" i="21"/>
  <c r="K13" i="21"/>
  <c r="O12" i="21"/>
  <c r="M12" i="21"/>
  <c r="K12" i="21"/>
  <c r="G12" i="21"/>
  <c r="H12" i="21" s="1"/>
  <c r="O11" i="21"/>
  <c r="M11" i="21"/>
  <c r="K11" i="21"/>
  <c r="G11" i="21"/>
  <c r="H11" i="21" s="1"/>
  <c r="O10" i="21"/>
  <c r="M10" i="21"/>
  <c r="K10" i="21"/>
  <c r="G10" i="21"/>
  <c r="H10" i="21" s="1"/>
  <c r="Q9" i="21"/>
  <c r="O9" i="21"/>
  <c r="M9" i="21"/>
  <c r="K9" i="21"/>
  <c r="G9" i="21"/>
  <c r="Q8" i="21"/>
  <c r="O8" i="21"/>
  <c r="M8" i="21"/>
  <c r="K8" i="21"/>
  <c r="G8" i="21"/>
  <c r="Q7" i="21"/>
  <c r="O7" i="21"/>
  <c r="M7" i="21"/>
  <c r="K7" i="21"/>
  <c r="G7" i="21"/>
  <c r="Q6" i="21"/>
  <c r="O6" i="21"/>
  <c r="M6" i="21"/>
  <c r="K6" i="21"/>
  <c r="G6" i="21"/>
  <c r="Q5" i="21"/>
  <c r="O5" i="21"/>
  <c r="M5" i="21"/>
  <c r="H5" i="21" s="1"/>
  <c r="K5" i="21"/>
  <c r="G5" i="21"/>
  <c r="J38" i="21" l="1"/>
  <c r="M45" i="21"/>
  <c r="N45" i="21" s="1"/>
  <c r="H24" i="21"/>
  <c r="Q15" i="21"/>
  <c r="H23" i="21"/>
  <c r="H28" i="21"/>
  <c r="H31" i="21"/>
  <c r="O26" i="21"/>
  <c r="H19" i="21"/>
  <c r="G33" i="21"/>
  <c r="H29" i="21"/>
  <c r="Q26" i="21"/>
  <c r="M26" i="21"/>
  <c r="G26" i="21"/>
  <c r="H18" i="21"/>
  <c r="H21" i="21"/>
  <c r="K26" i="21"/>
  <c r="H22" i="21"/>
  <c r="J34" i="21"/>
  <c r="H20" i="21"/>
  <c r="O15" i="21"/>
  <c r="N34" i="21"/>
  <c r="H6" i="21"/>
  <c r="H9" i="21"/>
  <c r="M15" i="21"/>
  <c r="H7" i="21"/>
  <c r="H8" i="21"/>
  <c r="L34" i="21"/>
  <c r="H30" i="21"/>
  <c r="H32" i="21"/>
  <c r="G15" i="21"/>
  <c r="K33" i="21"/>
  <c r="K42" i="21" s="1"/>
  <c r="M44" i="21"/>
  <c r="O33" i="21"/>
  <c r="J40" i="21"/>
  <c r="J47" i="21" s="1"/>
  <c r="H14" i="21"/>
  <c r="H17" i="21"/>
  <c r="Q33" i="21"/>
  <c r="K15" i="21"/>
  <c r="H22" i="19"/>
  <c r="H21" i="19"/>
  <c r="H20" i="19"/>
  <c r="H18" i="19"/>
  <c r="H17" i="19"/>
  <c r="H19" i="19"/>
  <c r="H29" i="19"/>
  <c r="H28" i="19"/>
  <c r="H27" i="19"/>
  <c r="H26" i="19"/>
  <c r="H25" i="19"/>
  <c r="O12" i="20"/>
  <c r="O13" i="20"/>
  <c r="O14" i="20"/>
  <c r="M12" i="20"/>
  <c r="M13" i="20"/>
  <c r="M14" i="20"/>
  <c r="K12" i="20"/>
  <c r="K13" i="20"/>
  <c r="K14" i="20"/>
  <c r="G12" i="20"/>
  <c r="H12" i="20"/>
  <c r="K38" i="21" l="1"/>
  <c r="M34" i="21"/>
  <c r="H33" i="21"/>
  <c r="Q34" i="21"/>
  <c r="K40" i="21"/>
  <c r="L40" i="21" s="1"/>
  <c r="M40" i="21" s="1"/>
  <c r="N40" i="21" s="1"/>
  <c r="G34" i="21"/>
  <c r="H26" i="21"/>
  <c r="H15" i="21"/>
  <c r="N44" i="21"/>
  <c r="K34" i="21"/>
  <c r="O34" i="21"/>
  <c r="I14" i="21"/>
  <c r="I15" i="21" s="1"/>
  <c r="I34" i="21" s="1"/>
  <c r="H15" i="19"/>
  <c r="H34" i="21" l="1"/>
  <c r="L42" i="21"/>
  <c r="M42" i="21" s="1"/>
  <c r="N42" i="21" s="1"/>
  <c r="K47" i="21"/>
  <c r="L38" i="21"/>
  <c r="M38" i="21" s="1"/>
  <c r="N38" i="21" s="1"/>
  <c r="J41" i="20"/>
  <c r="L44" i="20"/>
  <c r="K44" i="20"/>
  <c r="M44" i="20" s="1"/>
  <c r="N44" i="20" s="1"/>
  <c r="J44" i="20"/>
  <c r="L43" i="20"/>
  <c r="M43" i="20" s="1"/>
  <c r="K43" i="20"/>
  <c r="J43" i="20"/>
  <c r="O31" i="20"/>
  <c r="O30" i="20"/>
  <c r="O29" i="20"/>
  <c r="O28" i="20"/>
  <c r="H30" i="20"/>
  <c r="H29" i="20"/>
  <c r="H28" i="20"/>
  <c r="H27" i="20"/>
  <c r="O11" i="20"/>
  <c r="O10" i="20"/>
  <c r="O9" i="20"/>
  <c r="O8" i="20"/>
  <c r="O7" i="20"/>
  <c r="O6" i="20"/>
  <c r="M11" i="20"/>
  <c r="M10" i="20"/>
  <c r="M9" i="20"/>
  <c r="M8" i="20"/>
  <c r="M7" i="20"/>
  <c r="M6" i="20"/>
  <c r="H5" i="20"/>
  <c r="K9" i="20"/>
  <c r="H9" i="20" s="1"/>
  <c r="K10" i="20"/>
  <c r="H10" i="20"/>
  <c r="H24" i="20"/>
  <c r="H22" i="20"/>
  <c r="H20" i="20"/>
  <c r="H19" i="20"/>
  <c r="H17" i="20"/>
  <c r="H23" i="20"/>
  <c r="O23" i="20"/>
  <c r="K23" i="20"/>
  <c r="K28" i="20"/>
  <c r="Q9" i="20"/>
  <c r="M22" i="20"/>
  <c r="O22" i="20"/>
  <c r="G22" i="20"/>
  <c r="K22" i="20"/>
  <c r="Q22" i="20"/>
  <c r="Q19" i="20"/>
  <c r="O19" i="20"/>
  <c r="M19" i="20"/>
  <c r="K19" i="20"/>
  <c r="G19" i="20"/>
  <c r="G9" i="20"/>
  <c r="Q8" i="20"/>
  <c r="K8" i="20"/>
  <c r="G8" i="20"/>
  <c r="Q7" i="20"/>
  <c r="K7" i="20"/>
  <c r="G7" i="20"/>
  <c r="Q6" i="20"/>
  <c r="K6" i="20"/>
  <c r="G6" i="20"/>
  <c r="Q5" i="20"/>
  <c r="O5" i="20"/>
  <c r="M5" i="20"/>
  <c r="K5" i="20"/>
  <c r="G5" i="20"/>
  <c r="G10" i="20"/>
  <c r="G11" i="20"/>
  <c r="H11" i="20" s="1"/>
  <c r="K11" i="20"/>
  <c r="G14" i="20"/>
  <c r="H14" i="20" s="1"/>
  <c r="Q14" i="20"/>
  <c r="P32" i="20"/>
  <c r="N32" i="20"/>
  <c r="L32" i="20"/>
  <c r="I32" i="20"/>
  <c r="Q31" i="20"/>
  <c r="M31" i="20"/>
  <c r="K31" i="20"/>
  <c r="Q30" i="20"/>
  <c r="M30" i="20"/>
  <c r="K30" i="20"/>
  <c r="G30" i="20"/>
  <c r="Q29" i="20"/>
  <c r="M29" i="20"/>
  <c r="K29" i="20"/>
  <c r="G29" i="20"/>
  <c r="Q28" i="20"/>
  <c r="M28" i="20"/>
  <c r="G28" i="20"/>
  <c r="Q27" i="20"/>
  <c r="O27" i="20"/>
  <c r="M27" i="20"/>
  <c r="K27" i="20"/>
  <c r="G27" i="20"/>
  <c r="P25" i="20"/>
  <c r="N25" i="20"/>
  <c r="L25" i="20"/>
  <c r="J25" i="20"/>
  <c r="I25" i="20"/>
  <c r="Q24" i="20"/>
  <c r="O24" i="20"/>
  <c r="M24" i="20"/>
  <c r="K24" i="20"/>
  <c r="G24" i="20"/>
  <c r="Q21" i="20"/>
  <c r="O21" i="20"/>
  <c r="M21" i="20"/>
  <c r="K21" i="20"/>
  <c r="H21" i="20" s="1"/>
  <c r="G21" i="20"/>
  <c r="Q20" i="20"/>
  <c r="O20" i="20"/>
  <c r="M20" i="20"/>
  <c r="K20" i="20"/>
  <c r="G20" i="20"/>
  <c r="Q23" i="20"/>
  <c r="M23" i="20"/>
  <c r="G23" i="20"/>
  <c r="Q18" i="20"/>
  <c r="O18" i="20"/>
  <c r="M18" i="20"/>
  <c r="K18" i="20"/>
  <c r="G18" i="20"/>
  <c r="Q17" i="20"/>
  <c r="O17" i="20"/>
  <c r="M17" i="20"/>
  <c r="K17" i="20"/>
  <c r="G17" i="20"/>
  <c r="L15" i="20"/>
  <c r="J39" i="20" s="1"/>
  <c r="H31" i="20" l="1"/>
  <c r="H18" i="20"/>
  <c r="H7" i="20"/>
  <c r="M47" i="21"/>
  <c r="N47" i="21" s="1"/>
  <c r="L47" i="21"/>
  <c r="H6" i="20"/>
  <c r="J46" i="20"/>
  <c r="N43" i="20"/>
  <c r="H8" i="20"/>
  <c r="P33" i="20"/>
  <c r="Q32" i="20"/>
  <c r="O32" i="20"/>
  <c r="Q25" i="20"/>
  <c r="M32" i="20"/>
  <c r="O25" i="20"/>
  <c r="I14" i="20"/>
  <c r="I15" i="20" s="1"/>
  <c r="I33" i="20" s="1"/>
  <c r="K25" i="20"/>
  <c r="M25" i="20"/>
  <c r="J33" i="20"/>
  <c r="G15" i="20"/>
  <c r="N33" i="20"/>
  <c r="M15" i="20"/>
  <c r="H25" i="20"/>
  <c r="L33" i="20"/>
  <c r="G25" i="20"/>
  <c r="K23" i="19"/>
  <c r="Y28" i="19"/>
  <c r="I31" i="19"/>
  <c r="I30" i="19"/>
  <c r="H30" i="19"/>
  <c r="G30" i="19"/>
  <c r="W28" i="19"/>
  <c r="W26" i="19"/>
  <c r="X28" i="19"/>
  <c r="V28" i="19"/>
  <c r="U28" i="19"/>
  <c r="V26" i="19"/>
  <c r="U26" i="19"/>
  <c r="Q30" i="19"/>
  <c r="H15" i="20" l="1"/>
  <c r="K41" i="20"/>
  <c r="K39" i="20"/>
  <c r="Q33" i="20"/>
  <c r="O33" i="20"/>
  <c r="H33" i="20"/>
  <c r="M33" i="20"/>
  <c r="G33" i="20"/>
  <c r="K33" i="20"/>
  <c r="J15" i="19"/>
  <c r="H8" i="19"/>
  <c r="K11" i="19"/>
  <c r="H7" i="19"/>
  <c r="N41" i="20" l="1"/>
  <c r="L46" i="20"/>
  <c r="M29" i="19" l="1"/>
  <c r="M28" i="19"/>
  <c r="M27" i="19"/>
  <c r="M26" i="19"/>
  <c r="M25" i="19"/>
  <c r="M22" i="19"/>
  <c r="M21" i="19"/>
  <c r="M20" i="19"/>
  <c r="M19" i="19"/>
  <c r="M18" i="19"/>
  <c r="M17" i="19"/>
  <c r="M11" i="19"/>
  <c r="M10" i="19"/>
  <c r="M6" i="19"/>
  <c r="M5" i="19"/>
  <c r="G29" i="19"/>
  <c r="G28" i="19"/>
  <c r="G27" i="19"/>
  <c r="G26" i="19"/>
  <c r="G25" i="19"/>
  <c r="G22" i="19"/>
  <c r="G21" i="19"/>
  <c r="G20" i="19"/>
  <c r="G19" i="19"/>
  <c r="G18" i="19"/>
  <c r="G17" i="19"/>
  <c r="G10" i="19"/>
  <c r="H10" i="19" s="1"/>
  <c r="G9" i="19"/>
  <c r="G8" i="19"/>
  <c r="G7" i="19"/>
  <c r="G6" i="19"/>
  <c r="G5" i="19"/>
  <c r="G11" i="19"/>
  <c r="H11" i="19" s="1"/>
  <c r="O11" i="19"/>
  <c r="O10" i="19"/>
  <c r="L30" i="19"/>
  <c r="L23" i="19"/>
  <c r="L15" i="19"/>
  <c r="U24" i="19" s="1"/>
  <c r="Q26" i="19"/>
  <c r="J19" i="18"/>
  <c r="M19" i="18"/>
  <c r="L19" i="18"/>
  <c r="K19" i="18"/>
  <c r="H22" i="18"/>
  <c r="U13" i="18"/>
  <c r="U10" i="18"/>
  <c r="N39" i="20" l="1"/>
  <c r="L31" i="19"/>
  <c r="P30" i="19"/>
  <c r="H5" i="19"/>
  <c r="G14" i="19"/>
  <c r="H14" i="19" s="1"/>
  <c r="N30" i="19"/>
  <c r="J30" i="19"/>
  <c r="Q29" i="19"/>
  <c r="O29" i="19"/>
  <c r="K29" i="19"/>
  <c r="Q28" i="19"/>
  <c r="O28" i="19"/>
  <c r="K28" i="19"/>
  <c r="Q27" i="19"/>
  <c r="O27" i="19"/>
  <c r="K27" i="19"/>
  <c r="Q25" i="19"/>
  <c r="O25" i="19"/>
  <c r="K25" i="19"/>
  <c r="P23" i="19"/>
  <c r="N23" i="19"/>
  <c r="J23" i="19"/>
  <c r="U22" i="19" s="1"/>
  <c r="U31" i="19" s="1"/>
  <c r="I23" i="19"/>
  <c r="Q22" i="19"/>
  <c r="O22" i="19"/>
  <c r="K22" i="19"/>
  <c r="Q21" i="19"/>
  <c r="O21" i="19"/>
  <c r="K21" i="19"/>
  <c r="Q20" i="19"/>
  <c r="O20" i="19"/>
  <c r="K20" i="19"/>
  <c r="Q19" i="19"/>
  <c r="Q18" i="19"/>
  <c r="O18" i="19"/>
  <c r="K18" i="19"/>
  <c r="U29" i="19"/>
  <c r="W29" i="19" s="1"/>
  <c r="Q17" i="19"/>
  <c r="O17" i="19"/>
  <c r="K17" i="19"/>
  <c r="M23" i="19"/>
  <c r="N15" i="19"/>
  <c r="G15" i="19" s="1"/>
  <c r="Q14" i="19"/>
  <c r="O14" i="19"/>
  <c r="K14" i="19"/>
  <c r="Q9" i="19"/>
  <c r="O9" i="19"/>
  <c r="K9" i="19"/>
  <c r="Q8" i="19"/>
  <c r="O8" i="19"/>
  <c r="K8" i="19"/>
  <c r="Q7" i="19"/>
  <c r="O7" i="19"/>
  <c r="K7" i="19"/>
  <c r="Q6" i="19"/>
  <c r="O6" i="19"/>
  <c r="K6" i="19"/>
  <c r="Q5" i="19"/>
  <c r="O5" i="19"/>
  <c r="L26" i="18"/>
  <c r="J26" i="18"/>
  <c r="G26" i="18"/>
  <c r="O25" i="18"/>
  <c r="M25" i="18"/>
  <c r="K25" i="18"/>
  <c r="H25" i="18"/>
  <c r="O24" i="18"/>
  <c r="M24" i="18"/>
  <c r="K24" i="18"/>
  <c r="H24" i="18"/>
  <c r="O23" i="18"/>
  <c r="M23" i="18"/>
  <c r="K23" i="18"/>
  <c r="K26" i="18" s="1"/>
  <c r="H23" i="18"/>
  <c r="O22" i="18"/>
  <c r="O21" i="18"/>
  <c r="O26" i="18" s="1"/>
  <c r="M21" i="18"/>
  <c r="M26" i="18" s="1"/>
  <c r="K21" i="18"/>
  <c r="H21" i="18"/>
  <c r="H26" i="18" s="1"/>
  <c r="N19" i="18"/>
  <c r="N27" i="18" s="1"/>
  <c r="L27" i="18"/>
  <c r="S6" i="18"/>
  <c r="I19" i="18"/>
  <c r="G19" i="18"/>
  <c r="O18" i="18"/>
  <c r="M18" i="18"/>
  <c r="K18" i="18"/>
  <c r="H18" i="18"/>
  <c r="O17" i="18"/>
  <c r="M17" i="18"/>
  <c r="K17" i="18"/>
  <c r="H17" i="18"/>
  <c r="O16" i="18"/>
  <c r="M16" i="18"/>
  <c r="K16" i="18"/>
  <c r="H16" i="18"/>
  <c r="O15" i="18"/>
  <c r="M15" i="18"/>
  <c r="K15" i="18"/>
  <c r="H15" i="18"/>
  <c r="O14" i="18"/>
  <c r="M14" i="18"/>
  <c r="K14" i="18"/>
  <c r="H14" i="18"/>
  <c r="H19" i="18" s="1"/>
  <c r="S13" i="18"/>
  <c r="O13" i="18"/>
  <c r="O19" i="18" s="1"/>
  <c r="M13" i="18"/>
  <c r="K13" i="18"/>
  <c r="H13" i="18"/>
  <c r="L11" i="18"/>
  <c r="J11" i="18"/>
  <c r="G11" i="18"/>
  <c r="G27" i="18" s="1"/>
  <c r="S10" i="18"/>
  <c r="O10" i="18"/>
  <c r="M10" i="18"/>
  <c r="K10" i="18"/>
  <c r="I10" i="18"/>
  <c r="O9" i="18"/>
  <c r="M9" i="18"/>
  <c r="K9" i="18"/>
  <c r="H9" i="18"/>
  <c r="S8" i="18"/>
  <c r="S15" i="18" s="1"/>
  <c r="O8" i="18"/>
  <c r="M8" i="18"/>
  <c r="K8" i="18"/>
  <c r="H8" i="18"/>
  <c r="O7" i="18"/>
  <c r="M7" i="18"/>
  <c r="K7" i="18"/>
  <c r="H7" i="18"/>
  <c r="O6" i="18"/>
  <c r="M6" i="18"/>
  <c r="K6" i="18"/>
  <c r="K11" i="18" s="1"/>
  <c r="H6" i="18"/>
  <c r="H11" i="18" s="1"/>
  <c r="O5" i="18"/>
  <c r="M5" i="18"/>
  <c r="I11" i="18"/>
  <c r="I14" i="19" l="1"/>
  <c r="M14" i="19"/>
  <c r="M15" i="19" s="1"/>
  <c r="V24" i="19" s="1"/>
  <c r="W24" i="19" s="1"/>
  <c r="Q23" i="19"/>
  <c r="P31" i="19"/>
  <c r="M11" i="18"/>
  <c r="T8" i="18" s="1"/>
  <c r="U8" i="18" s="1"/>
  <c r="T6" i="18"/>
  <c r="M30" i="19"/>
  <c r="O30" i="19"/>
  <c r="V29" i="19" s="1"/>
  <c r="K30" i="19"/>
  <c r="X26" i="19" s="1"/>
  <c r="Y26" i="19" s="1"/>
  <c r="N31" i="19"/>
  <c r="O23" i="19"/>
  <c r="G23" i="19"/>
  <c r="H23" i="19"/>
  <c r="I15" i="19"/>
  <c r="K15" i="19"/>
  <c r="V22" i="19" s="1"/>
  <c r="O15" i="19"/>
  <c r="Q31" i="19"/>
  <c r="J31" i="19"/>
  <c r="H27" i="18"/>
  <c r="M27" i="18"/>
  <c r="T13" i="18"/>
  <c r="T10" i="18"/>
  <c r="V10" i="18" s="1"/>
  <c r="W10" i="18" s="1"/>
  <c r="O27" i="18"/>
  <c r="J27" i="18"/>
  <c r="W15" i="13"/>
  <c r="W13" i="13"/>
  <c r="W10" i="13"/>
  <c r="W8" i="13"/>
  <c r="W6" i="13"/>
  <c r="V31" i="19" l="1"/>
  <c r="W22" i="19"/>
  <c r="W31" i="19" s="1"/>
  <c r="H31" i="19"/>
  <c r="M31" i="19"/>
  <c r="K31" i="19"/>
  <c r="O31" i="19"/>
  <c r="G31" i="19"/>
  <c r="U6" i="18"/>
  <c r="U15" i="18" s="1"/>
  <c r="K27" i="18"/>
  <c r="X24" i="19"/>
  <c r="X22" i="19"/>
  <c r="Y22" i="19" s="1"/>
  <c r="X29" i="19"/>
  <c r="T15" i="18"/>
  <c r="V13" i="18"/>
  <c r="V8" i="18"/>
  <c r="W8" i="18" s="1"/>
  <c r="G26" i="13"/>
  <c r="S8" i="13"/>
  <c r="G27" i="13"/>
  <c r="H19" i="13"/>
  <c r="G19" i="13"/>
  <c r="H26" i="13"/>
  <c r="H27" i="13" s="1"/>
  <c r="O27" i="13"/>
  <c r="N27" i="13"/>
  <c r="M27" i="13"/>
  <c r="L27" i="13"/>
  <c r="K27" i="13"/>
  <c r="J27" i="13"/>
  <c r="U13" i="13"/>
  <c r="U10" i="13"/>
  <c r="U15" i="13"/>
  <c r="T15" i="13"/>
  <c r="S15" i="13"/>
  <c r="V13" i="13"/>
  <c r="V15" i="13" s="1"/>
  <c r="V10" i="13"/>
  <c r="T13" i="13"/>
  <c r="S13" i="13"/>
  <c r="T10" i="13"/>
  <c r="S10" i="13"/>
  <c r="V8" i="13"/>
  <c r="U8" i="13"/>
  <c r="O26" i="13"/>
  <c r="T8" i="13"/>
  <c r="V6" i="13"/>
  <c r="U6" i="13"/>
  <c r="T6" i="13"/>
  <c r="S6" i="13"/>
  <c r="L11" i="13"/>
  <c r="J11" i="13"/>
  <c r="M11" i="13"/>
  <c r="K11" i="13"/>
  <c r="H11" i="13"/>
  <c r="K26" i="13"/>
  <c r="O25" i="13"/>
  <c r="O24" i="13"/>
  <c r="O23" i="13"/>
  <c r="O22" i="13"/>
  <c r="O21" i="13"/>
  <c r="M25" i="13"/>
  <c r="M24" i="13"/>
  <c r="M26" i="13" s="1"/>
  <c r="M23" i="13"/>
  <c r="M21" i="13"/>
  <c r="K25" i="13"/>
  <c r="K24" i="13"/>
  <c r="K23" i="13"/>
  <c r="K21" i="13"/>
  <c r="O19" i="13"/>
  <c r="M19" i="13"/>
  <c r="K19" i="13"/>
  <c r="O10" i="13"/>
  <c r="O9" i="13"/>
  <c r="O8" i="13"/>
  <c r="O7" i="13"/>
  <c r="O6" i="13"/>
  <c r="O5" i="13"/>
  <c r="O18" i="13"/>
  <c r="O17" i="13"/>
  <c r="O16" i="13"/>
  <c r="O15" i="13"/>
  <c r="O14" i="13"/>
  <c r="O13" i="13"/>
  <c r="H17" i="13"/>
  <c r="H16" i="13"/>
  <c r="H15" i="13"/>
  <c r="M18" i="13"/>
  <c r="M17" i="13"/>
  <c r="M16" i="13"/>
  <c r="M15" i="13"/>
  <c r="M14" i="13"/>
  <c r="M13" i="13"/>
  <c r="K18" i="13"/>
  <c r="K17" i="13"/>
  <c r="K16" i="13"/>
  <c r="K15" i="13"/>
  <c r="K14" i="13"/>
  <c r="K13" i="13"/>
  <c r="M5" i="13"/>
  <c r="M10" i="13"/>
  <c r="M9" i="13"/>
  <c r="M8" i="13"/>
  <c r="M7" i="13"/>
  <c r="M6" i="13"/>
  <c r="K10" i="13"/>
  <c r="K9" i="13"/>
  <c r="K8" i="13"/>
  <c r="K7" i="13"/>
  <c r="K6" i="13"/>
  <c r="H25" i="13"/>
  <c r="H24" i="13"/>
  <c r="H23" i="13"/>
  <c r="H18" i="13"/>
  <c r="H14" i="13"/>
  <c r="H6" i="13"/>
  <c r="H7" i="13"/>
  <c r="H8" i="13"/>
  <c r="H9" i="13"/>
  <c r="H13" i="13"/>
  <c r="H21" i="13"/>
  <c r="L26" i="13"/>
  <c r="J26" i="13"/>
  <c r="N19" i="13"/>
  <c r="L19" i="13"/>
  <c r="J19" i="13"/>
  <c r="I19" i="13"/>
  <c r="G11" i="13"/>
  <c r="I10" i="13"/>
  <c r="I5" i="13"/>
  <c r="I11" i="13" s="1"/>
  <c r="Y24" i="19" l="1"/>
  <c r="X31" i="19"/>
  <c r="Y31" i="19" s="1"/>
  <c r="V6" i="18"/>
  <c r="W6" i="18" s="1"/>
  <c r="Y29" i="19"/>
  <c r="V15" i="18"/>
  <c r="W15" i="18" s="1"/>
  <c r="W13" i="18"/>
  <c r="F26" i="12"/>
  <c r="K26" i="12"/>
  <c r="J26" i="12"/>
  <c r="I26" i="12"/>
  <c r="K19" i="12"/>
  <c r="J19" i="12"/>
  <c r="I19" i="12"/>
  <c r="F11" i="12"/>
  <c r="J11" i="12"/>
  <c r="I11" i="12"/>
  <c r="H19" i="12"/>
  <c r="H10" i="12"/>
  <c r="H5" i="12"/>
  <c r="H11" i="12" l="1"/>
  <c r="F19" i="12"/>
  <c r="M46" i="20"/>
  <c r="N46" i="20" s="1"/>
  <c r="N37" i="20"/>
  <c r="K46" i="20"/>
  <c r="H19" i="22"/>
  <c r="H18" i="22"/>
  <c r="Q27" i="22"/>
  <c r="Q36" i="22" s="1"/>
  <c r="H20" i="22"/>
  <c r="H24" i="22"/>
  <c r="O27" i="22"/>
  <c r="O36" i="22" s="1"/>
  <c r="H36" i="22" l="1"/>
  <c r="K42" i="22"/>
  <c r="K49" i="22" l="1"/>
  <c r="L42" i="22"/>
  <c r="L49" i="22" s="1"/>
  <c r="M42" i="22" l="1"/>
  <c r="M49" i="22" s="1"/>
  <c r="N49" i="22" s="1"/>
  <c r="N42" i="22" l="1"/>
</calcChain>
</file>

<file path=xl/comments1.xml><?xml version="1.0" encoding="utf-8"?>
<comments xmlns="http://schemas.openxmlformats.org/spreadsheetml/2006/main">
  <authors>
    <author>user</author>
  </authors>
  <commentList>
    <comment ref="M36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윤서</t>
        </r>
        <r>
          <rPr>
            <sz val="9"/>
            <color indexed="81"/>
            <rFont val="Tahoma"/>
            <family val="2"/>
          </rPr>
          <t>: 109,424</t>
        </r>
        <r>
          <rPr>
            <sz val="9"/>
            <color indexed="81"/>
            <rFont val="돋움"/>
            <family val="3"/>
            <charset val="129"/>
          </rPr>
          <t>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82,068</t>
        </r>
        <r>
          <rPr>
            <sz val="9"/>
            <color indexed="81"/>
            <rFont val="돋움"/>
            <family val="3"/>
            <charset val="129"/>
          </rPr>
          <t>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강쌤</t>
        </r>
        <r>
          <rPr>
            <sz val="9"/>
            <color indexed="81"/>
            <rFont val="Tahoma"/>
            <family val="2"/>
          </rPr>
          <t>)</t>
        </r>
      </text>
    </comment>
    <comment ref="M39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윤서</t>
        </r>
        <r>
          <rPr>
            <sz val="9"/>
            <color indexed="81"/>
            <rFont val="Tahoma"/>
            <family val="2"/>
          </rPr>
          <t>: 109,424</t>
        </r>
        <r>
          <rPr>
            <sz val="9"/>
            <color indexed="81"/>
            <rFont val="돋움"/>
            <family val="3"/>
            <charset val="129"/>
          </rPr>
          <t>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82,068</t>
        </r>
        <r>
          <rPr>
            <sz val="9"/>
            <color indexed="81"/>
            <rFont val="돋움"/>
            <family val="3"/>
            <charset val="129"/>
          </rPr>
          <t>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하영쌤</t>
        </r>
        <r>
          <rPr>
            <sz val="9"/>
            <color indexed="81"/>
            <rFont val="Tahoma"/>
            <family val="2"/>
          </rPr>
          <t>) 20%</t>
        </r>
      </text>
    </comment>
    <comment ref="M4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김윤</t>
        </r>
        <r>
          <rPr>
            <sz val="9"/>
            <color indexed="81"/>
            <rFont val="Tahoma"/>
            <family val="2"/>
          </rPr>
          <t xml:space="preserve"> 224,710
</t>
        </r>
        <r>
          <rPr>
            <sz val="9"/>
            <color indexed="81"/>
            <rFont val="돋움"/>
            <family val="3"/>
            <charset val="129"/>
          </rPr>
          <t>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김신욱선생님</t>
        </r>
        <r>
          <rPr>
            <sz val="9"/>
            <color indexed="81"/>
            <rFont val="Tahoma"/>
            <family val="2"/>
          </rPr>
          <t xml:space="preserve"> all) 50%</t>
        </r>
      </text>
    </comment>
  </commentList>
</comments>
</file>

<file path=xl/sharedStrings.xml><?xml version="1.0" encoding="utf-8"?>
<sst xmlns="http://schemas.openxmlformats.org/spreadsheetml/2006/main" count="985" uniqueCount="247">
  <si>
    <t>이름</t>
    <phoneticPr fontId="1" type="noConversion"/>
  </si>
  <si>
    <t>이름</t>
    <phoneticPr fontId="1" type="noConversion"/>
  </si>
  <si>
    <t>학교</t>
    <phoneticPr fontId="1" type="noConversion"/>
  </si>
  <si>
    <t>학년</t>
    <phoneticPr fontId="1" type="noConversion"/>
  </si>
  <si>
    <t>김가빈</t>
    <phoneticPr fontId="1" type="noConversion"/>
  </si>
  <si>
    <t>경화여중</t>
    <phoneticPr fontId="1" type="noConversion"/>
  </si>
  <si>
    <t>김보빈</t>
    <phoneticPr fontId="1" type="noConversion"/>
  </si>
  <si>
    <t>광남고</t>
    <phoneticPr fontId="1" type="noConversion"/>
  </si>
  <si>
    <t>1학년</t>
  </si>
  <si>
    <t>1학년</t>
    <phoneticPr fontId="1" type="noConversion"/>
  </si>
  <si>
    <t>김세민</t>
    <phoneticPr fontId="1" type="noConversion"/>
  </si>
  <si>
    <t>5학년</t>
    <phoneticPr fontId="1" type="noConversion"/>
  </si>
  <si>
    <t>김승연</t>
    <phoneticPr fontId="1" type="noConversion"/>
  </si>
  <si>
    <t>오한별</t>
    <phoneticPr fontId="1" type="noConversion"/>
  </si>
  <si>
    <t>신현중</t>
    <phoneticPr fontId="1" type="noConversion"/>
  </si>
  <si>
    <t>2학년</t>
    <phoneticPr fontId="1" type="noConversion"/>
  </si>
  <si>
    <t>유나은</t>
    <phoneticPr fontId="1" type="noConversion"/>
  </si>
  <si>
    <t>돌마고</t>
    <phoneticPr fontId="1" type="noConversion"/>
  </si>
  <si>
    <t>유지은</t>
    <phoneticPr fontId="1" type="noConversion"/>
  </si>
  <si>
    <t>전세린</t>
    <phoneticPr fontId="1" type="noConversion"/>
  </si>
  <si>
    <t>수내고</t>
    <phoneticPr fontId="1" type="noConversion"/>
  </si>
  <si>
    <t>1학년</t>
    <phoneticPr fontId="1" type="noConversion"/>
  </si>
  <si>
    <t>정지헌</t>
  </si>
  <si>
    <t>송림고</t>
  </si>
  <si>
    <t>조민서</t>
    <phoneticPr fontId="1" type="noConversion"/>
  </si>
  <si>
    <t>장안초</t>
    <phoneticPr fontId="1" type="noConversion"/>
  </si>
  <si>
    <t>5학년</t>
    <phoneticPr fontId="1" type="noConversion"/>
  </si>
  <si>
    <t>조연호</t>
    <phoneticPr fontId="1" type="noConversion"/>
  </si>
  <si>
    <t>신현초</t>
    <phoneticPr fontId="1" type="noConversion"/>
  </si>
  <si>
    <t>조윤서</t>
    <phoneticPr fontId="1" type="noConversion"/>
  </si>
  <si>
    <t>샛별중</t>
    <phoneticPr fontId="1" type="noConversion"/>
  </si>
  <si>
    <t>3학년</t>
    <phoneticPr fontId="1" type="noConversion"/>
  </si>
  <si>
    <t>조하연</t>
    <phoneticPr fontId="1" type="noConversion"/>
  </si>
  <si>
    <t>고등부</t>
    <phoneticPr fontId="1" type="noConversion"/>
  </si>
  <si>
    <t>중등부</t>
    <phoneticPr fontId="1" type="noConversion"/>
  </si>
  <si>
    <t>초등부</t>
    <phoneticPr fontId="1" type="noConversion"/>
  </si>
  <si>
    <t>NO</t>
    <phoneticPr fontId="1" type="noConversion"/>
  </si>
  <si>
    <t>구분</t>
    <phoneticPr fontId="1" type="noConversion"/>
  </si>
  <si>
    <t>비  고</t>
    <phoneticPr fontId="1" type="noConversion"/>
  </si>
  <si>
    <t>수업진행시간</t>
    <phoneticPr fontId="1" type="noConversion"/>
  </si>
  <si>
    <t>수학</t>
    <phoneticPr fontId="1" type="noConversion"/>
  </si>
  <si>
    <t>영어</t>
    <phoneticPr fontId="1" type="noConversion"/>
  </si>
  <si>
    <t>역사</t>
    <phoneticPr fontId="1" type="noConversion"/>
  </si>
  <si>
    <t>이윤하</t>
    <phoneticPr fontId="1" type="noConversion"/>
  </si>
  <si>
    <t>광남고</t>
    <phoneticPr fontId="1" type="noConversion"/>
  </si>
  <si>
    <t>김선우</t>
    <phoneticPr fontId="1" type="noConversion"/>
  </si>
  <si>
    <t>기존학원비</t>
    <phoneticPr fontId="1" type="noConversion"/>
  </si>
  <si>
    <t>차이금액</t>
    <phoneticPr fontId="1" type="noConversion"/>
  </si>
  <si>
    <t>조민건</t>
    <phoneticPr fontId="1" type="noConversion"/>
  </si>
  <si>
    <t>정우진</t>
    <phoneticPr fontId="1" type="noConversion"/>
  </si>
  <si>
    <t>조민건</t>
    <phoneticPr fontId="1" type="noConversion"/>
  </si>
  <si>
    <t>정우진</t>
    <phoneticPr fontId="1" type="noConversion"/>
  </si>
  <si>
    <t>*계좌이체 현금영수증처리</t>
    <phoneticPr fontId="1" type="noConversion"/>
  </si>
  <si>
    <t>*개구리카드사용</t>
    <phoneticPr fontId="1" type="noConversion"/>
  </si>
  <si>
    <t>*개구리카드사용</t>
    <phoneticPr fontId="1" type="noConversion"/>
  </si>
  <si>
    <t>*현금(강부원장님)</t>
    <phoneticPr fontId="1" type="noConversion"/>
  </si>
  <si>
    <t>*현금(강부원장님)</t>
    <phoneticPr fontId="1" type="noConversion"/>
  </si>
  <si>
    <t>*현금(강부원장님)</t>
    <phoneticPr fontId="1" type="noConversion"/>
  </si>
  <si>
    <t>*개구리카드사용</t>
    <phoneticPr fontId="1" type="noConversion"/>
  </si>
  <si>
    <t>*계좌이체</t>
    <phoneticPr fontId="1" type="noConversion"/>
  </si>
  <si>
    <t>*개구리카드사용</t>
    <phoneticPr fontId="1" type="noConversion"/>
  </si>
  <si>
    <t>12월수강료 선납부 +350,000원(국민체크)</t>
    <phoneticPr fontId="1" type="noConversion"/>
  </si>
  <si>
    <t>12월수강료 선납부 + 230,000원(국민신용)</t>
    <phoneticPr fontId="1" type="noConversion"/>
  </si>
  <si>
    <t>*신한프리미엄카드</t>
    <phoneticPr fontId="1" type="noConversion"/>
  </si>
  <si>
    <t>*신한프리미엄카드</t>
    <phoneticPr fontId="1" type="noConversion"/>
  </si>
  <si>
    <t>*삼성카드납부(학부모앱이용)</t>
    <phoneticPr fontId="1" type="noConversion"/>
  </si>
  <si>
    <t>* 강부원장님 현금소지금 (1,800,000원)</t>
    <phoneticPr fontId="1" type="noConversion"/>
  </si>
  <si>
    <t>*미납</t>
    <phoneticPr fontId="1" type="noConversion"/>
  </si>
  <si>
    <r>
      <t>*</t>
    </r>
    <r>
      <rPr>
        <b/>
        <sz val="11"/>
        <color rgb="FF7030A0"/>
        <rFont val="맑은 고딕"/>
        <family val="3"/>
        <charset val="129"/>
        <scheme val="minor"/>
      </rPr>
      <t>보라</t>
    </r>
    <r>
      <rPr>
        <b/>
        <sz val="11"/>
        <color theme="1"/>
        <rFont val="맑은 고딕"/>
        <family val="3"/>
        <charset val="129"/>
        <scheme val="minor"/>
      </rPr>
      <t>(강부원장님),</t>
    </r>
    <r>
      <rPr>
        <b/>
        <sz val="11"/>
        <color theme="5" tint="-0.249977111117893"/>
        <rFont val="맑은 고딕"/>
        <family val="3"/>
        <charset val="129"/>
        <scheme val="minor"/>
      </rPr>
      <t>갈색</t>
    </r>
    <r>
      <rPr>
        <b/>
        <sz val="11"/>
        <color theme="1"/>
        <rFont val="맑은 고딕"/>
        <family val="3"/>
        <charset val="129"/>
        <scheme val="minor"/>
      </rPr>
      <t>(이하영샘),</t>
    </r>
    <r>
      <rPr>
        <b/>
        <sz val="11"/>
        <color rgb="FF0070C0"/>
        <rFont val="맑은 고딕"/>
        <family val="3"/>
        <charset val="129"/>
        <scheme val="minor"/>
      </rPr>
      <t>파랑</t>
    </r>
    <r>
      <rPr>
        <b/>
        <sz val="11"/>
        <color theme="1"/>
        <rFont val="맑은 고딕"/>
        <family val="3"/>
        <charset val="129"/>
        <scheme val="minor"/>
      </rPr>
      <t>(김신욱샘),</t>
    </r>
    <r>
      <rPr>
        <b/>
        <sz val="11"/>
        <color theme="9" tint="-0.249977111117893"/>
        <rFont val="맑은 고딕"/>
        <family val="3"/>
        <charset val="129"/>
        <scheme val="minor"/>
      </rPr>
      <t xml:space="preserve"> 초록</t>
    </r>
    <r>
      <rPr>
        <b/>
        <sz val="11"/>
        <color theme="1"/>
        <rFont val="맑은 고딕"/>
        <family val="3"/>
        <charset val="129"/>
        <scheme val="minor"/>
      </rPr>
      <t>(이은영샘)</t>
    </r>
    <phoneticPr fontId="1" type="noConversion"/>
  </si>
  <si>
    <t>합     계</t>
    <phoneticPr fontId="1" type="noConversion"/>
  </si>
  <si>
    <t>소   계</t>
    <phoneticPr fontId="1" type="noConversion"/>
  </si>
  <si>
    <t>소   계</t>
    <phoneticPr fontId="1" type="noConversion"/>
  </si>
  <si>
    <t>11월수강료</t>
    <phoneticPr fontId="1" type="noConversion"/>
  </si>
  <si>
    <t>계산내역</t>
    <phoneticPr fontId="1" type="noConversion"/>
  </si>
  <si>
    <t>신현학원 11월 수강료내역</t>
    <phoneticPr fontId="1" type="noConversion"/>
  </si>
  <si>
    <t>수수료제외금액</t>
  </si>
  <si>
    <t>수수료제외금액</t>
    <phoneticPr fontId="1" type="noConversion"/>
  </si>
  <si>
    <t xml:space="preserve">수수료 </t>
    <phoneticPr fontId="1" type="noConversion"/>
  </si>
  <si>
    <t>제외금액</t>
    <phoneticPr fontId="1" type="noConversion"/>
  </si>
  <si>
    <t>수수료제외</t>
    <phoneticPr fontId="1" type="noConversion"/>
  </si>
  <si>
    <t>학원</t>
  </si>
  <si>
    <t>학원</t>
    <phoneticPr fontId="1" type="noConversion"/>
  </si>
  <si>
    <t>강부원장님</t>
    <phoneticPr fontId="1" type="noConversion"/>
  </si>
  <si>
    <t>입금금액</t>
  </si>
  <si>
    <t>입금금액</t>
    <phoneticPr fontId="1" type="noConversion"/>
  </si>
  <si>
    <t>김신욱선생님</t>
    <phoneticPr fontId="1" type="noConversion"/>
  </si>
  <si>
    <t>하영선생님</t>
    <phoneticPr fontId="1" type="noConversion"/>
  </si>
  <si>
    <t>이은영선생님</t>
    <phoneticPr fontId="1" type="noConversion"/>
  </si>
  <si>
    <t>합계</t>
    <phoneticPr fontId="1" type="noConversion"/>
  </si>
  <si>
    <t>*조민서 110,000원/김세민 90,000원</t>
    <phoneticPr fontId="1" type="noConversion"/>
  </si>
  <si>
    <t>소계</t>
    <phoneticPr fontId="1" type="noConversion"/>
  </si>
  <si>
    <t>신현학원 12월 수강료내역</t>
    <phoneticPr fontId="1" type="noConversion"/>
  </si>
  <si>
    <t>12월수강료</t>
    <phoneticPr fontId="1" type="noConversion"/>
  </si>
  <si>
    <t>현금소득공제(계좌이체)</t>
    <phoneticPr fontId="1" type="noConversion"/>
  </si>
  <si>
    <t>할인금액</t>
    <phoneticPr fontId="1" type="noConversion"/>
  </si>
  <si>
    <t>*개구리카드사용</t>
    <phoneticPr fontId="1" type="noConversion"/>
  </si>
  <si>
    <t>11일?</t>
    <phoneticPr fontId="1" type="noConversion"/>
  </si>
  <si>
    <t>원천세제외</t>
    <phoneticPr fontId="1" type="noConversion"/>
  </si>
  <si>
    <t>* 강부원장님 현금소지금 (1,490,000원)</t>
    <phoneticPr fontId="1" type="noConversion"/>
  </si>
  <si>
    <t xml:space="preserve"> </t>
    <phoneticPr fontId="1" type="noConversion"/>
  </si>
  <si>
    <t>농협(bc)</t>
    <phoneticPr fontId="1" type="noConversion"/>
  </si>
  <si>
    <t>농협(bc)/자매할인</t>
    <phoneticPr fontId="1" type="noConversion"/>
  </si>
  <si>
    <t>논술</t>
    <phoneticPr fontId="1" type="noConversion"/>
  </si>
  <si>
    <t>*하나카드(12/2)</t>
    <phoneticPr fontId="1" type="noConversion"/>
  </si>
  <si>
    <t>*롯데카드(12/2),(12/6)</t>
    <phoneticPr fontId="1" type="noConversion"/>
  </si>
  <si>
    <t>*삼성카드</t>
    <phoneticPr fontId="1" type="noConversion"/>
  </si>
  <si>
    <t>*개구리카드사용/논술 국민카드사용</t>
    <phoneticPr fontId="1" type="noConversion"/>
  </si>
  <si>
    <t>정지예</t>
    <phoneticPr fontId="1" type="noConversion"/>
  </si>
  <si>
    <t>6학년</t>
  </si>
  <si>
    <t>6학년</t>
    <phoneticPr fontId="1" type="noConversion"/>
  </si>
  <si>
    <t>김윤서</t>
    <phoneticPr fontId="1" type="noConversion"/>
  </si>
  <si>
    <t>3학년</t>
    <phoneticPr fontId="1" type="noConversion"/>
  </si>
  <si>
    <t>김윤</t>
    <phoneticPr fontId="1" type="noConversion"/>
  </si>
  <si>
    <t>송탄고</t>
    <phoneticPr fontId="1" type="noConversion"/>
  </si>
  <si>
    <t>2학년</t>
    <phoneticPr fontId="1" type="noConversion"/>
  </si>
  <si>
    <t xml:space="preserve">*삼성카드 </t>
    <phoneticPr fontId="1" type="noConversion"/>
  </si>
  <si>
    <t>배승욱</t>
    <phoneticPr fontId="1" type="noConversion"/>
  </si>
  <si>
    <t>박영주</t>
    <phoneticPr fontId="1" type="noConversion"/>
  </si>
  <si>
    <t>*개구리카드사용(코로나 결석2일)</t>
    <phoneticPr fontId="1" type="noConversion"/>
  </si>
  <si>
    <t>*계좌이체 1/2(영재교육 180,000)</t>
    <phoneticPr fontId="1" type="noConversion"/>
  </si>
  <si>
    <t>*삼성카드</t>
    <phoneticPr fontId="1" type="noConversion"/>
  </si>
  <si>
    <t>*NH체크카드</t>
    <phoneticPr fontId="1" type="noConversion"/>
  </si>
  <si>
    <t>1월수강료</t>
    <phoneticPr fontId="1" type="noConversion"/>
  </si>
  <si>
    <r>
      <rPr>
        <b/>
        <u/>
        <sz val="11"/>
        <rFont val="맑은 고딕"/>
        <family val="3"/>
        <charset val="129"/>
        <scheme val="minor"/>
      </rPr>
      <t>*국민체크카드</t>
    </r>
    <r>
      <rPr>
        <b/>
        <u/>
        <sz val="11"/>
        <color rgb="FFC00000"/>
        <rFont val="맑은 고딕"/>
        <family val="3"/>
        <charset val="129"/>
        <scheme val="minor"/>
      </rPr>
      <t>(설명회참석 할인 2만원)</t>
    </r>
    <phoneticPr fontId="1" type="noConversion"/>
  </si>
  <si>
    <t>*계좌이체 12/14 현금소득공제</t>
    <phoneticPr fontId="1" type="noConversion"/>
  </si>
  <si>
    <t>지예린</t>
    <phoneticPr fontId="1" type="noConversion"/>
  </si>
  <si>
    <t>6학년</t>
    <phoneticPr fontId="1" type="noConversion"/>
  </si>
  <si>
    <t>수학1</t>
    <phoneticPr fontId="1" type="noConversion"/>
  </si>
  <si>
    <t>수학2</t>
    <phoneticPr fontId="1" type="noConversion"/>
  </si>
  <si>
    <t>지예린</t>
    <phoneticPr fontId="1" type="noConversion"/>
  </si>
  <si>
    <t>*국민카드결재(1/5)</t>
    <phoneticPr fontId="1" type="noConversion"/>
  </si>
  <si>
    <t>2월수강료</t>
    <phoneticPr fontId="1" type="noConversion"/>
  </si>
  <si>
    <t>조윤서</t>
    <phoneticPr fontId="1" type="noConversion"/>
  </si>
  <si>
    <t>1월4일</t>
    <phoneticPr fontId="1" type="noConversion"/>
  </si>
  <si>
    <t>영어3시간</t>
    <phoneticPr fontId="1" type="noConversion"/>
  </si>
  <si>
    <t>신현중</t>
  </si>
  <si>
    <t>1월2일</t>
    <phoneticPr fontId="1" type="noConversion"/>
  </si>
  <si>
    <t>김세민</t>
    <phoneticPr fontId="1" type="noConversion"/>
  </si>
  <si>
    <t>영재강 2시간</t>
    <phoneticPr fontId="1" type="noConversion"/>
  </si>
  <si>
    <t>1월9일</t>
    <phoneticPr fontId="1" type="noConversion"/>
  </si>
  <si>
    <t>김세민</t>
    <phoneticPr fontId="1" type="noConversion"/>
  </si>
  <si>
    <t>영재김 2시간</t>
    <phoneticPr fontId="1" type="noConversion"/>
  </si>
  <si>
    <t>영재김 2시간</t>
    <phoneticPr fontId="1" type="noConversion"/>
  </si>
  <si>
    <t>영재강 1시간</t>
    <phoneticPr fontId="1" type="noConversion"/>
  </si>
  <si>
    <t>초등영재반</t>
    <phoneticPr fontId="1" type="noConversion"/>
  </si>
  <si>
    <t>180,000원</t>
    <phoneticPr fontId="1" type="noConversion"/>
  </si>
  <si>
    <t>* 수업시간별 정산예정
(강부원장님/김신욱선생님)</t>
    <phoneticPr fontId="1" type="noConversion"/>
  </si>
  <si>
    <t>23년 신현학원 1월 수강료내역</t>
    <phoneticPr fontId="1" type="noConversion"/>
  </si>
  <si>
    <t>23년 신현학원 2월 수강료내역</t>
    <phoneticPr fontId="1" type="noConversion"/>
  </si>
  <si>
    <t>*하나카드(1/6)</t>
    <phoneticPr fontId="1" type="noConversion"/>
  </si>
  <si>
    <t>*수학 : 기하학(이과:정지헌,전세린) / 확률과통계(문과:이윤하,김보빈,김윤)</t>
    <phoneticPr fontId="1" type="noConversion"/>
  </si>
  <si>
    <t>*롯데카드(학부모앱이용)</t>
    <phoneticPr fontId="1" type="noConversion"/>
  </si>
  <si>
    <t>*삼성비자카드(학부모앱이용)</t>
    <phoneticPr fontId="1" type="noConversion"/>
  </si>
  <si>
    <t>*국민카드1/6)</t>
    <phoneticPr fontId="1" type="noConversion"/>
  </si>
  <si>
    <t>1월6일</t>
    <phoneticPr fontId="1" type="noConversion"/>
  </si>
  <si>
    <t>수학2시간</t>
    <phoneticPr fontId="1" type="noConversion"/>
  </si>
  <si>
    <t>(175,860원)</t>
    <phoneticPr fontId="1" type="noConversion"/>
  </si>
  <si>
    <t>1월11일</t>
    <phoneticPr fontId="1" type="noConversion"/>
  </si>
  <si>
    <t>영어2시간</t>
    <phoneticPr fontId="1" type="noConversion"/>
  </si>
  <si>
    <t>지역카드</t>
    <phoneticPr fontId="1" type="noConversion"/>
  </si>
  <si>
    <t>지역카드</t>
    <phoneticPr fontId="1" type="noConversion"/>
  </si>
  <si>
    <t>NH농협카드</t>
    <phoneticPr fontId="1" type="noConversion"/>
  </si>
  <si>
    <t>삼성아멕스카드</t>
    <phoneticPr fontId="1" type="noConversion"/>
  </si>
  <si>
    <t>현금(지출증빙)</t>
    <phoneticPr fontId="1" type="noConversion"/>
  </si>
  <si>
    <t>신한카드</t>
    <phoneticPr fontId="1" type="noConversion"/>
  </si>
  <si>
    <t>롯데카드</t>
    <phoneticPr fontId="1" type="noConversion"/>
  </si>
  <si>
    <t>신한카드</t>
    <phoneticPr fontId="1" type="noConversion"/>
  </si>
  <si>
    <t>현금</t>
    <phoneticPr fontId="1" type="noConversion"/>
  </si>
  <si>
    <t>삼성비자카드</t>
    <phoneticPr fontId="1" type="noConversion"/>
  </si>
  <si>
    <t>삼성비자카드</t>
    <phoneticPr fontId="1" type="noConversion"/>
  </si>
  <si>
    <t>kb국민카드</t>
    <phoneticPr fontId="1" type="noConversion"/>
  </si>
  <si>
    <t>kb국민카드</t>
    <phoneticPr fontId="1" type="noConversion"/>
  </si>
  <si>
    <t>삼성아멕스카드</t>
    <phoneticPr fontId="1" type="noConversion"/>
  </si>
  <si>
    <t>현금(개인소득공제)</t>
    <phoneticPr fontId="1" type="noConversion"/>
  </si>
  <si>
    <t>임수린</t>
    <phoneticPr fontId="1" type="noConversion"/>
  </si>
  <si>
    <t>1학년</t>
    <phoneticPr fontId="1" type="noConversion"/>
  </si>
  <si>
    <t>강부원장님   240,000원 (239,400원)</t>
    <phoneticPr fontId="1" type="noConversion"/>
  </si>
  <si>
    <t>김신욱선생님  120,000원 (119,700원)</t>
    <phoneticPr fontId="1" type="noConversion"/>
  </si>
  <si>
    <t>초등경시수업(정우진,김세민)</t>
    <phoneticPr fontId="1" type="noConversion"/>
  </si>
  <si>
    <t>360,000원 ( 359,100원)</t>
    <phoneticPr fontId="1" type="noConversion"/>
  </si>
  <si>
    <t>홍진기</t>
    <phoneticPr fontId="1" type="noConversion"/>
  </si>
  <si>
    <t>현금(개인소득공제)</t>
    <phoneticPr fontId="1" type="noConversion"/>
  </si>
  <si>
    <t>23년 신현학원 3월 수강료내역</t>
    <phoneticPr fontId="1" type="noConversion"/>
  </si>
  <si>
    <t>이태영</t>
    <phoneticPr fontId="1" type="noConversion"/>
  </si>
  <si>
    <t>카카오체크카드</t>
    <phoneticPr fontId="1" type="noConversion"/>
  </si>
  <si>
    <t>1학년</t>
    <phoneticPr fontId="1" type="noConversion"/>
  </si>
  <si>
    <t>정효승</t>
    <phoneticPr fontId="1" type="noConversion"/>
  </si>
  <si>
    <t>신현중</t>
    <phoneticPr fontId="1" type="noConversion"/>
  </si>
  <si>
    <t>2학년</t>
    <phoneticPr fontId="1" type="noConversion"/>
  </si>
  <si>
    <t>장은비</t>
    <phoneticPr fontId="1" type="noConversion"/>
  </si>
  <si>
    <t>수내고</t>
    <phoneticPr fontId="1" type="noConversion"/>
  </si>
  <si>
    <t>2한년</t>
    <phoneticPr fontId="1" type="noConversion"/>
  </si>
  <si>
    <t>2학년</t>
    <phoneticPr fontId="1" type="noConversion"/>
  </si>
  <si>
    <t>3/10부터수업</t>
    <phoneticPr fontId="1" type="noConversion"/>
  </si>
  <si>
    <t>농협비씨/국민카드(62,500)</t>
    <phoneticPr fontId="1" type="noConversion"/>
  </si>
  <si>
    <t>국민카드</t>
    <phoneticPr fontId="1" type="noConversion"/>
  </si>
  <si>
    <t>장은비</t>
    <phoneticPr fontId="1" type="noConversion"/>
  </si>
  <si>
    <t>강부원장님   200,000원 (199,000원)</t>
    <phoneticPr fontId="1" type="noConversion"/>
  </si>
  <si>
    <t>김신욱선생님  200,000원 (199,000원)</t>
    <phoneticPr fontId="1" type="noConversion"/>
  </si>
  <si>
    <t>400,000원 ( 398,000원)</t>
    <phoneticPr fontId="1" type="noConversion"/>
  </si>
  <si>
    <t>설다예</t>
    <phoneticPr fontId="1" type="noConversion"/>
  </si>
  <si>
    <t>1학년</t>
    <phoneticPr fontId="1" type="noConversion"/>
  </si>
  <si>
    <t>3월수강료</t>
    <phoneticPr fontId="1" type="noConversion"/>
  </si>
  <si>
    <t>한지후</t>
    <phoneticPr fontId="1" type="noConversion"/>
  </si>
  <si>
    <t>5학년</t>
    <phoneticPr fontId="1" type="noConversion"/>
  </si>
  <si>
    <t>카드</t>
    <phoneticPr fontId="1" type="noConversion"/>
  </si>
  <si>
    <t>수수료율</t>
    <phoneticPr fontId="1" type="noConversion"/>
  </si>
  <si>
    <t>강부원장님   135,000원 (134,325원)</t>
    <phoneticPr fontId="1" type="noConversion"/>
  </si>
  <si>
    <t>김신욱선생님  135,000원 (134,325원)</t>
    <phoneticPr fontId="1" type="noConversion"/>
  </si>
  <si>
    <t>270,000원 ( 268,650원)</t>
    <phoneticPr fontId="1" type="noConversion"/>
  </si>
  <si>
    <t>강부원장님   90,000원 (89,775원)</t>
    <phoneticPr fontId="1" type="noConversion"/>
  </si>
  <si>
    <t>김신욱선생님  270,000원 (269,325원)</t>
    <phoneticPr fontId="1" type="noConversion"/>
  </si>
  <si>
    <t>3/8일 3시간수업</t>
    <phoneticPr fontId="1" type="noConversion"/>
  </si>
  <si>
    <r>
      <t>*</t>
    </r>
    <r>
      <rPr>
        <b/>
        <sz val="11"/>
        <color rgb="FF7030A0"/>
        <rFont val="맑은 고딕"/>
        <family val="3"/>
        <charset val="129"/>
        <scheme val="minor"/>
      </rPr>
      <t>보라</t>
    </r>
    <r>
      <rPr>
        <b/>
        <sz val="11"/>
        <color theme="1"/>
        <rFont val="맑은 고딕"/>
        <family val="3"/>
        <charset val="129"/>
        <scheme val="minor"/>
      </rPr>
      <t>(강부원장님),</t>
    </r>
    <r>
      <rPr>
        <b/>
        <sz val="11"/>
        <color theme="5" tint="-0.249977111117893"/>
        <rFont val="맑은 고딕"/>
        <family val="3"/>
        <charset val="129"/>
        <scheme val="minor"/>
      </rPr>
      <t>갈색</t>
    </r>
    <r>
      <rPr>
        <b/>
        <sz val="11"/>
        <color theme="1"/>
        <rFont val="맑은 고딕"/>
        <family val="3"/>
        <charset val="129"/>
        <scheme val="minor"/>
      </rPr>
      <t>(이하영샘),</t>
    </r>
    <r>
      <rPr>
        <b/>
        <sz val="11"/>
        <color rgb="FF0070C0"/>
        <rFont val="맑은 고딕"/>
        <family val="3"/>
        <charset val="129"/>
        <scheme val="minor"/>
      </rPr>
      <t>파랑</t>
    </r>
    <r>
      <rPr>
        <b/>
        <sz val="11"/>
        <color theme="1"/>
        <rFont val="맑은 고딕"/>
        <family val="3"/>
        <charset val="129"/>
        <scheme val="minor"/>
      </rPr>
      <t>(김신욱샘)</t>
    </r>
    <phoneticPr fontId="1" type="noConversion"/>
  </si>
  <si>
    <t>23년 신현학원 4월 수강료내역</t>
    <phoneticPr fontId="1" type="noConversion"/>
  </si>
  <si>
    <t>김혜림</t>
    <phoneticPr fontId="1" type="noConversion"/>
  </si>
  <si>
    <t>1학년</t>
    <phoneticPr fontId="1" type="noConversion"/>
  </si>
  <si>
    <t>강부원장님   120,000원 (원)</t>
    <phoneticPr fontId="1" type="noConversion"/>
  </si>
  <si>
    <t>김신욱선생님  240,000원 (원)</t>
    <phoneticPr fontId="1" type="noConversion"/>
  </si>
  <si>
    <t>360,000원 ( 원)</t>
    <phoneticPr fontId="1" type="noConversion"/>
  </si>
  <si>
    <t>강부원장님   200,000원 (원)</t>
    <phoneticPr fontId="1" type="noConversion"/>
  </si>
  <si>
    <t>김신욱선생님  200,000원 (원)</t>
    <phoneticPr fontId="1" type="noConversion"/>
  </si>
  <si>
    <t>김신욱선생님  200,000원 (원)</t>
    <phoneticPr fontId="1" type="noConversion"/>
  </si>
  <si>
    <t>400,000원 (원)</t>
    <phoneticPr fontId="1" type="noConversion"/>
  </si>
  <si>
    <t>400,000원 (원)</t>
    <phoneticPr fontId="1" type="noConversion"/>
  </si>
  <si>
    <t>23년 신현미디어학원 4월 수강료내역</t>
    <phoneticPr fontId="1" type="noConversion"/>
  </si>
  <si>
    <t>파이썬</t>
    <phoneticPr fontId="1" type="noConversion"/>
  </si>
  <si>
    <t>디지털OA</t>
    <phoneticPr fontId="1" type="noConversion"/>
  </si>
  <si>
    <t>성인/학생</t>
    <phoneticPr fontId="1" type="noConversion"/>
  </si>
  <si>
    <t>강사</t>
    <phoneticPr fontId="1" type="noConversion"/>
  </si>
  <si>
    <t>4월수강료</t>
    <phoneticPr fontId="1" type="noConversion"/>
  </si>
  <si>
    <t>한장군</t>
    <phoneticPr fontId="1" type="noConversion"/>
  </si>
  <si>
    <t>조기용</t>
    <phoneticPr fontId="1" type="noConversion"/>
  </si>
  <si>
    <t>양지원</t>
    <phoneticPr fontId="1" type="noConversion"/>
  </si>
  <si>
    <t>장양자</t>
    <phoneticPr fontId="1" type="noConversion"/>
  </si>
  <si>
    <t>김미자</t>
    <phoneticPr fontId="1" type="noConversion"/>
  </si>
  <si>
    <t>이정숙</t>
    <phoneticPr fontId="1" type="noConversion"/>
  </si>
  <si>
    <t>황은율</t>
    <phoneticPr fontId="1" type="noConversion"/>
  </si>
  <si>
    <t>성인</t>
    <phoneticPr fontId="1" type="noConversion"/>
  </si>
  <si>
    <t>황은채</t>
    <phoneticPr fontId="1" type="noConversion"/>
  </si>
  <si>
    <t>이기선</t>
    <phoneticPr fontId="1" type="noConversion"/>
  </si>
  <si>
    <t>이기선</t>
    <phoneticPr fontId="1" type="noConversion"/>
  </si>
  <si>
    <t>조기용</t>
    <phoneticPr fontId="1" type="noConversion"/>
  </si>
  <si>
    <t>학생(중3)</t>
    <phoneticPr fontId="1" type="noConversion"/>
  </si>
  <si>
    <t>학생(중2)</t>
    <phoneticPr fontId="1" type="noConversion"/>
  </si>
  <si>
    <t>학생(중2)</t>
    <phoneticPr fontId="1" type="noConversion"/>
  </si>
  <si>
    <t>학생(고1)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</si>
</sst>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mm&quot;월&quot;\ dd&quot;일&quot;"/>
  </numFmts>
  <fonts count="4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u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u/>
      <sz val="11"/>
      <color rgb="FFFF0000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b/>
      <sz val="16"/>
      <color rgb="FFFF0000"/>
      <name val="맑은 고딕"/>
      <family val="3"/>
      <charset val="129"/>
      <scheme val="minor"/>
    </font>
    <font>
      <b/>
      <sz val="11"/>
      <color theme="5" tint="-0.249977111117893"/>
      <name val="맑은 고딕"/>
      <family val="3"/>
      <charset val="129"/>
      <scheme val="minor"/>
    </font>
    <font>
      <b/>
      <sz val="11"/>
      <color theme="9"/>
      <name val="맑은 고딕"/>
      <family val="3"/>
      <charset val="129"/>
      <scheme val="minor"/>
    </font>
    <font>
      <b/>
      <sz val="11"/>
      <color theme="9" tint="-0.249977111117893"/>
      <name val="맑은 고딕"/>
      <family val="3"/>
      <charset val="129"/>
      <scheme val="minor"/>
    </font>
    <font>
      <u val="singleAccounting"/>
      <sz val="11"/>
      <color rgb="FFFF0000"/>
      <name val="맑은 고딕"/>
      <family val="2"/>
      <charset val="129"/>
      <scheme val="minor"/>
    </font>
    <font>
      <b/>
      <u val="singleAccounting"/>
      <sz val="11"/>
      <name val="맑은 고딕"/>
      <family val="3"/>
      <charset val="129"/>
      <scheme val="minor"/>
    </font>
    <font>
      <b/>
      <u val="singleAccounting"/>
      <sz val="11"/>
      <color rgb="FFFF0000"/>
      <name val="맑은 고딕"/>
      <family val="3"/>
      <charset val="129"/>
      <scheme val="minor"/>
    </font>
    <font>
      <b/>
      <u val="singleAccounting"/>
      <sz val="11"/>
      <color theme="4" tint="0.79998168889431442"/>
      <name val="맑은 고딕"/>
      <family val="3"/>
      <charset val="129"/>
      <scheme val="minor"/>
    </font>
    <font>
      <b/>
      <sz val="11"/>
      <color rgb="FF7030A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b/>
      <u/>
      <sz val="11"/>
      <color theme="4" tint="0.79998168889431442"/>
      <name val="맑은 고딕"/>
      <family val="3"/>
      <charset val="129"/>
      <scheme val="minor"/>
    </font>
    <font>
      <b/>
      <u/>
      <sz val="11"/>
      <color rgb="FF0070C0"/>
      <name val="맑은 고딕"/>
      <family val="3"/>
      <charset val="129"/>
      <scheme val="minor"/>
    </font>
    <font>
      <b/>
      <u/>
      <sz val="11"/>
      <color theme="9" tint="-0.249977111117893"/>
      <name val="맑은 고딕"/>
      <family val="3"/>
      <charset val="129"/>
      <scheme val="minor"/>
    </font>
    <font>
      <b/>
      <u/>
      <sz val="11"/>
      <color theme="5" tint="-0.249977111117893"/>
      <name val="맑은 고딕"/>
      <family val="3"/>
      <charset val="129"/>
      <scheme val="minor"/>
    </font>
    <font>
      <b/>
      <u/>
      <sz val="11"/>
      <color rgb="FFC00000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b/>
      <u/>
      <sz val="11"/>
      <color rgb="FF7030A0"/>
      <name val="맑은 고딕"/>
      <family val="3"/>
      <charset val="129"/>
      <scheme val="minor"/>
    </font>
    <font>
      <b/>
      <u/>
      <sz val="1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u val="singleAccounting"/>
      <sz val="11"/>
      <color rgb="FF7030A0"/>
      <name val="맑은 고딕"/>
      <family val="3"/>
      <charset val="129"/>
      <scheme val="minor"/>
    </font>
    <font>
      <b/>
      <u val="singleAccounting"/>
      <sz val="11"/>
      <color theme="5" tint="-0.249977111117893"/>
      <name val="맑은 고딕"/>
      <family val="3"/>
      <charset val="129"/>
      <scheme val="minor"/>
    </font>
    <font>
      <b/>
      <sz val="11"/>
      <color theme="4" tint="-0.249977111117893"/>
      <name val="맑은 고딕"/>
      <family val="3"/>
      <charset val="129"/>
      <scheme val="minor"/>
    </font>
    <font>
      <b/>
      <u val="singleAccounting"/>
      <sz val="11"/>
      <color theme="4" tint="-0.249977111117893"/>
      <name val="맑은 고딕"/>
      <family val="3"/>
      <charset val="129"/>
      <scheme val="minor"/>
    </font>
    <font>
      <b/>
      <u val="singleAccounting"/>
      <sz val="11"/>
      <color theme="9" tint="-0.249977111117893"/>
      <name val="맑은 고딕"/>
      <family val="3"/>
      <charset val="129"/>
      <scheme val="minor"/>
    </font>
    <font>
      <u/>
      <sz val="1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2"/>
      <color rgb="FF002060"/>
      <name val="맑은 고딕"/>
      <family val="3"/>
      <charset val="129"/>
      <scheme val="minor"/>
    </font>
    <font>
      <u/>
      <sz val="11"/>
      <color theme="1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rgb="FF00206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gray06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gray0625"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auto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37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350">
    <xf numFmtId="0" fontId="0" fillId="0" borderId="0" xfId="0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0" fontId="3" fillId="0" borderId="0" xfId="0" applyFont="1">
      <alignment vertical="center"/>
    </xf>
    <xf numFmtId="0" fontId="0" fillId="0" borderId="12" xfId="0" applyBorder="1" applyAlignment="1">
      <alignment horizontal="center" vertical="center"/>
    </xf>
    <xf numFmtId="0" fontId="0" fillId="0" borderId="19" xfId="0" applyBorder="1">
      <alignment vertical="center"/>
    </xf>
    <xf numFmtId="0" fontId="4" fillId="0" borderId="18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49" fontId="4" fillId="3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49" fontId="8" fillId="3" borderId="5" xfId="0" applyNumberFormat="1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41" fontId="0" fillId="0" borderId="5" xfId="1" applyFont="1" applyBorder="1" applyAlignment="1">
      <alignment horizontal="center" vertical="center"/>
    </xf>
    <xf numFmtId="41" fontId="0" fillId="0" borderId="12" xfId="1" applyFont="1" applyBorder="1" applyAlignment="1">
      <alignment horizontal="center" vertical="center"/>
    </xf>
    <xf numFmtId="41" fontId="0" fillId="0" borderId="11" xfId="1" applyFont="1" applyBorder="1" applyAlignment="1">
      <alignment horizontal="center" vertical="center"/>
    </xf>
    <xf numFmtId="41" fontId="11" fillId="0" borderId="12" xfId="1" applyFont="1" applyBorder="1" applyAlignment="1">
      <alignment horizontal="center" vertical="center"/>
    </xf>
    <xf numFmtId="41" fontId="12" fillId="0" borderId="5" xfId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41" fontId="8" fillId="3" borderId="5" xfId="1" applyFont="1" applyFill="1" applyBorder="1" applyAlignment="1">
      <alignment horizontal="center" vertical="center"/>
    </xf>
    <xf numFmtId="41" fontId="10" fillId="3" borderId="5" xfId="1" applyFont="1" applyFill="1" applyBorder="1" applyAlignment="1">
      <alignment horizontal="center" vertical="center"/>
    </xf>
    <xf numFmtId="41" fontId="14" fillId="4" borderId="5" xfId="1" applyFont="1" applyFill="1" applyBorder="1" applyAlignment="1">
      <alignment horizontal="center" vertical="center"/>
    </xf>
    <xf numFmtId="41" fontId="14" fillId="4" borderId="11" xfId="1" applyFont="1" applyFill="1" applyBorder="1" applyAlignment="1">
      <alignment horizontal="center" vertical="center"/>
    </xf>
    <xf numFmtId="41" fontId="13" fillId="4" borderId="5" xfId="1" applyFont="1" applyFill="1" applyBorder="1" applyAlignment="1">
      <alignment horizontal="center" vertical="center"/>
    </xf>
    <xf numFmtId="41" fontId="0" fillId="4" borderId="5" xfId="1" applyFont="1" applyFill="1" applyBorder="1" applyAlignment="1">
      <alignment horizontal="center" vertical="center"/>
    </xf>
    <xf numFmtId="41" fontId="11" fillId="4" borderId="5" xfId="1" applyFont="1" applyFill="1" applyBorder="1" applyAlignment="1">
      <alignment horizontal="center" vertical="center"/>
    </xf>
    <xf numFmtId="41" fontId="15" fillId="3" borderId="5" xfId="1" applyFont="1" applyFill="1" applyBorder="1" applyAlignment="1">
      <alignment horizontal="center" vertical="center"/>
    </xf>
    <xf numFmtId="41" fontId="15" fillId="0" borderId="5" xfId="1" applyFont="1" applyBorder="1" applyAlignment="1">
      <alignment horizontal="center" vertical="center" wrapText="1"/>
    </xf>
    <xf numFmtId="41" fontId="16" fillId="0" borderId="5" xfId="1" applyFont="1" applyBorder="1" applyAlignment="1">
      <alignment horizontal="center" vertical="center" wrapText="1"/>
    </xf>
    <xf numFmtId="41" fontId="16" fillId="0" borderId="11" xfId="1" applyFont="1" applyBorder="1" applyAlignment="1">
      <alignment horizontal="center" vertical="center" wrapText="1"/>
    </xf>
    <xf numFmtId="41" fontId="8" fillId="0" borderId="5" xfId="1" applyFont="1" applyBorder="1" applyAlignment="1">
      <alignment horizontal="center" vertical="center" wrapText="1"/>
    </xf>
    <xf numFmtId="41" fontId="10" fillId="0" borderId="5" xfId="1" applyFont="1" applyBorder="1" applyAlignment="1">
      <alignment horizontal="center" vertical="center" wrapText="1"/>
    </xf>
    <xf numFmtId="41" fontId="10" fillId="0" borderId="11" xfId="1" applyFont="1" applyBorder="1" applyAlignment="1">
      <alignment horizontal="center" vertical="center" wrapText="1"/>
    </xf>
    <xf numFmtId="41" fontId="17" fillId="0" borderId="5" xfId="1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41" fontId="3" fillId="0" borderId="5" xfId="1" applyFont="1" applyBorder="1" applyAlignment="1">
      <alignment horizontal="center" vertical="center"/>
    </xf>
    <xf numFmtId="41" fontId="18" fillId="4" borderId="5" xfId="1" applyFont="1" applyFill="1" applyBorder="1" applyAlignment="1">
      <alignment horizontal="center" vertical="center"/>
    </xf>
    <xf numFmtId="49" fontId="19" fillId="3" borderId="5" xfId="0" applyNumberFormat="1" applyFont="1" applyFill="1" applyBorder="1" applyAlignment="1">
      <alignment horizontal="center" vertical="center" wrapText="1"/>
    </xf>
    <xf numFmtId="49" fontId="20" fillId="3" borderId="5" xfId="0" applyNumberFormat="1" applyFont="1" applyFill="1" applyBorder="1" applyAlignment="1">
      <alignment horizontal="center" vertical="center"/>
    </xf>
    <xf numFmtId="41" fontId="21" fillId="0" borderId="5" xfId="1" applyFont="1" applyBorder="1" applyAlignment="1">
      <alignment horizontal="center" vertical="center" wrapText="1"/>
    </xf>
    <xf numFmtId="0" fontId="3" fillId="0" borderId="19" xfId="0" applyFont="1" applyBorder="1">
      <alignment vertical="center"/>
    </xf>
    <xf numFmtId="41" fontId="22" fillId="0" borderId="5" xfId="1" applyFont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 wrapText="1"/>
    </xf>
    <xf numFmtId="0" fontId="23" fillId="2" borderId="12" xfId="0" applyFont="1" applyFill="1" applyBorder="1" applyAlignment="1">
      <alignment horizontal="center" vertical="center"/>
    </xf>
    <xf numFmtId="41" fontId="23" fillId="0" borderId="5" xfId="1" applyFont="1" applyBorder="1" applyAlignment="1">
      <alignment horizontal="center" vertical="center"/>
    </xf>
    <xf numFmtId="41" fontId="3" fillId="5" borderId="5" xfId="1" applyFont="1" applyFill="1" applyBorder="1" applyAlignment="1">
      <alignment horizontal="center" vertical="center"/>
    </xf>
    <xf numFmtId="41" fontId="5" fillId="4" borderId="5" xfId="1" applyFont="1" applyFill="1" applyBorder="1" applyAlignment="1">
      <alignment horizontal="center" vertical="center"/>
    </xf>
    <xf numFmtId="41" fontId="24" fillId="0" borderId="5" xfId="1" applyFont="1" applyBorder="1" applyAlignment="1">
      <alignment horizontal="center" vertical="center" wrapText="1"/>
    </xf>
    <xf numFmtId="41" fontId="25" fillId="0" borderId="5" xfId="1" applyFont="1" applyBorder="1" applyAlignment="1">
      <alignment horizontal="center" vertical="center"/>
    </xf>
    <xf numFmtId="41" fontId="5" fillId="0" borderId="5" xfId="1" applyFont="1" applyBorder="1" applyAlignment="1">
      <alignment horizontal="center" vertical="center"/>
    </xf>
    <xf numFmtId="41" fontId="24" fillId="0" borderId="22" xfId="1" applyFont="1" applyBorder="1" applyAlignment="1">
      <alignment horizontal="center" vertical="center" wrapText="1"/>
    </xf>
    <xf numFmtId="0" fontId="23" fillId="0" borderId="5" xfId="0" applyFont="1" applyFill="1" applyBorder="1" applyAlignment="1">
      <alignment horizontal="center" vertical="center"/>
    </xf>
    <xf numFmtId="0" fontId="23" fillId="2" borderId="29" xfId="0" applyFont="1" applyFill="1" applyBorder="1" applyAlignment="1">
      <alignment horizontal="center" vertical="center"/>
    </xf>
    <xf numFmtId="41" fontId="23" fillId="0" borderId="8" xfId="1" applyFont="1" applyBorder="1" applyAlignment="1">
      <alignment horizontal="center" vertical="center"/>
    </xf>
    <xf numFmtId="41" fontId="3" fillId="5" borderId="8" xfId="1" applyFont="1" applyFill="1" applyBorder="1" applyAlignment="1">
      <alignment horizontal="center" vertical="center"/>
    </xf>
    <xf numFmtId="41" fontId="18" fillId="4" borderId="8" xfId="1" applyFont="1" applyFill="1" applyBorder="1" applyAlignment="1">
      <alignment horizontal="center" vertical="center"/>
    </xf>
    <xf numFmtId="41" fontId="19" fillId="0" borderId="8" xfId="1" applyFont="1" applyBorder="1" applyAlignment="1">
      <alignment horizontal="center" vertical="center" wrapText="1"/>
    </xf>
    <xf numFmtId="41" fontId="20" fillId="0" borderId="8" xfId="1" applyFont="1" applyBorder="1" applyAlignment="1">
      <alignment horizontal="center" vertical="center" wrapText="1"/>
    </xf>
    <xf numFmtId="41" fontId="21" fillId="0" borderId="8" xfId="1" applyFont="1" applyBorder="1" applyAlignment="1">
      <alignment horizontal="center" vertical="center" wrapText="1"/>
    </xf>
    <xf numFmtId="0" fontId="3" fillId="0" borderId="30" xfId="0" applyFont="1" applyBorder="1">
      <alignment vertical="center"/>
    </xf>
    <xf numFmtId="0" fontId="22" fillId="0" borderId="19" xfId="0" applyFont="1" applyBorder="1">
      <alignment vertical="center"/>
    </xf>
    <xf numFmtId="0" fontId="10" fillId="0" borderId="19" xfId="0" applyFont="1" applyBorder="1">
      <alignment vertical="center"/>
    </xf>
    <xf numFmtId="0" fontId="26" fillId="0" borderId="19" xfId="0" applyFont="1" applyBorder="1">
      <alignment vertical="center"/>
    </xf>
    <xf numFmtId="0" fontId="27" fillId="0" borderId="19" xfId="0" applyFont="1" applyBorder="1">
      <alignment vertical="center"/>
    </xf>
    <xf numFmtId="0" fontId="26" fillId="0" borderId="20" xfId="0" applyFont="1" applyBorder="1">
      <alignment vertical="center"/>
    </xf>
    <xf numFmtId="41" fontId="8" fillId="0" borderId="5" xfId="1" applyFont="1" applyFill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49" fontId="4" fillId="6" borderId="5" xfId="0" applyNumberFormat="1" applyFont="1" applyFill="1" applyBorder="1" applyAlignment="1">
      <alignment horizontal="center" vertical="center"/>
    </xf>
    <xf numFmtId="41" fontId="8" fillId="6" borderId="5" xfId="1" applyFont="1" applyFill="1" applyBorder="1" applyAlignment="1">
      <alignment horizontal="center" vertical="center" wrapText="1"/>
    </xf>
    <xf numFmtId="41" fontId="15" fillId="6" borderId="5" xfId="1" applyFont="1" applyFill="1" applyBorder="1" applyAlignment="1">
      <alignment horizontal="center" vertical="center"/>
    </xf>
    <xf numFmtId="41" fontId="8" fillId="6" borderId="5" xfId="1" applyFont="1" applyFill="1" applyBorder="1" applyAlignment="1">
      <alignment horizontal="center" vertical="center"/>
    </xf>
    <xf numFmtId="41" fontId="15" fillId="6" borderId="5" xfId="1" applyFont="1" applyFill="1" applyBorder="1" applyAlignment="1">
      <alignment horizontal="center" vertical="center" wrapText="1"/>
    </xf>
    <xf numFmtId="0" fontId="3" fillId="0" borderId="21" xfId="0" applyFont="1" applyBorder="1">
      <alignment vertical="center"/>
    </xf>
    <xf numFmtId="41" fontId="4" fillId="3" borderId="5" xfId="0" applyNumberFormat="1" applyFont="1" applyFill="1" applyBorder="1" applyAlignment="1">
      <alignment horizontal="center" vertical="center"/>
    </xf>
    <xf numFmtId="49" fontId="4" fillId="8" borderId="5" xfId="0" applyNumberFormat="1" applyFont="1" applyFill="1" applyBorder="1" applyAlignment="1">
      <alignment horizontal="center" vertical="center"/>
    </xf>
    <xf numFmtId="41" fontId="4" fillId="8" borderId="5" xfId="0" applyNumberFormat="1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23" fillId="8" borderId="5" xfId="0" applyFont="1" applyFill="1" applyBorder="1" applyAlignment="1">
      <alignment horizontal="center" vertical="center"/>
    </xf>
    <xf numFmtId="41" fontId="23" fillId="8" borderId="5" xfId="0" applyNumberFormat="1" applyFont="1" applyFill="1" applyBorder="1" applyAlignment="1">
      <alignment horizontal="center" vertical="center"/>
    </xf>
    <xf numFmtId="41" fontId="8" fillId="6" borderId="5" xfId="1" applyNumberFormat="1" applyFont="1" applyFill="1" applyBorder="1" applyAlignment="1">
      <alignment horizontal="center" vertical="center" wrapText="1"/>
    </xf>
    <xf numFmtId="41" fontId="8" fillId="6" borderId="5" xfId="1" applyNumberFormat="1" applyFont="1" applyFill="1" applyBorder="1" applyAlignment="1">
      <alignment horizontal="center" vertical="center"/>
    </xf>
    <xf numFmtId="49" fontId="8" fillId="6" borderId="5" xfId="0" applyNumberFormat="1" applyFont="1" applyFill="1" applyBorder="1" applyAlignment="1">
      <alignment horizontal="center" vertical="center"/>
    </xf>
    <xf numFmtId="41" fontId="16" fillId="6" borderId="5" xfId="1" applyFont="1" applyFill="1" applyBorder="1" applyAlignment="1">
      <alignment horizontal="center" vertical="center" wrapText="1"/>
    </xf>
    <xf numFmtId="41" fontId="10" fillId="6" borderId="5" xfId="1" applyFont="1" applyFill="1" applyBorder="1" applyAlignment="1">
      <alignment horizontal="center" vertical="center" wrapText="1"/>
    </xf>
    <xf numFmtId="41" fontId="21" fillId="6" borderId="5" xfId="1" applyFont="1" applyFill="1" applyBorder="1" applyAlignment="1">
      <alignment horizontal="center" vertical="center" wrapText="1"/>
    </xf>
    <xf numFmtId="41" fontId="10" fillId="6" borderId="5" xfId="1" applyFont="1" applyFill="1" applyBorder="1" applyAlignment="1">
      <alignment horizontal="center" vertical="center"/>
    </xf>
    <xf numFmtId="41" fontId="16" fillId="6" borderId="11" xfId="1" applyFont="1" applyFill="1" applyBorder="1" applyAlignment="1">
      <alignment horizontal="center" vertical="center" wrapText="1"/>
    </xf>
    <xf numFmtId="41" fontId="10" fillId="6" borderId="11" xfId="1" applyFont="1" applyFill="1" applyBorder="1" applyAlignment="1">
      <alignment horizontal="center" vertical="center" wrapText="1"/>
    </xf>
    <xf numFmtId="41" fontId="19" fillId="6" borderId="8" xfId="1" applyFont="1" applyFill="1" applyBorder="1" applyAlignment="1">
      <alignment horizontal="center" vertical="center" wrapText="1"/>
    </xf>
    <xf numFmtId="41" fontId="20" fillId="6" borderId="8" xfId="1" applyFont="1" applyFill="1" applyBorder="1" applyAlignment="1">
      <alignment horizontal="center" vertical="center" wrapText="1"/>
    </xf>
    <xf numFmtId="41" fontId="21" fillId="6" borderId="8" xfId="1" applyFont="1" applyFill="1" applyBorder="1" applyAlignment="1">
      <alignment horizontal="center" vertical="center" wrapText="1"/>
    </xf>
    <xf numFmtId="41" fontId="8" fillId="0" borderId="5" xfId="1" applyFont="1" applyBorder="1" applyAlignment="1">
      <alignment horizontal="center" vertical="center"/>
    </xf>
    <xf numFmtId="41" fontId="4" fillId="6" borderId="5" xfId="1" applyFont="1" applyFill="1" applyBorder="1" applyAlignment="1">
      <alignment horizontal="center" vertical="center"/>
    </xf>
    <xf numFmtId="41" fontId="20" fillId="6" borderId="5" xfId="1" applyFont="1" applyFill="1" applyBorder="1" applyAlignment="1">
      <alignment horizontal="center" vertical="center"/>
    </xf>
    <xf numFmtId="41" fontId="4" fillId="6" borderId="11" xfId="1" applyFont="1" applyFill="1" applyBorder="1" applyAlignment="1">
      <alignment horizontal="center" vertical="center"/>
    </xf>
    <xf numFmtId="41" fontId="9" fillId="6" borderId="11" xfId="1" applyFont="1" applyFill="1" applyBorder="1" applyAlignment="1">
      <alignment horizontal="center" vertical="center" wrapText="1"/>
    </xf>
    <xf numFmtId="41" fontId="19" fillId="6" borderId="5" xfId="1" applyFont="1" applyFill="1" applyBorder="1" applyAlignment="1">
      <alignment horizontal="center" vertical="center" wrapText="1"/>
    </xf>
    <xf numFmtId="0" fontId="0" fillId="0" borderId="6" xfId="0" applyBorder="1">
      <alignment vertical="center"/>
    </xf>
    <xf numFmtId="0" fontId="28" fillId="0" borderId="4" xfId="0" applyFont="1" applyBorder="1">
      <alignment vertical="center"/>
    </xf>
    <xf numFmtId="0" fontId="28" fillId="0" borderId="5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41" fontId="0" fillId="0" borderId="4" xfId="1" applyFont="1" applyBorder="1">
      <alignment vertical="center"/>
    </xf>
    <xf numFmtId="41" fontId="0" fillId="0" borderId="7" xfId="1" applyFont="1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center" vertical="center"/>
    </xf>
    <xf numFmtId="41" fontId="23" fillId="0" borderId="0" xfId="1" applyFont="1" applyBorder="1" applyAlignment="1">
      <alignment horizontal="center" vertical="center"/>
    </xf>
    <xf numFmtId="41" fontId="3" fillId="5" borderId="0" xfId="1" applyFont="1" applyFill="1" applyBorder="1" applyAlignment="1">
      <alignment horizontal="center" vertical="center"/>
    </xf>
    <xf numFmtId="41" fontId="18" fillId="4" borderId="0" xfId="1" applyFont="1" applyFill="1" applyBorder="1" applyAlignment="1">
      <alignment horizontal="center" vertical="center"/>
    </xf>
    <xf numFmtId="41" fontId="19" fillId="6" borderId="0" xfId="1" applyFont="1" applyFill="1" applyBorder="1" applyAlignment="1">
      <alignment horizontal="center" vertical="center" wrapText="1"/>
    </xf>
    <xf numFmtId="41" fontId="20" fillId="6" borderId="0" xfId="1" applyFont="1" applyFill="1" applyBorder="1" applyAlignment="1">
      <alignment horizontal="center" vertical="center" wrapText="1"/>
    </xf>
    <xf numFmtId="41" fontId="21" fillId="6" borderId="0" xfId="1" applyFont="1" applyFill="1" applyBorder="1" applyAlignment="1">
      <alignment horizontal="center" vertical="center" wrapText="1"/>
    </xf>
    <xf numFmtId="0" fontId="3" fillId="0" borderId="0" xfId="0" applyFont="1" applyBorder="1">
      <alignment vertical="center"/>
    </xf>
    <xf numFmtId="0" fontId="0" fillId="0" borderId="11" xfId="0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23" fillId="2" borderId="29" xfId="0" applyFont="1" applyFill="1" applyBorder="1" applyAlignment="1">
      <alignment horizontal="center" vertical="center"/>
    </xf>
    <xf numFmtId="0" fontId="23" fillId="2" borderId="12" xfId="0" applyFont="1" applyFill="1" applyBorder="1" applyAlignment="1">
      <alignment horizontal="center" vertical="center"/>
    </xf>
    <xf numFmtId="10" fontId="0" fillId="0" borderId="0" xfId="0" applyNumberFormat="1" applyFill="1" applyBorder="1" applyAlignment="1">
      <alignment horizontal="center" vertical="center"/>
    </xf>
    <xf numFmtId="41" fontId="0" fillId="0" borderId="0" xfId="1" applyFont="1">
      <alignment vertical="center"/>
    </xf>
    <xf numFmtId="41" fontId="13" fillId="0" borderId="0" xfId="1" applyFont="1">
      <alignment vertical="center"/>
    </xf>
    <xf numFmtId="0" fontId="0" fillId="9" borderId="2" xfId="0" applyFill="1" applyBorder="1" applyAlignment="1">
      <alignment horizontal="center" vertical="center"/>
    </xf>
    <xf numFmtId="41" fontId="0" fillId="9" borderId="5" xfId="1" applyFont="1" applyFill="1" applyBorder="1">
      <alignment vertical="center"/>
    </xf>
    <xf numFmtId="0" fontId="0" fillId="9" borderId="5" xfId="0" applyFill="1" applyBorder="1" applyAlignment="1">
      <alignment horizontal="center" vertical="center"/>
    </xf>
    <xf numFmtId="0" fontId="28" fillId="9" borderId="5" xfId="0" applyFont="1" applyFill="1" applyBorder="1" applyAlignment="1">
      <alignment horizontal="center" vertical="center"/>
    </xf>
    <xf numFmtId="0" fontId="28" fillId="9" borderId="5" xfId="0" applyFont="1" applyFill="1" applyBorder="1">
      <alignment vertical="center"/>
    </xf>
    <xf numFmtId="0" fontId="3" fillId="9" borderId="5" xfId="0" applyFont="1" applyFill="1" applyBorder="1" applyAlignment="1">
      <alignment horizontal="center" vertical="center"/>
    </xf>
    <xf numFmtId="41" fontId="0" fillId="9" borderId="8" xfId="1" applyFont="1" applyFill="1" applyBorder="1">
      <alignment vertical="center"/>
    </xf>
    <xf numFmtId="0" fontId="15" fillId="0" borderId="3" xfId="0" applyFont="1" applyBorder="1" applyAlignment="1">
      <alignment horizontal="center" vertical="center"/>
    </xf>
    <xf numFmtId="41" fontId="29" fillId="0" borderId="0" xfId="1" applyFont="1">
      <alignment vertical="center"/>
    </xf>
    <xf numFmtId="0" fontId="8" fillId="0" borderId="6" xfId="0" applyFont="1" applyBorder="1" applyAlignment="1">
      <alignment horizontal="center" vertical="center"/>
    </xf>
    <xf numFmtId="41" fontId="30" fillId="0" borderId="0" xfId="1" applyFont="1">
      <alignment vertical="center"/>
    </xf>
    <xf numFmtId="0" fontId="31" fillId="0" borderId="6" xfId="0" applyFont="1" applyBorder="1" applyAlignment="1">
      <alignment horizontal="center" vertical="center"/>
    </xf>
    <xf numFmtId="41" fontId="32" fillId="0" borderId="0" xfId="1" applyFont="1">
      <alignment vertical="center"/>
    </xf>
    <xf numFmtId="0" fontId="20" fillId="0" borderId="6" xfId="0" applyFont="1" applyBorder="1" applyAlignment="1">
      <alignment horizontal="center" vertical="center"/>
    </xf>
    <xf numFmtId="41" fontId="33" fillId="0" borderId="0" xfId="1" applyFont="1">
      <alignment vertical="center"/>
    </xf>
    <xf numFmtId="41" fontId="28" fillId="0" borderId="5" xfId="1" applyFont="1" applyBorder="1" applyAlignment="1">
      <alignment horizontal="center" vertical="center"/>
    </xf>
    <xf numFmtId="41" fontId="13" fillId="4" borderId="11" xfId="1" applyFont="1" applyFill="1" applyBorder="1" applyAlignment="1">
      <alignment horizontal="center" vertical="center"/>
    </xf>
    <xf numFmtId="41" fontId="23" fillId="0" borderId="31" xfId="1" applyFont="1" applyBorder="1" applyAlignment="1">
      <alignment horizontal="center" vertical="center"/>
    </xf>
    <xf numFmtId="41" fontId="3" fillId="5" borderId="31" xfId="1" applyFont="1" applyFill="1" applyBorder="1" applyAlignment="1">
      <alignment horizontal="center" vertical="center"/>
    </xf>
    <xf numFmtId="41" fontId="19" fillId="6" borderId="31" xfId="1" applyFont="1" applyFill="1" applyBorder="1" applyAlignment="1">
      <alignment horizontal="center" vertical="center" wrapText="1"/>
    </xf>
    <xf numFmtId="41" fontId="20" fillId="6" borderId="31" xfId="1" applyFont="1" applyFill="1" applyBorder="1" applyAlignment="1">
      <alignment horizontal="center" vertical="center" wrapText="1"/>
    </xf>
    <xf numFmtId="41" fontId="21" fillId="6" borderId="31" xfId="1" applyFont="1" applyFill="1" applyBorder="1" applyAlignment="1">
      <alignment horizontal="center" vertical="center" wrapText="1"/>
    </xf>
    <xf numFmtId="0" fontId="3" fillId="0" borderId="32" xfId="0" applyFont="1" applyBorder="1">
      <alignment vertical="center"/>
    </xf>
    <xf numFmtId="0" fontId="4" fillId="0" borderId="0" xfId="0" applyFont="1" applyAlignment="1">
      <alignment horizontal="center" vertical="center"/>
    </xf>
    <xf numFmtId="10" fontId="0" fillId="10" borderId="0" xfId="0" applyNumberForma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23" fillId="7" borderId="4" xfId="0" applyFont="1" applyFill="1" applyBorder="1" applyAlignment="1">
      <alignment horizontal="center" vertical="center"/>
    </xf>
    <xf numFmtId="0" fontId="23" fillId="7" borderId="5" xfId="0" applyFont="1" applyFill="1" applyBorder="1" applyAlignment="1">
      <alignment horizontal="center" vertical="center"/>
    </xf>
    <xf numFmtId="0" fontId="23" fillId="9" borderId="5" xfId="0" applyFont="1" applyFill="1" applyBorder="1" applyAlignment="1">
      <alignment horizontal="center" vertical="center"/>
    </xf>
    <xf numFmtId="0" fontId="23" fillId="7" borderId="6" xfId="0" applyFont="1" applyFill="1" applyBorder="1" applyAlignment="1">
      <alignment horizontal="center" vertical="center"/>
    </xf>
    <xf numFmtId="41" fontId="23" fillId="6" borderId="0" xfId="1" applyFont="1" applyFill="1" applyBorder="1" applyAlignment="1">
      <alignment horizontal="center" vertical="center" wrapText="1"/>
    </xf>
    <xf numFmtId="41" fontId="16" fillId="11" borderId="11" xfId="1" applyFont="1" applyFill="1" applyBorder="1" applyAlignment="1">
      <alignment horizontal="center" vertical="center" wrapText="1"/>
    </xf>
    <xf numFmtId="41" fontId="15" fillId="3" borderId="5" xfId="1" applyFont="1" applyFill="1" applyBorder="1" applyAlignment="1">
      <alignment horizontal="center" vertical="center" wrapText="1"/>
    </xf>
    <xf numFmtId="41" fontId="24" fillId="3" borderId="5" xfId="1" applyFont="1" applyFill="1" applyBorder="1" applyAlignment="1">
      <alignment horizontal="center" vertical="center" wrapText="1"/>
    </xf>
    <xf numFmtId="0" fontId="34" fillId="0" borderId="19" xfId="0" applyFont="1" applyBorder="1">
      <alignment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23" fillId="2" borderId="29" xfId="0" applyFont="1" applyFill="1" applyBorder="1" applyAlignment="1">
      <alignment horizontal="center" vertical="center"/>
    </xf>
    <xf numFmtId="0" fontId="23" fillId="2" borderId="12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1" fontId="35" fillId="0" borderId="5" xfId="1" applyFont="1" applyBorder="1" applyAlignment="1">
      <alignment horizontal="center" vertical="center"/>
    </xf>
    <xf numFmtId="41" fontId="36" fillId="0" borderId="5" xfId="1" applyFont="1" applyBorder="1" applyAlignment="1">
      <alignment horizontal="center" vertical="center"/>
    </xf>
    <xf numFmtId="41" fontId="28" fillId="0" borderId="4" xfId="0" applyNumberFormat="1" applyFont="1" applyBorder="1">
      <alignment vertical="center"/>
    </xf>
    <xf numFmtId="41" fontId="28" fillId="0" borderId="5" xfId="0" applyNumberFormat="1" applyFont="1" applyBorder="1">
      <alignment vertical="center"/>
    </xf>
    <xf numFmtId="41" fontId="0" fillId="0" borderId="6" xfId="0" applyNumberFormat="1" applyBorder="1">
      <alignment vertical="center"/>
    </xf>
    <xf numFmtId="0" fontId="0" fillId="0" borderId="23" xfId="0" applyBorder="1" applyAlignment="1">
      <alignment vertical="center"/>
    </xf>
    <xf numFmtId="0" fontId="0" fillId="0" borderId="14" xfId="0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7" xfId="0" applyFont="1" applyFill="1" applyBorder="1" applyAlignment="1">
      <alignment vertical="center"/>
    </xf>
    <xf numFmtId="0" fontId="4" fillId="2" borderId="13" xfId="0" applyFont="1" applyFill="1" applyBorder="1" applyAlignment="1">
      <alignment vertical="center"/>
    </xf>
    <xf numFmtId="41" fontId="2" fillId="0" borderId="5" xfId="1" applyFont="1" applyBorder="1" applyAlignment="1">
      <alignment horizontal="center" vertical="center"/>
    </xf>
    <xf numFmtId="41" fontId="37" fillId="0" borderId="5" xfId="1" applyFont="1" applyBorder="1" applyAlignment="1">
      <alignment horizontal="center" vertical="center"/>
    </xf>
    <xf numFmtId="41" fontId="2" fillId="0" borderId="11" xfId="1" applyFont="1" applyBorder="1" applyAlignment="1">
      <alignment horizontal="center" vertical="center"/>
    </xf>
    <xf numFmtId="0" fontId="38" fillId="0" borderId="19" xfId="0" applyFont="1" applyBorder="1">
      <alignment vertical="center"/>
    </xf>
    <xf numFmtId="10" fontId="0" fillId="11" borderId="5" xfId="0" applyNumberFormat="1" applyFill="1" applyBorder="1" applyAlignment="1">
      <alignment horizontal="center" vertical="center"/>
    </xf>
    <xf numFmtId="41" fontId="2" fillId="11" borderId="5" xfId="1" applyFont="1" applyFill="1" applyBorder="1" applyAlignment="1">
      <alignment horizontal="center" vertical="center"/>
    </xf>
    <xf numFmtId="41" fontId="0" fillId="11" borderId="5" xfId="1" applyFont="1" applyFill="1" applyBorder="1" applyAlignment="1">
      <alignment horizontal="center" vertical="center"/>
    </xf>
    <xf numFmtId="41" fontId="28" fillId="12" borderId="5" xfId="1" applyFont="1" applyFill="1" applyBorder="1" applyAlignment="1">
      <alignment horizontal="center" vertical="center"/>
    </xf>
    <xf numFmtId="41" fontId="28" fillId="12" borderId="5" xfId="0" applyNumberFormat="1" applyFont="1" applyFill="1" applyBorder="1" applyAlignment="1">
      <alignment horizontal="center" vertical="center"/>
    </xf>
    <xf numFmtId="0" fontId="28" fillId="0" borderId="19" xfId="0" applyFont="1" applyBorder="1">
      <alignment vertical="center"/>
    </xf>
    <xf numFmtId="41" fontId="39" fillId="4" borderId="5" xfId="1" applyFont="1" applyFill="1" applyBorder="1" applyAlignment="1">
      <alignment horizontal="center" vertical="center"/>
    </xf>
    <xf numFmtId="0" fontId="23" fillId="2" borderId="29" xfId="0" applyFont="1" applyFill="1" applyBorder="1" applyAlignment="1">
      <alignment horizontal="center" vertical="center"/>
    </xf>
    <xf numFmtId="0" fontId="23" fillId="2" borderId="12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41" fontId="38" fillId="0" borderId="5" xfId="1" applyFont="1" applyBorder="1" applyAlignment="1">
      <alignment horizontal="center" vertical="center"/>
    </xf>
    <xf numFmtId="41" fontId="3" fillId="11" borderId="5" xfId="1" applyFont="1" applyFill="1" applyBorder="1" applyAlignment="1">
      <alignment horizontal="center" vertical="center"/>
    </xf>
    <xf numFmtId="41" fontId="0" fillId="11" borderId="11" xfId="1" applyFont="1" applyFill="1" applyBorder="1" applyAlignment="1">
      <alignment horizontal="center" vertical="center"/>
    </xf>
    <xf numFmtId="41" fontId="28" fillId="9" borderId="5" xfId="1" applyFont="1" applyFill="1" applyBorder="1">
      <alignment vertical="center"/>
    </xf>
    <xf numFmtId="41" fontId="4" fillId="0" borderId="7" xfId="1" applyFont="1" applyBorder="1">
      <alignment vertical="center"/>
    </xf>
    <xf numFmtId="41" fontId="4" fillId="0" borderId="8" xfId="1" applyFont="1" applyBorder="1">
      <alignment vertical="center"/>
    </xf>
    <xf numFmtId="41" fontId="4" fillId="9" borderId="8" xfId="1" applyFont="1" applyFill="1" applyBorder="1">
      <alignment vertical="center"/>
    </xf>
    <xf numFmtId="41" fontId="4" fillId="0" borderId="9" xfId="1" applyFont="1" applyBorder="1">
      <alignment vertical="center"/>
    </xf>
    <xf numFmtId="0" fontId="40" fillId="0" borderId="0" xfId="0" applyFont="1">
      <alignment vertical="center"/>
    </xf>
    <xf numFmtId="0" fontId="25" fillId="0" borderId="19" xfId="0" applyFont="1" applyBorder="1">
      <alignment vertical="center"/>
    </xf>
    <xf numFmtId="176" fontId="0" fillId="0" borderId="0" xfId="0" applyNumberFormat="1">
      <alignment vertical="center"/>
    </xf>
    <xf numFmtId="0" fontId="8" fillId="0" borderId="12" xfId="0" applyFont="1" applyBorder="1" applyAlignment="1">
      <alignment horizontal="center" vertical="center"/>
    </xf>
    <xf numFmtId="41" fontId="8" fillId="0" borderId="22" xfId="1" applyFont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41" fontId="4" fillId="6" borderId="22" xfId="0" applyNumberFormat="1" applyFont="1" applyFill="1" applyBorder="1" applyAlignment="1">
      <alignment horizontal="center" vertical="center"/>
    </xf>
    <xf numFmtId="0" fontId="39" fillId="0" borderId="0" xfId="0" applyFont="1">
      <alignment vertical="center"/>
    </xf>
    <xf numFmtId="0" fontId="41" fillId="0" borderId="0" xfId="0" applyFont="1">
      <alignment vertical="center"/>
    </xf>
    <xf numFmtId="0" fontId="46" fillId="0" borderId="19" xfId="0" applyFont="1" applyBorder="1">
      <alignment vertical="center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41" fontId="13" fillId="11" borderId="5" xfId="1" applyFont="1" applyFill="1" applyBorder="1" applyAlignment="1">
      <alignment horizontal="center" vertical="center"/>
    </xf>
    <xf numFmtId="41" fontId="11" fillId="11" borderId="5" xfId="1" applyFont="1" applyFill="1" applyBorder="1" applyAlignment="1">
      <alignment horizontal="center" vertical="center"/>
    </xf>
    <xf numFmtId="41" fontId="0" fillId="11" borderId="12" xfId="1" applyFont="1" applyFill="1" applyBorder="1" applyAlignment="1">
      <alignment horizontal="center" vertical="center"/>
    </xf>
    <xf numFmtId="41" fontId="11" fillId="11" borderId="12" xfId="1" applyFont="1" applyFill="1" applyBorder="1" applyAlignment="1">
      <alignment horizontal="center" vertical="center"/>
    </xf>
    <xf numFmtId="41" fontId="39" fillId="11" borderId="5" xfId="1" applyFont="1" applyFill="1" applyBorder="1" applyAlignment="1">
      <alignment horizontal="center" vertical="center"/>
    </xf>
    <xf numFmtId="41" fontId="13" fillId="11" borderId="11" xfId="1" applyFont="1" applyFill="1" applyBorder="1" applyAlignment="1">
      <alignment horizontal="center" vertical="center"/>
    </xf>
    <xf numFmtId="41" fontId="23" fillId="4" borderId="5" xfId="1" applyFont="1" applyFill="1" applyBorder="1" applyAlignment="1">
      <alignment horizontal="center" vertical="center"/>
    </xf>
    <xf numFmtId="41" fontId="3" fillId="4" borderId="5" xfId="1" applyFont="1" applyFill="1" applyBorder="1" applyAlignment="1">
      <alignment horizontal="center" vertical="center"/>
    </xf>
    <xf numFmtId="41" fontId="25" fillId="4" borderId="5" xfId="1" applyFont="1" applyFill="1" applyBorder="1" applyAlignment="1">
      <alignment horizontal="center" vertical="center"/>
    </xf>
    <xf numFmtId="41" fontId="23" fillId="4" borderId="8" xfId="1" applyFont="1" applyFill="1" applyBorder="1" applyAlignment="1">
      <alignment horizontal="center" vertical="center"/>
    </xf>
    <xf numFmtId="41" fontId="3" fillId="4" borderId="8" xfId="1" applyFont="1" applyFill="1" applyBorder="1" applyAlignment="1">
      <alignment horizontal="center" vertical="center"/>
    </xf>
    <xf numFmtId="41" fontId="22" fillId="4" borderId="31" xfId="1" applyFont="1" applyFill="1" applyBorder="1" applyAlignment="1">
      <alignment horizontal="center" vertical="center"/>
    </xf>
    <xf numFmtId="0" fontId="0" fillId="11" borderId="0" xfId="0" applyFill="1" applyBorder="1">
      <alignment vertical="center"/>
    </xf>
    <xf numFmtId="41" fontId="0" fillId="11" borderId="0" xfId="1" applyFont="1" applyFill="1" applyBorder="1">
      <alignment vertical="center"/>
    </xf>
    <xf numFmtId="41" fontId="29" fillId="11" borderId="0" xfId="1" applyFont="1" applyFill="1" applyBorder="1">
      <alignment vertical="center"/>
    </xf>
    <xf numFmtId="0" fontId="0" fillId="11" borderId="0" xfId="0" applyFill="1" applyBorder="1" applyAlignment="1">
      <alignment horizontal="center" vertical="center"/>
    </xf>
    <xf numFmtId="0" fontId="15" fillId="11" borderId="0" xfId="0" applyFont="1" applyFill="1" applyBorder="1" applyAlignment="1">
      <alignment horizontal="center" vertical="center"/>
    </xf>
    <xf numFmtId="10" fontId="0" fillId="11" borderId="0" xfId="0" applyNumberFormat="1" applyFill="1" applyBorder="1" applyAlignment="1">
      <alignment horizontal="center" vertical="center"/>
    </xf>
    <xf numFmtId="0" fontId="3" fillId="11" borderId="0" xfId="0" applyFont="1" applyFill="1" applyBorder="1">
      <alignment vertical="center"/>
    </xf>
    <xf numFmtId="0" fontId="8" fillId="11" borderId="0" xfId="0" applyFont="1" applyFill="1" applyBorder="1" applyAlignment="1">
      <alignment horizontal="center" vertical="center"/>
    </xf>
    <xf numFmtId="41" fontId="13" fillId="11" borderId="0" xfId="1" applyFont="1" applyFill="1" applyBorder="1">
      <alignment vertical="center"/>
    </xf>
    <xf numFmtId="41" fontId="30" fillId="11" borderId="0" xfId="1" applyFont="1" applyFill="1" applyBorder="1">
      <alignment vertical="center"/>
    </xf>
    <xf numFmtId="0" fontId="31" fillId="11" borderId="0" xfId="0" applyFont="1" applyFill="1" applyBorder="1" applyAlignment="1">
      <alignment horizontal="center" vertical="center"/>
    </xf>
    <xf numFmtId="41" fontId="32" fillId="11" borderId="0" xfId="1" applyFont="1" applyFill="1" applyBorder="1">
      <alignment vertical="center"/>
    </xf>
    <xf numFmtId="0" fontId="28" fillId="11" borderId="0" xfId="0" applyFont="1" applyFill="1" applyBorder="1" applyAlignment="1">
      <alignment horizontal="center" vertical="center"/>
    </xf>
    <xf numFmtId="0" fontId="20" fillId="11" borderId="0" xfId="0" applyFont="1" applyFill="1" applyBorder="1" applyAlignment="1">
      <alignment horizontal="center" vertical="center"/>
    </xf>
    <xf numFmtId="41" fontId="28" fillId="11" borderId="0" xfId="0" applyNumberFormat="1" applyFont="1" applyFill="1" applyBorder="1">
      <alignment vertical="center"/>
    </xf>
    <xf numFmtId="0" fontId="28" fillId="11" borderId="0" xfId="0" applyFont="1" applyFill="1" applyBorder="1">
      <alignment vertical="center"/>
    </xf>
    <xf numFmtId="41" fontId="0" fillId="11" borderId="0" xfId="0" applyNumberFormat="1" applyFill="1" applyBorder="1">
      <alignment vertical="center"/>
    </xf>
    <xf numFmtId="41" fontId="33" fillId="11" borderId="0" xfId="1" applyFont="1" applyFill="1" applyBorder="1">
      <alignment vertical="center"/>
    </xf>
    <xf numFmtId="0" fontId="3" fillId="11" borderId="0" xfId="0" applyFont="1" applyFill="1" applyBorder="1" applyAlignment="1">
      <alignment horizontal="center" vertical="center"/>
    </xf>
    <xf numFmtId="41" fontId="21" fillId="0" borderId="22" xfId="1" applyFont="1" applyBorder="1" applyAlignment="1">
      <alignment horizontal="center" vertical="center" wrapText="1"/>
    </xf>
    <xf numFmtId="41" fontId="8" fillId="3" borderId="5" xfId="1" applyFont="1" applyFill="1" applyBorder="1" applyAlignment="1">
      <alignment horizontal="center" vertical="center" wrapText="1"/>
    </xf>
    <xf numFmtId="0" fontId="0" fillId="13" borderId="0" xfId="0" applyFill="1">
      <alignment vertical="center"/>
    </xf>
    <xf numFmtId="41" fontId="0" fillId="14" borderId="5" xfId="1" applyFont="1" applyFill="1" applyBorder="1" applyAlignment="1">
      <alignment horizontal="center" vertical="center"/>
    </xf>
    <xf numFmtId="41" fontId="28" fillId="14" borderId="5" xfId="1" applyFont="1" applyFill="1" applyBorder="1" applyAlignment="1">
      <alignment horizontal="center" vertical="center"/>
    </xf>
    <xf numFmtId="41" fontId="0" fillId="14" borderId="11" xfId="1" applyFont="1" applyFill="1" applyBorder="1" applyAlignment="1">
      <alignment horizontal="center" vertical="center"/>
    </xf>
    <xf numFmtId="41" fontId="0" fillId="15" borderId="5" xfId="1" applyFont="1" applyFill="1" applyBorder="1" applyAlignment="1">
      <alignment horizontal="center" vertical="center"/>
    </xf>
    <xf numFmtId="41" fontId="0" fillId="16" borderId="5" xfId="1" applyFont="1" applyFill="1" applyBorder="1" applyAlignment="1">
      <alignment horizontal="center" vertical="center"/>
    </xf>
    <xf numFmtId="41" fontId="0" fillId="15" borderId="11" xfId="1" applyFont="1" applyFill="1" applyBorder="1" applyAlignment="1">
      <alignment horizontal="center" vertical="center"/>
    </xf>
    <xf numFmtId="41" fontId="28" fillId="15" borderId="5" xfId="1" applyFont="1" applyFill="1" applyBorder="1" applyAlignment="1">
      <alignment horizontal="center" vertical="center"/>
    </xf>
    <xf numFmtId="41" fontId="23" fillId="12" borderId="5" xfId="1" applyFont="1" applyFill="1" applyBorder="1" applyAlignment="1">
      <alignment horizontal="center" vertical="center"/>
    </xf>
    <xf numFmtId="41" fontId="8" fillId="1" borderId="5" xfId="1" applyFont="1" applyFill="1" applyBorder="1" applyAlignment="1">
      <alignment horizontal="center" vertical="center"/>
    </xf>
    <xf numFmtId="41" fontId="8" fillId="3" borderId="5" xfId="1" applyNumberFormat="1" applyFont="1" applyFill="1" applyBorder="1" applyAlignment="1">
      <alignment horizontal="center" vertical="center"/>
    </xf>
    <xf numFmtId="41" fontId="16" fillId="3" borderId="5" xfId="1" applyFont="1" applyFill="1" applyBorder="1" applyAlignment="1">
      <alignment horizontal="center" vertical="center" wrapText="1"/>
    </xf>
    <xf numFmtId="41" fontId="10" fillId="3" borderId="5" xfId="1" applyFont="1" applyFill="1" applyBorder="1" applyAlignment="1">
      <alignment horizontal="center" vertical="center" wrapText="1"/>
    </xf>
    <xf numFmtId="41" fontId="4" fillId="3" borderId="5" xfId="1" applyFont="1" applyFill="1" applyBorder="1" applyAlignment="1">
      <alignment horizontal="center" vertical="center"/>
    </xf>
    <xf numFmtId="41" fontId="16" fillId="3" borderId="11" xfId="1" applyFont="1" applyFill="1" applyBorder="1" applyAlignment="1">
      <alignment horizontal="center" vertical="center" wrapText="1"/>
    </xf>
    <xf numFmtId="41" fontId="10" fillId="3" borderId="11" xfId="1" applyFont="1" applyFill="1" applyBorder="1" applyAlignment="1">
      <alignment horizontal="center" vertical="center" wrapText="1"/>
    </xf>
    <xf numFmtId="41" fontId="4" fillId="3" borderId="11" xfId="1" applyFont="1" applyFill="1" applyBorder="1" applyAlignment="1">
      <alignment horizontal="center" vertical="center"/>
    </xf>
    <xf numFmtId="41" fontId="9" fillId="3" borderId="11" xfId="1" applyFont="1" applyFill="1" applyBorder="1" applyAlignment="1">
      <alignment horizontal="center" vertical="center" wrapText="1"/>
    </xf>
    <xf numFmtId="0" fontId="22" fillId="0" borderId="0" xfId="0" applyFont="1">
      <alignment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23" fillId="2" borderId="29" xfId="0" applyFont="1" applyFill="1" applyBorder="1" applyAlignment="1">
      <alignment horizontal="center" vertical="center"/>
    </xf>
    <xf numFmtId="0" fontId="23" fillId="2" borderId="12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23" fillId="2" borderId="29" xfId="0" applyFont="1" applyFill="1" applyBorder="1" applyAlignment="1">
      <alignment horizontal="center" vertical="center"/>
    </xf>
    <xf numFmtId="0" fontId="23" fillId="2" borderId="12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5" fillId="0" borderId="0" xfId="0" applyFont="1">
      <alignment vertical="center"/>
    </xf>
    <xf numFmtId="0" fontId="23" fillId="2" borderId="16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41" fontId="28" fillId="11" borderId="5" xfId="1" applyFont="1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4" fillId="16" borderId="5" xfId="0" applyFont="1" applyFill="1" applyBorder="1" applyAlignment="1">
      <alignment horizontal="center" vertical="center"/>
    </xf>
    <xf numFmtId="0" fontId="4" fillId="16" borderId="11" xfId="0" applyFont="1" applyFill="1" applyBorder="1" applyAlignment="1">
      <alignment horizontal="center" vertical="center"/>
    </xf>
    <xf numFmtId="0" fontId="0" fillId="16" borderId="11" xfId="0" applyFill="1" applyBorder="1" applyAlignment="1">
      <alignment horizontal="center" vertical="center"/>
    </xf>
    <xf numFmtId="10" fontId="0" fillId="16" borderId="5" xfId="0" applyNumberFormat="1" applyFill="1" applyBorder="1" applyAlignment="1">
      <alignment horizontal="center" vertical="center"/>
    </xf>
    <xf numFmtId="10" fontId="0" fillId="16" borderId="11" xfId="0" applyNumberFormat="1" applyFill="1" applyBorder="1" applyAlignment="1">
      <alignment horizontal="center" vertical="center"/>
    </xf>
    <xf numFmtId="41" fontId="25" fillId="0" borderId="8" xfId="1" applyFont="1" applyBorder="1" applyAlignment="1">
      <alignment horizontal="center" vertical="center"/>
    </xf>
    <xf numFmtId="41" fontId="5" fillId="0" borderId="8" xfId="1" applyFont="1" applyBorder="1" applyAlignment="1">
      <alignment horizontal="center" vertical="center"/>
    </xf>
    <xf numFmtId="41" fontId="24" fillId="0" borderId="29" xfId="1" applyFont="1" applyBorder="1" applyAlignment="1">
      <alignment horizontal="center" vertical="center" wrapText="1"/>
    </xf>
    <xf numFmtId="41" fontId="21" fillId="0" borderId="29" xfId="1" applyFont="1" applyBorder="1" applyAlignment="1">
      <alignment horizontal="center" vertical="center" wrapText="1"/>
    </xf>
    <xf numFmtId="41" fontId="23" fillId="12" borderId="8" xfId="1" applyFont="1" applyFill="1" applyBorder="1" applyAlignment="1">
      <alignment horizontal="center" vertical="center"/>
    </xf>
    <xf numFmtId="0" fontId="4" fillId="11" borderId="5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11" borderId="23" xfId="0" applyFill="1" applyBorder="1" applyAlignment="1">
      <alignment vertical="center"/>
    </xf>
    <xf numFmtId="0" fontId="4" fillId="12" borderId="5" xfId="0" applyFont="1" applyFill="1" applyBorder="1" applyAlignment="1">
      <alignment horizontal="center" vertical="center"/>
    </xf>
    <xf numFmtId="41" fontId="4" fillId="12" borderId="5" xfId="0" applyNumberFormat="1" applyFont="1" applyFill="1" applyBorder="1" applyAlignment="1">
      <alignment horizontal="center" vertical="center"/>
    </xf>
    <xf numFmtId="0" fontId="23" fillId="2" borderId="16" xfId="0" applyFont="1" applyFill="1" applyBorder="1" applyAlignment="1">
      <alignment horizontal="center" vertical="center"/>
    </xf>
    <xf numFmtId="0" fontId="23" fillId="2" borderId="29" xfId="0" applyFont="1" applyFill="1" applyBorder="1" applyAlignment="1">
      <alignment horizontal="center" vertical="center"/>
    </xf>
    <xf numFmtId="0" fontId="23" fillId="2" borderId="18" xfId="0" applyFont="1" applyFill="1" applyBorder="1" applyAlignment="1">
      <alignment horizontal="center" vertical="center"/>
    </xf>
    <xf numFmtId="0" fontId="23" fillId="2" borderId="12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23" fillId="2" borderId="33" xfId="0" applyFont="1" applyFill="1" applyBorder="1" applyAlignment="1">
      <alignment horizontal="center" vertical="center"/>
    </xf>
    <xf numFmtId="0" fontId="23" fillId="2" borderId="34" xfId="0" applyFont="1" applyFill="1" applyBorder="1" applyAlignment="1">
      <alignment horizontal="center" vertical="center"/>
    </xf>
    <xf numFmtId="0" fontId="23" fillId="2" borderId="35" xfId="0" applyFont="1" applyFill="1" applyBorder="1" applyAlignment="1">
      <alignment horizontal="center" vertical="center"/>
    </xf>
    <xf numFmtId="0" fontId="45" fillId="0" borderId="0" xfId="0" applyFont="1" applyAlignment="1">
      <alignment horizontal="center" vertical="center" wrapText="1"/>
    </xf>
    <xf numFmtId="0" fontId="23" fillId="2" borderId="36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8"/>
  <sheetViews>
    <sheetView topLeftCell="A10" workbookViewId="0">
      <selection activeCell="F22" sqref="F22"/>
    </sheetView>
  </sheetViews>
  <sheetFormatPr defaultRowHeight="16.5"/>
  <cols>
    <col min="1" max="1" width="8" customWidth="1"/>
    <col min="2" max="2" width="5.875" customWidth="1"/>
    <col min="6" max="8" width="12.5" customWidth="1"/>
    <col min="9" max="11" width="14.625" customWidth="1"/>
    <col min="12" max="12" width="38.5" customWidth="1"/>
    <col min="14" max="14" width="17.125" customWidth="1"/>
  </cols>
  <sheetData>
    <row r="1" spans="1:13" ht="33.75">
      <c r="A1" s="336" t="s">
        <v>74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  <c r="L1" s="336"/>
    </row>
    <row r="2" spans="1:13" ht="30.75" customHeight="1" thickBot="1">
      <c r="L2" s="46" t="s">
        <v>68</v>
      </c>
    </row>
    <row r="3" spans="1:13" ht="21.75" customHeight="1" thickTop="1">
      <c r="A3" s="337" t="s">
        <v>37</v>
      </c>
      <c r="B3" s="338" t="s">
        <v>36</v>
      </c>
      <c r="C3" s="338" t="s">
        <v>1</v>
      </c>
      <c r="D3" s="338" t="s">
        <v>2</v>
      </c>
      <c r="E3" s="338" t="s">
        <v>3</v>
      </c>
      <c r="F3" s="26" t="s">
        <v>72</v>
      </c>
      <c r="G3" s="26"/>
      <c r="H3" s="26"/>
      <c r="I3" s="340" t="s">
        <v>39</v>
      </c>
      <c r="J3" s="340"/>
      <c r="K3" s="340"/>
      <c r="L3" s="341" t="s">
        <v>38</v>
      </c>
    </row>
    <row r="4" spans="1:13" ht="21.75" customHeight="1">
      <c r="A4" s="332"/>
      <c r="B4" s="339"/>
      <c r="C4" s="339"/>
      <c r="D4" s="339"/>
      <c r="E4" s="339"/>
      <c r="F4" s="27" t="s">
        <v>73</v>
      </c>
      <c r="G4" s="27" t="s">
        <v>46</v>
      </c>
      <c r="H4" s="27" t="s">
        <v>47</v>
      </c>
      <c r="I4" s="13" t="s">
        <v>40</v>
      </c>
      <c r="J4" s="13" t="s">
        <v>41</v>
      </c>
      <c r="K4" s="13" t="s">
        <v>42</v>
      </c>
      <c r="L4" s="342"/>
    </row>
    <row r="5" spans="1:13" ht="36" customHeight="1">
      <c r="A5" s="330" t="s">
        <v>35</v>
      </c>
      <c r="B5" s="2">
        <v>1</v>
      </c>
      <c r="C5" s="10" t="s">
        <v>24</v>
      </c>
      <c r="D5" s="2" t="s">
        <v>25</v>
      </c>
      <c r="E5" s="2" t="s">
        <v>26</v>
      </c>
      <c r="F5" s="45">
        <v>30000</v>
      </c>
      <c r="G5" s="20">
        <v>90000</v>
      </c>
      <c r="H5" s="24">
        <f>+F5-G5</f>
        <v>-60000</v>
      </c>
      <c r="I5" s="16"/>
      <c r="J5" s="42">
        <v>90000</v>
      </c>
      <c r="K5" s="16"/>
      <c r="L5" s="76" t="s">
        <v>56</v>
      </c>
    </row>
    <row r="6" spans="1:13" ht="36" customHeight="1">
      <c r="A6" s="331"/>
      <c r="B6" s="2">
        <v>2</v>
      </c>
      <c r="C6" s="10" t="s">
        <v>27</v>
      </c>
      <c r="D6" s="333" t="s">
        <v>28</v>
      </c>
      <c r="E6" s="2" t="s">
        <v>26</v>
      </c>
      <c r="F6" s="36">
        <v>70000</v>
      </c>
      <c r="G6" s="36">
        <v>70000</v>
      </c>
      <c r="H6" s="37"/>
      <c r="I6" s="38">
        <v>50000</v>
      </c>
      <c r="J6" s="31">
        <v>20000</v>
      </c>
      <c r="K6" s="17"/>
      <c r="L6" s="73" t="s">
        <v>60</v>
      </c>
    </row>
    <row r="7" spans="1:13" ht="36" customHeight="1">
      <c r="A7" s="331"/>
      <c r="B7" s="2">
        <v>3</v>
      </c>
      <c r="C7" s="10" t="s">
        <v>50</v>
      </c>
      <c r="D7" s="334"/>
      <c r="E7" s="2" t="s">
        <v>26</v>
      </c>
      <c r="F7" s="36">
        <v>60000</v>
      </c>
      <c r="G7" s="36">
        <v>60000</v>
      </c>
      <c r="H7" s="37"/>
      <c r="I7" s="38">
        <v>40000</v>
      </c>
      <c r="J7" s="31">
        <v>20000</v>
      </c>
      <c r="K7" s="17"/>
      <c r="L7" s="7" t="s">
        <v>59</v>
      </c>
    </row>
    <row r="8" spans="1:13" ht="36" customHeight="1">
      <c r="A8" s="331"/>
      <c r="B8" s="2">
        <v>4</v>
      </c>
      <c r="C8" s="10" t="s">
        <v>45</v>
      </c>
      <c r="D8" s="334"/>
      <c r="E8" s="2" t="s">
        <v>26</v>
      </c>
      <c r="F8" s="36">
        <v>70000</v>
      </c>
      <c r="G8" s="36">
        <v>70000</v>
      </c>
      <c r="H8" s="37"/>
      <c r="I8" s="38">
        <v>50000</v>
      </c>
      <c r="J8" s="31">
        <v>20000</v>
      </c>
      <c r="K8" s="17"/>
      <c r="L8" s="73" t="s">
        <v>58</v>
      </c>
    </row>
    <row r="9" spans="1:13" ht="36" customHeight="1">
      <c r="A9" s="331"/>
      <c r="B9" s="2">
        <v>5</v>
      </c>
      <c r="C9" s="10" t="s">
        <v>51</v>
      </c>
      <c r="D9" s="334"/>
      <c r="E9" s="2" t="s">
        <v>26</v>
      </c>
      <c r="F9" s="36">
        <v>30000</v>
      </c>
      <c r="G9" s="36">
        <v>30000</v>
      </c>
      <c r="H9" s="37"/>
      <c r="I9" s="38">
        <v>20000</v>
      </c>
      <c r="J9" s="31">
        <v>10000</v>
      </c>
      <c r="K9" s="17"/>
      <c r="L9" s="72" t="s">
        <v>62</v>
      </c>
    </row>
    <row r="10" spans="1:13" ht="36" customHeight="1">
      <c r="A10" s="332"/>
      <c r="B10" s="2">
        <v>6</v>
      </c>
      <c r="C10" s="10" t="s">
        <v>10</v>
      </c>
      <c r="D10" s="335"/>
      <c r="E10" s="2" t="s">
        <v>11</v>
      </c>
      <c r="F10" s="45">
        <v>230000</v>
      </c>
      <c r="G10" s="20">
        <v>230000</v>
      </c>
      <c r="H10" s="24">
        <f>+F10-G10</f>
        <v>0</v>
      </c>
      <c r="I10" s="39">
        <v>140000</v>
      </c>
      <c r="J10" s="42">
        <v>90000</v>
      </c>
      <c r="K10" s="17"/>
      <c r="L10" s="74" t="s">
        <v>56</v>
      </c>
    </row>
    <row r="11" spans="1:13" s="5" customFormat="1" ht="36" customHeight="1">
      <c r="A11" s="328" t="s">
        <v>71</v>
      </c>
      <c r="B11" s="329"/>
      <c r="C11" s="329"/>
      <c r="D11" s="329"/>
      <c r="E11" s="329"/>
      <c r="F11" s="60">
        <f>+I11+J11+K11</f>
        <v>550000</v>
      </c>
      <c r="G11" s="57"/>
      <c r="H11" s="61">
        <f>SUM(H5:H10)</f>
        <v>-60000</v>
      </c>
      <c r="I11" s="62">
        <f>SUM(I5:I10)</f>
        <v>300000</v>
      </c>
      <c r="J11" s="51">
        <f>SUM(J5:J10)</f>
        <v>250000</v>
      </c>
      <c r="K11" s="63"/>
      <c r="L11" s="52"/>
    </row>
    <row r="12" spans="1:13" ht="6.75" customHeight="1">
      <c r="A12" s="8"/>
      <c r="B12" s="6"/>
      <c r="C12" s="11"/>
      <c r="D12" s="6"/>
      <c r="E12" s="6"/>
      <c r="F12" s="21"/>
      <c r="G12" s="21"/>
      <c r="H12" s="23"/>
      <c r="I12" s="12"/>
      <c r="J12" s="15"/>
      <c r="K12" s="17"/>
      <c r="L12" s="7"/>
    </row>
    <row r="13" spans="1:13" ht="36" customHeight="1">
      <c r="A13" s="330" t="s">
        <v>34</v>
      </c>
      <c r="B13" s="2">
        <v>1</v>
      </c>
      <c r="C13" s="10" t="s">
        <v>4</v>
      </c>
      <c r="D13" s="333" t="s">
        <v>5</v>
      </c>
      <c r="E13" s="2" t="s">
        <v>15</v>
      </c>
      <c r="F13" s="20">
        <v>210000</v>
      </c>
      <c r="G13" s="20">
        <v>600000</v>
      </c>
      <c r="H13" s="35"/>
      <c r="I13" s="39">
        <v>120000</v>
      </c>
      <c r="J13" s="31"/>
      <c r="K13" s="42">
        <v>90000</v>
      </c>
      <c r="L13" s="7" t="s">
        <v>63</v>
      </c>
    </row>
    <row r="14" spans="1:13" ht="36" customHeight="1">
      <c r="A14" s="331"/>
      <c r="B14" s="2">
        <v>2</v>
      </c>
      <c r="C14" s="10" t="s">
        <v>12</v>
      </c>
      <c r="D14" s="335"/>
      <c r="E14" s="2" t="s">
        <v>15</v>
      </c>
      <c r="F14" s="20">
        <v>210000</v>
      </c>
      <c r="G14" s="20">
        <v>600000</v>
      </c>
      <c r="H14" s="35"/>
      <c r="I14" s="39">
        <v>120000</v>
      </c>
      <c r="J14" s="31"/>
      <c r="K14" s="42">
        <v>90000</v>
      </c>
      <c r="L14" s="72" t="s">
        <v>61</v>
      </c>
    </row>
    <row r="15" spans="1:13" ht="36" customHeight="1">
      <c r="A15" s="331"/>
      <c r="B15" s="2">
        <v>3</v>
      </c>
      <c r="C15" s="10" t="s">
        <v>29</v>
      </c>
      <c r="D15" s="2" t="s">
        <v>30</v>
      </c>
      <c r="E15" s="2" t="s">
        <v>31</v>
      </c>
      <c r="F15" s="45">
        <v>430000</v>
      </c>
      <c r="G15" s="20">
        <v>700000</v>
      </c>
      <c r="H15" s="35"/>
      <c r="I15" s="39">
        <v>200000</v>
      </c>
      <c r="J15" s="42">
        <v>230000</v>
      </c>
      <c r="K15" s="31"/>
      <c r="L15" s="74" t="s">
        <v>57</v>
      </c>
      <c r="M15" t="s">
        <v>96</v>
      </c>
    </row>
    <row r="16" spans="1:13" ht="36" customHeight="1">
      <c r="A16" s="331"/>
      <c r="B16" s="2">
        <v>4</v>
      </c>
      <c r="C16" s="10" t="s">
        <v>13</v>
      </c>
      <c r="D16" s="333" t="s">
        <v>14</v>
      </c>
      <c r="E16" s="2" t="s">
        <v>15</v>
      </c>
      <c r="F16" s="45">
        <v>500000</v>
      </c>
      <c r="G16" s="20">
        <v>600000</v>
      </c>
      <c r="H16" s="35"/>
      <c r="I16" s="39">
        <v>200000</v>
      </c>
      <c r="J16" s="42">
        <v>200000</v>
      </c>
      <c r="K16" s="42">
        <v>100000</v>
      </c>
      <c r="L16" s="75" t="s">
        <v>56</v>
      </c>
    </row>
    <row r="17" spans="1:12" ht="36" customHeight="1">
      <c r="A17" s="331"/>
      <c r="B17" s="2">
        <v>5</v>
      </c>
      <c r="C17" s="10" t="s">
        <v>18</v>
      </c>
      <c r="D17" s="334"/>
      <c r="E17" s="2" t="s">
        <v>15</v>
      </c>
      <c r="F17" s="45">
        <v>300000</v>
      </c>
      <c r="G17" s="20">
        <v>350000</v>
      </c>
      <c r="H17" s="35"/>
      <c r="I17" s="39">
        <v>200000</v>
      </c>
      <c r="J17" s="18"/>
      <c r="K17" s="77">
        <v>100000</v>
      </c>
      <c r="L17" s="75" t="s">
        <v>55</v>
      </c>
    </row>
    <row r="18" spans="1:12" ht="36" customHeight="1">
      <c r="A18" s="332"/>
      <c r="B18" s="2">
        <v>6</v>
      </c>
      <c r="C18" s="10" t="s">
        <v>32</v>
      </c>
      <c r="D18" s="335"/>
      <c r="E18" s="2" t="s">
        <v>15</v>
      </c>
      <c r="F18" s="20">
        <v>500000</v>
      </c>
      <c r="G18" s="20">
        <v>600000</v>
      </c>
      <c r="H18" s="35"/>
      <c r="I18" s="39">
        <v>200000</v>
      </c>
      <c r="J18" s="42">
        <v>200000</v>
      </c>
      <c r="K18" s="42">
        <v>100000</v>
      </c>
      <c r="L18" s="73" t="s">
        <v>54</v>
      </c>
    </row>
    <row r="19" spans="1:12" s="5" customFormat="1" ht="36" customHeight="1">
      <c r="A19" s="328" t="s">
        <v>70</v>
      </c>
      <c r="B19" s="329"/>
      <c r="C19" s="329"/>
      <c r="D19" s="329"/>
      <c r="E19" s="329"/>
      <c r="F19" s="56">
        <f>SUM(I19:K19)</f>
        <v>2150000</v>
      </c>
      <c r="G19" s="57"/>
      <c r="H19" s="58">
        <f>SUM(H13:H18)</f>
        <v>0</v>
      </c>
      <c r="I19" s="59">
        <f>SUM(I13:I18)</f>
        <v>1040000</v>
      </c>
      <c r="J19" s="51">
        <f t="shared" ref="J19:K19" si="0">SUM(J13:J18)</f>
        <v>630000</v>
      </c>
      <c r="K19" s="51">
        <f t="shared" si="0"/>
        <v>480000</v>
      </c>
      <c r="L19" s="52"/>
    </row>
    <row r="20" spans="1:12" ht="23.25" customHeight="1">
      <c r="A20" s="8"/>
      <c r="B20" s="6"/>
      <c r="C20" s="11"/>
      <c r="D20" s="6"/>
      <c r="E20" s="6"/>
      <c r="F20" s="21"/>
      <c r="G20" s="21"/>
      <c r="H20" s="23"/>
      <c r="I20" s="12"/>
      <c r="J20" s="10"/>
      <c r="K20" s="15"/>
      <c r="L20" s="7"/>
    </row>
    <row r="21" spans="1:12" ht="36" customHeight="1">
      <c r="A21" s="330" t="s">
        <v>33</v>
      </c>
      <c r="B21" s="2">
        <v>1</v>
      </c>
      <c r="C21" s="10" t="s">
        <v>6</v>
      </c>
      <c r="D21" s="2" t="s">
        <v>7</v>
      </c>
      <c r="E21" s="2" t="s">
        <v>9</v>
      </c>
      <c r="F21" s="20">
        <v>540000</v>
      </c>
      <c r="G21" s="20">
        <v>950000</v>
      </c>
      <c r="H21" s="33"/>
      <c r="I21" s="40">
        <v>230000</v>
      </c>
      <c r="J21" s="43">
        <v>220000</v>
      </c>
      <c r="K21" s="42">
        <v>90000</v>
      </c>
      <c r="L21" s="7" t="s">
        <v>64</v>
      </c>
    </row>
    <row r="22" spans="1:12" ht="36" customHeight="1">
      <c r="A22" s="331"/>
      <c r="B22" s="2">
        <v>2</v>
      </c>
      <c r="C22" s="10" t="s">
        <v>16</v>
      </c>
      <c r="D22" s="2" t="s">
        <v>17</v>
      </c>
      <c r="E22" s="2" t="s">
        <v>15</v>
      </c>
      <c r="F22" s="53">
        <v>150000</v>
      </c>
      <c r="G22" s="47">
        <v>150000</v>
      </c>
      <c r="H22" s="48"/>
      <c r="I22" s="49"/>
      <c r="J22" s="50"/>
      <c r="K22" s="51">
        <v>150000</v>
      </c>
      <c r="L22" s="72" t="s">
        <v>67</v>
      </c>
    </row>
    <row r="23" spans="1:12" ht="36" customHeight="1">
      <c r="A23" s="331"/>
      <c r="B23" s="2">
        <v>3</v>
      </c>
      <c r="C23" s="10" t="s">
        <v>19</v>
      </c>
      <c r="D23" s="2" t="s">
        <v>20</v>
      </c>
      <c r="E23" s="2" t="s">
        <v>21</v>
      </c>
      <c r="F23" s="20">
        <v>250000</v>
      </c>
      <c r="G23" s="20">
        <v>400000</v>
      </c>
      <c r="H23" s="33"/>
      <c r="I23" s="40">
        <v>250000</v>
      </c>
      <c r="J23" s="32"/>
      <c r="K23" s="17"/>
      <c r="L23" s="7" t="s">
        <v>52</v>
      </c>
    </row>
    <row r="24" spans="1:12" ht="36" customHeight="1">
      <c r="A24" s="331"/>
      <c r="B24" s="25">
        <v>4</v>
      </c>
      <c r="C24" s="14" t="s">
        <v>22</v>
      </c>
      <c r="D24" s="25" t="s">
        <v>23</v>
      </c>
      <c r="E24" s="25" t="s">
        <v>8</v>
      </c>
      <c r="F24" s="22">
        <v>470000</v>
      </c>
      <c r="G24" s="22">
        <v>400000</v>
      </c>
      <c r="H24" s="34"/>
      <c r="I24" s="41">
        <v>250000</v>
      </c>
      <c r="J24" s="44">
        <v>220000</v>
      </c>
      <c r="K24" s="19"/>
      <c r="L24" s="7" t="s">
        <v>65</v>
      </c>
    </row>
    <row r="25" spans="1:12" ht="36" customHeight="1">
      <c r="A25" s="331"/>
      <c r="B25" s="25">
        <v>5</v>
      </c>
      <c r="C25" s="14" t="s">
        <v>43</v>
      </c>
      <c r="D25" s="25" t="s">
        <v>44</v>
      </c>
      <c r="E25" s="25" t="s">
        <v>21</v>
      </c>
      <c r="F25" s="22">
        <v>250000</v>
      </c>
      <c r="G25" s="22">
        <v>400000</v>
      </c>
      <c r="H25" s="34"/>
      <c r="I25" s="41">
        <v>250000</v>
      </c>
      <c r="J25" s="54"/>
      <c r="K25" s="19"/>
      <c r="L25" s="73" t="s">
        <v>53</v>
      </c>
    </row>
    <row r="26" spans="1:12" s="5" customFormat="1" ht="36" customHeight="1" thickBot="1">
      <c r="A26" s="326" t="s">
        <v>69</v>
      </c>
      <c r="B26" s="326"/>
      <c r="C26" s="326"/>
      <c r="D26" s="326"/>
      <c r="E26" s="327"/>
      <c r="F26" s="65">
        <f>SUM(I26:K26)</f>
        <v>1660000</v>
      </c>
      <c r="G26" s="66"/>
      <c r="H26" s="67"/>
      <c r="I26" s="68">
        <f>SUM(I21:I25)</f>
        <v>980000</v>
      </c>
      <c r="J26" s="69">
        <f>SUM(J21:J25)</f>
        <v>440000</v>
      </c>
      <c r="K26" s="70">
        <f>SUM(K21:K25)</f>
        <v>240000</v>
      </c>
      <c r="L26" s="71"/>
    </row>
    <row r="27" spans="1:12" ht="17.25" thickTop="1"/>
    <row r="28" spans="1:12" ht="26.25">
      <c r="A28" s="9" t="s">
        <v>66</v>
      </c>
    </row>
  </sheetData>
  <mergeCells count="17">
    <mergeCell ref="A1:L1"/>
    <mergeCell ref="A3:A4"/>
    <mergeCell ref="B3:B4"/>
    <mergeCell ref="C3:C4"/>
    <mergeCell ref="D3:D4"/>
    <mergeCell ref="E3:E4"/>
    <mergeCell ref="I3:K3"/>
    <mergeCell ref="L3:L4"/>
    <mergeCell ref="A26:E26"/>
    <mergeCell ref="A11:E11"/>
    <mergeCell ref="A5:A10"/>
    <mergeCell ref="D6:D10"/>
    <mergeCell ref="A13:A18"/>
    <mergeCell ref="D13:D14"/>
    <mergeCell ref="D16:D18"/>
    <mergeCell ref="A21:A25"/>
    <mergeCell ref="A19:E19"/>
  </mergeCells>
  <phoneticPr fontId="1" type="noConversion"/>
  <printOptions horizontalCentered="1" verticalCentered="1"/>
  <pageMargins left="0.70866141732283472" right="0.70866141732283472" top="0" bottom="0" header="0.31496062992125984" footer="0.31496062992125984"/>
  <pageSetup paperSize="9" scale="62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9"/>
  <sheetViews>
    <sheetView topLeftCell="A7" zoomScale="80" zoomScaleNormal="80" workbookViewId="0">
      <selection activeCell="G17" sqref="G17"/>
    </sheetView>
  </sheetViews>
  <sheetFormatPr defaultRowHeight="16.5"/>
  <cols>
    <col min="1" max="1" width="8" customWidth="1"/>
    <col min="2" max="2" width="5.875" customWidth="1"/>
    <col min="7" max="9" width="12.5" customWidth="1"/>
    <col min="10" max="15" width="14.625" customWidth="1"/>
    <col min="16" max="16" width="38.5" customWidth="1"/>
    <col min="19" max="20" width="16.5" customWidth="1"/>
    <col min="21" max="25" width="18.25" customWidth="1"/>
  </cols>
  <sheetData>
    <row r="1" spans="1:23" ht="33.75">
      <c r="A1" s="336" t="s">
        <v>74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  <c r="O1" s="336"/>
      <c r="P1" s="336"/>
    </row>
    <row r="2" spans="1:23" ht="30.75" customHeight="1" thickBot="1">
      <c r="P2" s="46" t="s">
        <v>68</v>
      </c>
    </row>
    <row r="3" spans="1:23" ht="21.75" customHeight="1" thickTop="1">
      <c r="A3" s="337" t="s">
        <v>37</v>
      </c>
      <c r="B3" s="338" t="s">
        <v>36</v>
      </c>
      <c r="C3" s="338" t="s">
        <v>1</v>
      </c>
      <c r="D3" s="338" t="s">
        <v>2</v>
      </c>
      <c r="E3" s="338" t="s">
        <v>3</v>
      </c>
      <c r="F3" s="29"/>
      <c r="G3" s="29" t="s">
        <v>72</v>
      </c>
      <c r="H3" s="29" t="s">
        <v>77</v>
      </c>
      <c r="I3" s="29"/>
      <c r="J3" s="340" t="s">
        <v>39</v>
      </c>
      <c r="K3" s="340"/>
      <c r="L3" s="340"/>
      <c r="M3" s="340"/>
      <c r="N3" s="340"/>
      <c r="O3" s="29"/>
      <c r="P3" s="343" t="s">
        <v>38</v>
      </c>
    </row>
    <row r="4" spans="1:23" ht="21.75" customHeight="1" thickBot="1">
      <c r="A4" s="332"/>
      <c r="B4" s="339"/>
      <c r="C4" s="339"/>
      <c r="D4" s="339"/>
      <c r="E4" s="339"/>
      <c r="F4" s="30"/>
      <c r="G4" s="30" t="s">
        <v>73</v>
      </c>
      <c r="H4" s="30" t="s">
        <v>78</v>
      </c>
      <c r="I4" s="30" t="s">
        <v>47</v>
      </c>
      <c r="J4" s="13" t="s">
        <v>40</v>
      </c>
      <c r="K4" s="13" t="s">
        <v>79</v>
      </c>
      <c r="L4" s="13" t="s">
        <v>41</v>
      </c>
      <c r="M4" s="13" t="s">
        <v>79</v>
      </c>
      <c r="N4" s="13" t="s">
        <v>42</v>
      </c>
      <c r="O4" s="13" t="s">
        <v>79</v>
      </c>
      <c r="P4" s="344"/>
    </row>
    <row r="5" spans="1:23" ht="36" customHeight="1" thickTop="1">
      <c r="A5" s="330" t="s">
        <v>35</v>
      </c>
      <c r="B5" s="2">
        <v>1</v>
      </c>
      <c r="C5" s="10" t="s">
        <v>24</v>
      </c>
      <c r="D5" s="2" t="s">
        <v>25</v>
      </c>
      <c r="E5" s="2" t="s">
        <v>26</v>
      </c>
      <c r="F5" s="2"/>
      <c r="G5" s="45">
        <v>90000</v>
      </c>
      <c r="H5" s="20">
        <v>90000</v>
      </c>
      <c r="I5" s="24">
        <f>+G5-H5</f>
        <v>0</v>
      </c>
      <c r="J5" s="80"/>
      <c r="K5" s="80"/>
      <c r="L5" s="81">
        <v>90000</v>
      </c>
      <c r="M5" s="81">
        <f>+L5*(1-F5)</f>
        <v>90000</v>
      </c>
      <c r="N5" s="87"/>
      <c r="O5" s="88">
        <f t="shared" ref="O5:O10" si="0">N5*(1-F5)</f>
        <v>0</v>
      </c>
      <c r="P5" s="76" t="s">
        <v>56</v>
      </c>
      <c r="S5" s="113" t="s">
        <v>84</v>
      </c>
      <c r="T5" s="114" t="s">
        <v>76</v>
      </c>
      <c r="U5" s="140" t="s">
        <v>81</v>
      </c>
      <c r="V5" s="147" t="s">
        <v>82</v>
      </c>
      <c r="W5" s="137">
        <v>3.3000000000000002E-2</v>
      </c>
    </row>
    <row r="6" spans="1:23" ht="36" customHeight="1">
      <c r="A6" s="331"/>
      <c r="B6" s="2">
        <v>2</v>
      </c>
      <c r="C6" s="10" t="s">
        <v>27</v>
      </c>
      <c r="D6" s="333" t="s">
        <v>28</v>
      </c>
      <c r="E6" s="2" t="s">
        <v>26</v>
      </c>
      <c r="F6" s="78">
        <v>1.52E-2</v>
      </c>
      <c r="G6" s="36">
        <v>70000</v>
      </c>
      <c r="H6" s="36">
        <f>+G6*(1-F6)</f>
        <v>68936</v>
      </c>
      <c r="I6" s="37"/>
      <c r="J6" s="82">
        <v>50000</v>
      </c>
      <c r="K6" s="82">
        <f>+J6*(1-F6)</f>
        <v>49240</v>
      </c>
      <c r="L6" s="83">
        <v>20000</v>
      </c>
      <c r="M6" s="83">
        <f>+L6*(1-F6)</f>
        <v>19696</v>
      </c>
      <c r="N6" s="89"/>
      <c r="O6" s="88">
        <f t="shared" si="0"/>
        <v>0</v>
      </c>
      <c r="P6" s="73" t="s">
        <v>54</v>
      </c>
      <c r="S6" s="117">
        <f>+J11+J19</f>
        <v>1390000</v>
      </c>
      <c r="T6" s="3">
        <f>+K11+K19</f>
        <v>1380400</v>
      </c>
      <c r="U6" s="141">
        <f>+S6*0.4</f>
        <v>556000</v>
      </c>
      <c r="V6" s="4">
        <f>+T6-U6</f>
        <v>824400</v>
      </c>
      <c r="W6" s="148">
        <f>+V6*(1-W5)</f>
        <v>797194.79999999993</v>
      </c>
    </row>
    <row r="7" spans="1:23" ht="36" customHeight="1">
      <c r="A7" s="331"/>
      <c r="B7" s="2">
        <v>3</v>
      </c>
      <c r="C7" s="10" t="s">
        <v>50</v>
      </c>
      <c r="D7" s="334"/>
      <c r="E7" s="2" t="s">
        <v>26</v>
      </c>
      <c r="F7" s="2"/>
      <c r="G7" s="36">
        <v>60000</v>
      </c>
      <c r="H7" s="36">
        <f>+G7*(1-F7)</f>
        <v>60000</v>
      </c>
      <c r="I7" s="37"/>
      <c r="J7" s="82">
        <v>40000</v>
      </c>
      <c r="K7" s="82">
        <f t="shared" ref="K7:K9" si="1">+J7*(1-F7)</f>
        <v>40000</v>
      </c>
      <c r="L7" s="83">
        <v>20000</v>
      </c>
      <c r="M7" s="83">
        <f t="shared" ref="M7:M10" si="2">+L7*(1-F7)</f>
        <v>20000</v>
      </c>
      <c r="N7" s="89"/>
      <c r="O7" s="88">
        <f t="shared" si="0"/>
        <v>0</v>
      </c>
      <c r="P7" s="7" t="s">
        <v>59</v>
      </c>
      <c r="S7" s="1" t="s">
        <v>83</v>
      </c>
      <c r="T7" s="2" t="s">
        <v>75</v>
      </c>
      <c r="U7" s="142" t="s">
        <v>80</v>
      </c>
      <c r="V7" s="149" t="s">
        <v>86</v>
      </c>
      <c r="W7" s="139"/>
    </row>
    <row r="8" spans="1:23" ht="36" customHeight="1">
      <c r="A8" s="331"/>
      <c r="B8" s="2">
        <v>4</v>
      </c>
      <c r="C8" s="10" t="s">
        <v>45</v>
      </c>
      <c r="D8" s="334"/>
      <c r="E8" s="2" t="s">
        <v>26</v>
      </c>
      <c r="F8" s="78">
        <v>1.52E-2</v>
      </c>
      <c r="G8" s="36">
        <v>70000</v>
      </c>
      <c r="H8" s="36">
        <f>+G8*(1-F8)</f>
        <v>68936</v>
      </c>
      <c r="I8" s="37"/>
      <c r="J8" s="82">
        <v>50000</v>
      </c>
      <c r="K8" s="82">
        <f t="shared" si="1"/>
        <v>49240</v>
      </c>
      <c r="L8" s="83">
        <v>20000</v>
      </c>
      <c r="M8" s="83">
        <f t="shared" si="2"/>
        <v>19696</v>
      </c>
      <c r="N8" s="89"/>
      <c r="O8" s="88">
        <f t="shared" si="0"/>
        <v>0</v>
      </c>
      <c r="P8" s="73" t="s">
        <v>54</v>
      </c>
      <c r="S8" s="117">
        <f>+L11+L19+N19+N26</f>
        <v>1450000</v>
      </c>
      <c r="T8" s="3">
        <f>+M19+O19+O26</f>
        <v>1190040</v>
      </c>
      <c r="U8" s="141">
        <f>+S8*0.4</f>
        <v>580000</v>
      </c>
      <c r="V8" s="4">
        <f>+T8-U8</f>
        <v>610040</v>
      </c>
      <c r="W8" s="150">
        <f>+V8*(1-W5)</f>
        <v>589908.67999999993</v>
      </c>
    </row>
    <row r="9" spans="1:23" ht="36" customHeight="1">
      <c r="A9" s="331"/>
      <c r="B9" s="2">
        <v>5</v>
      </c>
      <c r="C9" s="10" t="s">
        <v>51</v>
      </c>
      <c r="D9" s="334"/>
      <c r="E9" s="2" t="s">
        <v>26</v>
      </c>
      <c r="F9" s="78">
        <v>1.7999999999999999E-2</v>
      </c>
      <c r="G9" s="36">
        <v>30000</v>
      </c>
      <c r="H9" s="36">
        <f>+G9*(1-F9)</f>
        <v>29460</v>
      </c>
      <c r="I9" s="37"/>
      <c r="J9" s="82">
        <v>20000</v>
      </c>
      <c r="K9" s="82">
        <f t="shared" si="1"/>
        <v>19640</v>
      </c>
      <c r="L9" s="83">
        <v>10000</v>
      </c>
      <c r="M9" s="83">
        <f t="shared" si="2"/>
        <v>9820</v>
      </c>
      <c r="N9" s="89"/>
      <c r="O9" s="88">
        <f t="shared" si="0"/>
        <v>0</v>
      </c>
      <c r="P9" s="72" t="s">
        <v>62</v>
      </c>
      <c r="S9" s="1" t="s">
        <v>83</v>
      </c>
      <c r="T9" s="2" t="s">
        <v>75</v>
      </c>
      <c r="U9" s="142" t="s">
        <v>80</v>
      </c>
      <c r="V9" s="151" t="s">
        <v>85</v>
      </c>
      <c r="W9" s="139"/>
    </row>
    <row r="10" spans="1:23" ht="36" customHeight="1">
      <c r="A10" s="332"/>
      <c r="B10" s="2">
        <v>6</v>
      </c>
      <c r="C10" s="10" t="s">
        <v>10</v>
      </c>
      <c r="D10" s="335"/>
      <c r="E10" s="2" t="s">
        <v>11</v>
      </c>
      <c r="F10" s="2"/>
      <c r="G10" s="45">
        <v>230000</v>
      </c>
      <c r="H10" s="20">
        <v>230000</v>
      </c>
      <c r="I10" s="24">
        <f>+G10-H10</f>
        <v>0</v>
      </c>
      <c r="J10" s="84">
        <v>140000</v>
      </c>
      <c r="K10" s="84">
        <f>+J10*(1-F10)</f>
        <v>140000</v>
      </c>
      <c r="L10" s="81">
        <v>90000</v>
      </c>
      <c r="M10" s="81">
        <f t="shared" si="2"/>
        <v>90000</v>
      </c>
      <c r="N10" s="89"/>
      <c r="O10" s="88">
        <f t="shared" si="0"/>
        <v>0</v>
      </c>
      <c r="P10" s="74" t="s">
        <v>56</v>
      </c>
      <c r="S10" s="117">
        <f>+J26</f>
        <v>980000</v>
      </c>
      <c r="T10" s="3">
        <f>+K26</f>
        <v>965620</v>
      </c>
      <c r="U10" s="141">
        <f>+S10*0.5</f>
        <v>490000</v>
      </c>
      <c r="V10" s="4">
        <f>+T10-U10</f>
        <v>475620</v>
      </c>
      <c r="W10" s="152">
        <f>+V10*(1-W5)</f>
        <v>459924.54</v>
      </c>
    </row>
    <row r="11" spans="1:23" s="5" customFormat="1" ht="36" customHeight="1">
      <c r="A11" s="328" t="s">
        <v>70</v>
      </c>
      <c r="B11" s="329"/>
      <c r="C11" s="329"/>
      <c r="D11" s="329"/>
      <c r="E11" s="329"/>
      <c r="F11" s="55"/>
      <c r="G11" s="60">
        <f>+J11+L11+N11</f>
        <v>550000</v>
      </c>
      <c r="H11" s="57">
        <f t="shared" ref="H11:M11" si="3">SUM(H5:H10)</f>
        <v>547332</v>
      </c>
      <c r="I11" s="61">
        <f t="shared" si="3"/>
        <v>0</v>
      </c>
      <c r="J11" s="62">
        <f t="shared" si="3"/>
        <v>300000</v>
      </c>
      <c r="K11" s="62">
        <f t="shared" si="3"/>
        <v>298120</v>
      </c>
      <c r="L11" s="51">
        <f t="shared" si="3"/>
        <v>250000</v>
      </c>
      <c r="M11" s="51">
        <f t="shared" si="3"/>
        <v>249212</v>
      </c>
      <c r="N11" s="90"/>
      <c r="O11" s="91"/>
      <c r="P11" s="52"/>
      <c r="S11" s="115" t="s">
        <v>83</v>
      </c>
      <c r="T11" s="116" t="s">
        <v>75</v>
      </c>
      <c r="U11" s="143" t="s">
        <v>80</v>
      </c>
      <c r="V11" s="153" t="s">
        <v>87</v>
      </c>
      <c r="W11" s="139"/>
    </row>
    <row r="12" spans="1:23" ht="6.75" customHeight="1">
      <c r="A12" s="8"/>
      <c r="B12" s="6"/>
      <c r="C12" s="11"/>
      <c r="D12" s="6"/>
      <c r="E12" s="6"/>
      <c r="F12" s="6"/>
      <c r="G12" s="21"/>
      <c r="H12" s="21"/>
      <c r="I12" s="23"/>
      <c r="J12" s="12"/>
      <c r="K12" s="12"/>
      <c r="L12" s="15"/>
      <c r="M12" s="15"/>
      <c r="N12" s="17"/>
      <c r="O12" s="86"/>
      <c r="P12" s="7"/>
      <c r="S12" s="111"/>
      <c r="T12" s="112"/>
      <c r="U12" s="144"/>
      <c r="V12" s="110"/>
      <c r="W12" s="139"/>
    </row>
    <row r="13" spans="1:23" ht="36" customHeight="1">
      <c r="A13" s="330" t="s">
        <v>34</v>
      </c>
      <c r="B13" s="2">
        <v>1</v>
      </c>
      <c r="C13" s="10" t="s">
        <v>4</v>
      </c>
      <c r="D13" s="333" t="s">
        <v>5</v>
      </c>
      <c r="E13" s="2" t="s">
        <v>15</v>
      </c>
      <c r="F13" s="78">
        <v>2.1000000000000001E-2</v>
      </c>
      <c r="G13" s="20">
        <v>210000</v>
      </c>
      <c r="H13" s="20">
        <f>+G13*(1-F13)</f>
        <v>205590</v>
      </c>
      <c r="I13" s="35"/>
      <c r="J13" s="39">
        <v>120000</v>
      </c>
      <c r="K13" s="39">
        <f t="shared" ref="K13:K18" si="4">+J13*(1-F13)</f>
        <v>117480</v>
      </c>
      <c r="L13" s="83"/>
      <c r="M13" s="83">
        <f t="shared" ref="M13:M18" si="5">+L13*(1-F13)</f>
        <v>0</v>
      </c>
      <c r="N13" s="81">
        <v>90000</v>
      </c>
      <c r="O13" s="92">
        <f>N13*(1-F13)</f>
        <v>88110</v>
      </c>
      <c r="P13" s="7" t="s">
        <v>63</v>
      </c>
      <c r="S13" s="117">
        <f>+L26</f>
        <v>440000</v>
      </c>
      <c r="T13" s="3">
        <f>+M26</f>
        <v>430320</v>
      </c>
      <c r="U13" s="141">
        <f>+S13*0.6</f>
        <v>264000</v>
      </c>
      <c r="V13" s="4">
        <f>+T13-U13</f>
        <v>166320</v>
      </c>
      <c r="W13" s="154">
        <f>+V13*(1-W5)</f>
        <v>160831.44</v>
      </c>
    </row>
    <row r="14" spans="1:23" ht="36" customHeight="1">
      <c r="A14" s="331"/>
      <c r="B14" s="2">
        <v>2</v>
      </c>
      <c r="C14" s="10" t="s">
        <v>12</v>
      </c>
      <c r="D14" s="335"/>
      <c r="E14" s="2" t="s">
        <v>15</v>
      </c>
      <c r="F14" s="78">
        <v>1.7999999999999999E-2</v>
      </c>
      <c r="G14" s="20">
        <v>210000</v>
      </c>
      <c r="H14" s="20">
        <f>+G14*(1-F14)</f>
        <v>206220</v>
      </c>
      <c r="I14" s="35"/>
      <c r="J14" s="39">
        <v>120000</v>
      </c>
      <c r="K14" s="39">
        <f t="shared" si="4"/>
        <v>117840</v>
      </c>
      <c r="L14" s="83"/>
      <c r="M14" s="83">
        <f t="shared" si="5"/>
        <v>0</v>
      </c>
      <c r="N14" s="81">
        <v>90000</v>
      </c>
      <c r="O14" s="92">
        <f t="shared" ref="O14:O18" si="6">N14*(1-F14)</f>
        <v>88380</v>
      </c>
      <c r="P14" s="72" t="s">
        <v>61</v>
      </c>
      <c r="S14" s="121" t="s">
        <v>83</v>
      </c>
      <c r="T14" s="122" t="s">
        <v>75</v>
      </c>
      <c r="U14" s="145" t="s">
        <v>80</v>
      </c>
      <c r="V14" s="123" t="s">
        <v>88</v>
      </c>
      <c r="W14" s="139"/>
    </row>
    <row r="15" spans="1:23" ht="36" customHeight="1" thickBot="1">
      <c r="A15" s="331"/>
      <c r="B15" s="2">
        <v>3</v>
      </c>
      <c r="C15" s="10" t="s">
        <v>29</v>
      </c>
      <c r="D15" s="2" t="s">
        <v>30</v>
      </c>
      <c r="E15" s="2" t="s">
        <v>31</v>
      </c>
      <c r="F15" s="2"/>
      <c r="G15" s="45">
        <v>480000</v>
      </c>
      <c r="H15" s="20">
        <f t="shared" ref="H15:H17" si="7">+G15*(1-F15)</f>
        <v>480000</v>
      </c>
      <c r="I15" s="35"/>
      <c r="J15" s="39">
        <v>250000</v>
      </c>
      <c r="K15" s="39">
        <f t="shared" si="4"/>
        <v>250000</v>
      </c>
      <c r="L15" s="81">
        <v>230000</v>
      </c>
      <c r="M15" s="81">
        <f t="shared" si="5"/>
        <v>230000</v>
      </c>
      <c r="N15" s="83"/>
      <c r="O15" s="93">
        <f t="shared" si="6"/>
        <v>0</v>
      </c>
      <c r="P15" s="74" t="s">
        <v>57</v>
      </c>
      <c r="S15" s="118">
        <f>+S13+S10+S8+S6</f>
        <v>4260000</v>
      </c>
      <c r="T15" s="119">
        <f t="shared" ref="T15:U15" si="8">+T13+T10+T8+T6</f>
        <v>3966380</v>
      </c>
      <c r="U15" s="146">
        <f t="shared" si="8"/>
        <v>1890000</v>
      </c>
      <c r="V15" s="120">
        <f>+V13+V10+V8+V6</f>
        <v>2076380</v>
      </c>
      <c r="W15" s="139">
        <f>+V15*(1-W5)</f>
        <v>2007859.46</v>
      </c>
    </row>
    <row r="16" spans="1:23" ht="36" customHeight="1" thickTop="1">
      <c r="A16" s="331"/>
      <c r="B16" s="2">
        <v>4</v>
      </c>
      <c r="C16" s="10" t="s">
        <v>13</v>
      </c>
      <c r="D16" s="333" t="s">
        <v>14</v>
      </c>
      <c r="E16" s="2" t="s">
        <v>15</v>
      </c>
      <c r="F16" s="2"/>
      <c r="G16" s="45">
        <v>500000</v>
      </c>
      <c r="H16" s="20">
        <f t="shared" si="7"/>
        <v>500000</v>
      </c>
      <c r="I16" s="35"/>
      <c r="J16" s="39">
        <v>200000</v>
      </c>
      <c r="K16" s="39">
        <f t="shared" si="4"/>
        <v>200000</v>
      </c>
      <c r="L16" s="81">
        <v>200000</v>
      </c>
      <c r="M16" s="81">
        <f t="shared" si="5"/>
        <v>200000</v>
      </c>
      <c r="N16" s="81">
        <v>100000</v>
      </c>
      <c r="O16" s="92">
        <f t="shared" si="6"/>
        <v>100000</v>
      </c>
      <c r="P16" s="75" t="s">
        <v>56</v>
      </c>
      <c r="W16" s="138"/>
    </row>
    <row r="17" spans="1:19" ht="36" customHeight="1">
      <c r="A17" s="331"/>
      <c r="B17" s="2">
        <v>5</v>
      </c>
      <c r="C17" s="10" t="s">
        <v>18</v>
      </c>
      <c r="D17" s="334"/>
      <c r="E17" s="2" t="s">
        <v>15</v>
      </c>
      <c r="F17" s="2"/>
      <c r="G17" s="45">
        <v>300000</v>
      </c>
      <c r="H17" s="20">
        <f t="shared" si="7"/>
        <v>300000</v>
      </c>
      <c r="I17" s="35"/>
      <c r="J17" s="39">
        <v>200000</v>
      </c>
      <c r="K17" s="39">
        <f t="shared" si="4"/>
        <v>200000</v>
      </c>
      <c r="L17" s="94"/>
      <c r="M17" s="83">
        <f t="shared" si="5"/>
        <v>0</v>
      </c>
      <c r="N17" s="83">
        <v>100000</v>
      </c>
      <c r="O17" s="93">
        <f t="shared" si="6"/>
        <v>100000</v>
      </c>
      <c r="P17" s="75" t="s">
        <v>55</v>
      </c>
      <c r="S17" t="s">
        <v>89</v>
      </c>
    </row>
    <row r="18" spans="1:19" ht="36" customHeight="1">
      <c r="A18" s="332"/>
      <c r="B18" s="2">
        <v>6</v>
      </c>
      <c r="C18" s="10" t="s">
        <v>32</v>
      </c>
      <c r="D18" s="335"/>
      <c r="E18" s="2" t="s">
        <v>15</v>
      </c>
      <c r="F18" s="78">
        <v>1.52E-2</v>
      </c>
      <c r="G18" s="20">
        <v>500000</v>
      </c>
      <c r="H18" s="20">
        <f>+G18*(1-F18)</f>
        <v>492400</v>
      </c>
      <c r="I18" s="35"/>
      <c r="J18" s="39">
        <v>200000</v>
      </c>
      <c r="K18" s="39">
        <f t="shared" si="4"/>
        <v>196960</v>
      </c>
      <c r="L18" s="81">
        <v>200000</v>
      </c>
      <c r="M18" s="81">
        <f t="shared" si="5"/>
        <v>196960</v>
      </c>
      <c r="N18" s="81">
        <v>100000</v>
      </c>
      <c r="O18" s="81">
        <f t="shared" si="6"/>
        <v>98480</v>
      </c>
      <c r="P18" s="73" t="s">
        <v>54</v>
      </c>
    </row>
    <row r="19" spans="1:19" s="5" customFormat="1" ht="36" customHeight="1">
      <c r="A19" s="328" t="s">
        <v>70</v>
      </c>
      <c r="B19" s="329"/>
      <c r="C19" s="329"/>
      <c r="D19" s="329"/>
      <c r="E19" s="329"/>
      <c r="F19" s="55"/>
      <c r="G19" s="56">
        <f>SUM(G13:G18)</f>
        <v>2200000</v>
      </c>
      <c r="H19" s="57">
        <f>SUM(H13:H18)</f>
        <v>2184210</v>
      </c>
      <c r="I19" s="58">
        <f>SUM(I13:I18)</f>
        <v>0</v>
      </c>
      <c r="J19" s="59">
        <f>SUM(J13:J18)</f>
        <v>1090000</v>
      </c>
      <c r="K19" s="59">
        <f>SUM(K13:K18)</f>
        <v>1082280</v>
      </c>
      <c r="L19" s="51">
        <f t="shared" ref="L19:N19" si="9">SUM(L13:L18)</f>
        <v>630000</v>
      </c>
      <c r="M19" s="51">
        <f>SUM(M13:M18)</f>
        <v>626960</v>
      </c>
      <c r="N19" s="51">
        <f t="shared" si="9"/>
        <v>480000</v>
      </c>
      <c r="O19" s="51">
        <f>SUM(O13:O18)</f>
        <v>474970</v>
      </c>
      <c r="P19" s="52"/>
    </row>
    <row r="20" spans="1:19" ht="23.25" customHeight="1">
      <c r="A20" s="8"/>
      <c r="B20" s="6"/>
      <c r="C20" s="11"/>
      <c r="D20" s="6"/>
      <c r="E20" s="6"/>
      <c r="F20" s="6"/>
      <c r="G20" s="21"/>
      <c r="H20" s="21"/>
      <c r="I20" s="23"/>
      <c r="J20" s="12"/>
      <c r="K20" s="12"/>
      <c r="L20" s="10"/>
      <c r="M20" s="10"/>
      <c r="N20" s="15"/>
      <c r="O20" s="104"/>
      <c r="P20" s="7"/>
    </row>
    <row r="21" spans="1:19" ht="36" customHeight="1">
      <c r="A21" s="330" t="s">
        <v>33</v>
      </c>
      <c r="B21" s="2">
        <v>1</v>
      </c>
      <c r="C21" s="10" t="s">
        <v>6</v>
      </c>
      <c r="D21" s="2" t="s">
        <v>7</v>
      </c>
      <c r="E21" s="2" t="s">
        <v>9</v>
      </c>
      <c r="F21" s="78">
        <v>2.1000000000000001E-2</v>
      </c>
      <c r="G21" s="20">
        <v>540000</v>
      </c>
      <c r="H21" s="20">
        <f>+G21*(1-F21)</f>
        <v>528660</v>
      </c>
      <c r="I21" s="33"/>
      <c r="J21" s="95">
        <v>230000</v>
      </c>
      <c r="K21" s="95">
        <f>+J21*(1-F21)</f>
        <v>225170</v>
      </c>
      <c r="L21" s="96">
        <v>220000</v>
      </c>
      <c r="M21" s="96">
        <f>+L21*(1-F21)</f>
        <v>215380</v>
      </c>
      <c r="N21" s="81">
        <v>90000</v>
      </c>
      <c r="O21" s="81">
        <f>+N21*(1-F21)</f>
        <v>88110</v>
      </c>
      <c r="P21" s="7" t="s">
        <v>63</v>
      </c>
    </row>
    <row r="22" spans="1:19" ht="36" customHeight="1">
      <c r="A22" s="331"/>
      <c r="B22" s="2">
        <v>2</v>
      </c>
      <c r="C22" s="10" t="s">
        <v>16</v>
      </c>
      <c r="D22" s="2" t="s">
        <v>17</v>
      </c>
      <c r="E22" s="2" t="s">
        <v>15</v>
      </c>
      <c r="F22" s="2"/>
      <c r="G22" s="53">
        <v>0</v>
      </c>
      <c r="H22" s="47">
        <v>0</v>
      </c>
      <c r="I22" s="48"/>
      <c r="J22" s="109"/>
      <c r="K22" s="109"/>
      <c r="L22" s="106"/>
      <c r="M22" s="106"/>
      <c r="N22" s="97">
        <v>150000</v>
      </c>
      <c r="O22" s="97">
        <f t="shared" ref="O22:O25" si="10">+N22*(1-F22)</f>
        <v>150000</v>
      </c>
      <c r="P22" s="72" t="s">
        <v>67</v>
      </c>
    </row>
    <row r="23" spans="1:19" ht="36" customHeight="1">
      <c r="A23" s="331"/>
      <c r="B23" s="2">
        <v>3</v>
      </c>
      <c r="C23" s="10" t="s">
        <v>19</v>
      </c>
      <c r="D23" s="2" t="s">
        <v>20</v>
      </c>
      <c r="E23" s="2" t="s">
        <v>21</v>
      </c>
      <c r="F23" s="2"/>
      <c r="G23" s="20">
        <v>250000</v>
      </c>
      <c r="H23" s="20">
        <f>+G23*(1-F23)</f>
        <v>250000</v>
      </c>
      <c r="I23" s="33"/>
      <c r="J23" s="95">
        <v>250000</v>
      </c>
      <c r="K23" s="95">
        <f t="shared" ref="K23:K25" si="11">+J23*(1-F23)</f>
        <v>250000</v>
      </c>
      <c r="L23" s="98"/>
      <c r="M23" s="98">
        <f t="shared" ref="M23:M25" si="12">+L23*(1-F23)</f>
        <v>0</v>
      </c>
      <c r="N23" s="105"/>
      <c r="O23" s="105">
        <f t="shared" si="10"/>
        <v>0</v>
      </c>
      <c r="P23" s="7" t="s">
        <v>52</v>
      </c>
    </row>
    <row r="24" spans="1:19" ht="36" customHeight="1">
      <c r="A24" s="331"/>
      <c r="B24" s="28">
        <v>4</v>
      </c>
      <c r="C24" s="14" t="s">
        <v>22</v>
      </c>
      <c r="D24" s="28" t="s">
        <v>23</v>
      </c>
      <c r="E24" s="28" t="s">
        <v>8</v>
      </c>
      <c r="F24" s="79">
        <v>2.3E-2</v>
      </c>
      <c r="G24" s="22">
        <v>470000</v>
      </c>
      <c r="H24" s="22">
        <f>+G24*(1-F24)</f>
        <v>459190</v>
      </c>
      <c r="I24" s="34"/>
      <c r="J24" s="99">
        <v>250000</v>
      </c>
      <c r="K24" s="99">
        <f t="shared" si="11"/>
        <v>244250</v>
      </c>
      <c r="L24" s="100">
        <v>220000</v>
      </c>
      <c r="M24" s="100">
        <f t="shared" si="12"/>
        <v>214940</v>
      </c>
      <c r="N24" s="107"/>
      <c r="O24" s="105">
        <f t="shared" si="10"/>
        <v>0</v>
      </c>
      <c r="P24" s="7" t="s">
        <v>65</v>
      </c>
    </row>
    <row r="25" spans="1:19" ht="36" customHeight="1">
      <c r="A25" s="331"/>
      <c r="B25" s="28">
        <v>5</v>
      </c>
      <c r="C25" s="14" t="s">
        <v>43</v>
      </c>
      <c r="D25" s="28" t="s">
        <v>7</v>
      </c>
      <c r="E25" s="28" t="s">
        <v>21</v>
      </c>
      <c r="F25" s="79">
        <v>1.52E-2</v>
      </c>
      <c r="G25" s="22">
        <v>250000</v>
      </c>
      <c r="H25" s="22">
        <f>+G25*(1-F25)</f>
        <v>246200</v>
      </c>
      <c r="I25" s="34"/>
      <c r="J25" s="99">
        <v>250000</v>
      </c>
      <c r="K25" s="99">
        <f t="shared" si="11"/>
        <v>246200</v>
      </c>
      <c r="L25" s="108"/>
      <c r="M25" s="108">
        <f t="shared" si="12"/>
        <v>0</v>
      </c>
      <c r="N25" s="107"/>
      <c r="O25" s="105">
        <f t="shared" si="10"/>
        <v>0</v>
      </c>
      <c r="P25" s="73" t="s">
        <v>53</v>
      </c>
    </row>
    <row r="26" spans="1:19" s="5" customFormat="1" ht="36" customHeight="1" thickBot="1">
      <c r="A26" s="326" t="s">
        <v>90</v>
      </c>
      <c r="B26" s="326"/>
      <c r="C26" s="326"/>
      <c r="D26" s="326"/>
      <c r="E26" s="327"/>
      <c r="F26" s="64"/>
      <c r="G26" s="65">
        <f>SUM(G21:G25)</f>
        <v>1510000</v>
      </c>
      <c r="H26" s="66">
        <f>SUM(H21:H25)</f>
        <v>1484050</v>
      </c>
      <c r="I26" s="67"/>
      <c r="J26" s="101">
        <f>SUM(J21:J25)</f>
        <v>980000</v>
      </c>
      <c r="K26" s="101">
        <f>SUM(K21:K25)</f>
        <v>965620</v>
      </c>
      <c r="L26" s="102">
        <f>SUM(L21:L25)</f>
        <v>440000</v>
      </c>
      <c r="M26" s="102">
        <f>SUM(M21:M25)</f>
        <v>430320</v>
      </c>
      <c r="N26" s="103">
        <v>90000</v>
      </c>
      <c r="O26" s="103">
        <f>+O21</f>
        <v>88110</v>
      </c>
      <c r="P26" s="85"/>
    </row>
    <row r="27" spans="1:19" s="5" customFormat="1" ht="36" customHeight="1" thickTop="1">
      <c r="A27" s="124" t="s">
        <v>88</v>
      </c>
      <c r="B27" s="124"/>
      <c r="C27" s="124"/>
      <c r="D27" s="124"/>
      <c r="E27" s="124"/>
      <c r="F27" s="124"/>
      <c r="G27" s="125">
        <f t="shared" ref="G27:H27" si="13">+G26+G19+G11</f>
        <v>4260000</v>
      </c>
      <c r="H27" s="126">
        <f t="shared" si="13"/>
        <v>4215592</v>
      </c>
      <c r="I27" s="127"/>
      <c r="J27" s="128">
        <f>+J26+J19+J11</f>
        <v>2370000</v>
      </c>
      <c r="K27" s="128">
        <f t="shared" ref="K27:O27" si="14">+K26+K19+K11</f>
        <v>2346020</v>
      </c>
      <c r="L27" s="129">
        <f t="shared" si="14"/>
        <v>1320000</v>
      </c>
      <c r="M27" s="129">
        <f t="shared" si="14"/>
        <v>1306492</v>
      </c>
      <c r="N27" s="130">
        <f t="shared" si="14"/>
        <v>570000</v>
      </c>
      <c r="O27" s="130">
        <f t="shared" si="14"/>
        <v>563080</v>
      </c>
      <c r="P27" s="131"/>
    </row>
    <row r="29" spans="1:19" ht="26.25">
      <c r="A29" s="9" t="s">
        <v>66</v>
      </c>
    </row>
  </sheetData>
  <mergeCells count="17">
    <mergeCell ref="A19:E19"/>
    <mergeCell ref="A21:A25"/>
    <mergeCell ref="A26:E26"/>
    <mergeCell ref="A5:A10"/>
    <mergeCell ref="D6:D10"/>
    <mergeCell ref="A11:E11"/>
    <mergeCell ref="A13:A18"/>
    <mergeCell ref="D13:D14"/>
    <mergeCell ref="D16:D18"/>
    <mergeCell ref="A1:P1"/>
    <mergeCell ref="A3:A4"/>
    <mergeCell ref="B3:B4"/>
    <mergeCell ref="C3:C4"/>
    <mergeCell ref="D3:D4"/>
    <mergeCell ref="E3:E4"/>
    <mergeCell ref="J3:N3"/>
    <mergeCell ref="P3:P4"/>
  </mergeCells>
  <phoneticPr fontId="1" type="noConversion"/>
  <printOptions horizontalCentered="1" verticalCentered="1"/>
  <pageMargins left="0.70866141732283472" right="0.70866141732283472" top="0" bottom="0" header="0.31496062992125984" footer="0.31496062992125984"/>
  <pageSetup paperSize="9" scale="62" orientation="landscape" verticalDpi="0" r:id="rId1"/>
  <ignoredErrors>
    <ignoredError sqref="H23:H24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9"/>
  <sheetViews>
    <sheetView topLeftCell="E7" zoomScale="80" zoomScaleNormal="80" workbookViewId="0">
      <selection activeCell="U6" sqref="U6"/>
    </sheetView>
  </sheetViews>
  <sheetFormatPr defaultRowHeight="16.5"/>
  <cols>
    <col min="1" max="1" width="8" customWidth="1"/>
    <col min="2" max="2" width="5.875" customWidth="1"/>
    <col min="7" max="9" width="12.5" customWidth="1"/>
    <col min="10" max="15" width="14.625" customWidth="1"/>
    <col min="16" max="16" width="38.5" customWidth="1"/>
    <col min="19" max="20" width="16.5" customWidth="1"/>
    <col min="21" max="25" width="18.25" customWidth="1"/>
  </cols>
  <sheetData>
    <row r="1" spans="1:23" ht="33.75">
      <c r="A1" s="336" t="s">
        <v>74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  <c r="O1" s="336"/>
      <c r="P1" s="336"/>
    </row>
    <row r="2" spans="1:23" ht="30.75" customHeight="1" thickBot="1">
      <c r="P2" s="46" t="s">
        <v>68</v>
      </c>
    </row>
    <row r="3" spans="1:23" ht="21.75" customHeight="1" thickTop="1">
      <c r="A3" s="337" t="s">
        <v>37</v>
      </c>
      <c r="B3" s="338" t="s">
        <v>36</v>
      </c>
      <c r="C3" s="338" t="s">
        <v>0</v>
      </c>
      <c r="D3" s="338" t="s">
        <v>2</v>
      </c>
      <c r="E3" s="338" t="s">
        <v>3</v>
      </c>
      <c r="F3" s="133"/>
      <c r="G3" s="133" t="s">
        <v>72</v>
      </c>
      <c r="H3" s="133" t="s">
        <v>77</v>
      </c>
      <c r="I3" s="133"/>
      <c r="J3" s="340" t="s">
        <v>39</v>
      </c>
      <c r="K3" s="340"/>
      <c r="L3" s="340"/>
      <c r="M3" s="340"/>
      <c r="N3" s="340"/>
      <c r="O3" s="133"/>
      <c r="P3" s="343" t="s">
        <v>38</v>
      </c>
    </row>
    <row r="4" spans="1:23" ht="21.75" customHeight="1" thickBot="1">
      <c r="A4" s="332"/>
      <c r="B4" s="339"/>
      <c r="C4" s="339"/>
      <c r="D4" s="339"/>
      <c r="E4" s="339"/>
      <c r="F4" s="134"/>
      <c r="G4" s="134" t="s">
        <v>73</v>
      </c>
      <c r="H4" s="134" t="s">
        <v>78</v>
      </c>
      <c r="I4" s="134" t="s">
        <v>47</v>
      </c>
      <c r="J4" s="13" t="s">
        <v>40</v>
      </c>
      <c r="K4" s="13" t="s">
        <v>79</v>
      </c>
      <c r="L4" s="13" t="s">
        <v>41</v>
      </c>
      <c r="M4" s="13" t="s">
        <v>79</v>
      </c>
      <c r="N4" s="13" t="s">
        <v>42</v>
      </c>
      <c r="O4" s="13" t="s">
        <v>79</v>
      </c>
      <c r="P4" s="344"/>
      <c r="W4" s="163" t="s">
        <v>97</v>
      </c>
    </row>
    <row r="5" spans="1:23" ht="36" customHeight="1" thickTop="1">
      <c r="A5" s="330" t="s">
        <v>35</v>
      </c>
      <c r="B5" s="2">
        <v>1</v>
      </c>
      <c r="C5" s="10" t="s">
        <v>24</v>
      </c>
      <c r="D5" s="2" t="s">
        <v>25</v>
      </c>
      <c r="E5" s="2" t="s">
        <v>26</v>
      </c>
      <c r="F5" s="2"/>
      <c r="G5" s="45">
        <v>30000</v>
      </c>
      <c r="H5" s="20">
        <v>30000</v>
      </c>
      <c r="I5" s="24"/>
      <c r="J5" s="80"/>
      <c r="K5" s="80"/>
      <c r="L5" s="81">
        <v>30000</v>
      </c>
      <c r="M5" s="81">
        <f>+L5*(1-F5)</f>
        <v>30000</v>
      </c>
      <c r="N5" s="87"/>
      <c r="O5" s="88">
        <f t="shared" ref="O5:O10" si="0">N5*(1-F5)</f>
        <v>0</v>
      </c>
      <c r="P5" s="76" t="s">
        <v>55</v>
      </c>
      <c r="S5" s="167" t="s">
        <v>84</v>
      </c>
      <c r="T5" s="168" t="s">
        <v>76</v>
      </c>
      <c r="U5" s="169" t="s">
        <v>81</v>
      </c>
      <c r="V5" s="147" t="s">
        <v>82</v>
      </c>
      <c r="W5" s="164">
        <v>3.3000000000000002E-2</v>
      </c>
    </row>
    <row r="6" spans="1:23" ht="36" customHeight="1">
      <c r="A6" s="331"/>
      <c r="B6" s="2">
        <v>2</v>
      </c>
      <c r="C6" s="10" t="s">
        <v>27</v>
      </c>
      <c r="D6" s="333" t="s">
        <v>28</v>
      </c>
      <c r="E6" s="2" t="s">
        <v>26</v>
      </c>
      <c r="F6" s="78">
        <v>1.52E-2</v>
      </c>
      <c r="G6" s="36">
        <v>70000</v>
      </c>
      <c r="H6" s="36">
        <f>+G6*(1-F6)</f>
        <v>68936</v>
      </c>
      <c r="I6" s="37"/>
      <c r="J6" s="82">
        <v>50000</v>
      </c>
      <c r="K6" s="82">
        <f>+J6*(1-F6)</f>
        <v>49240</v>
      </c>
      <c r="L6" s="83">
        <v>20000</v>
      </c>
      <c r="M6" s="83">
        <f>+L6*(1-F6)</f>
        <v>19696</v>
      </c>
      <c r="N6" s="89"/>
      <c r="O6" s="88">
        <f t="shared" si="0"/>
        <v>0</v>
      </c>
      <c r="P6" s="73" t="s">
        <v>53</v>
      </c>
      <c r="S6" s="117">
        <f>+J11+J19</f>
        <v>1140000</v>
      </c>
      <c r="T6" s="3">
        <f>+K11+K19</f>
        <v>1130400</v>
      </c>
      <c r="U6" s="141">
        <f>+T6*0.4</f>
        <v>452160</v>
      </c>
      <c r="V6" s="4">
        <f>+T6-U6</f>
        <v>678240</v>
      </c>
      <c r="W6" s="148">
        <f>+V6*(1-W5)</f>
        <v>655858.07999999996</v>
      </c>
    </row>
    <row r="7" spans="1:23" ht="36" customHeight="1">
      <c r="A7" s="331"/>
      <c r="B7" s="2">
        <v>3</v>
      </c>
      <c r="C7" s="10" t="s">
        <v>48</v>
      </c>
      <c r="D7" s="334"/>
      <c r="E7" s="2" t="s">
        <v>26</v>
      </c>
      <c r="F7" s="2"/>
      <c r="G7" s="36">
        <v>60000</v>
      </c>
      <c r="H7" s="36">
        <f>+G7*(1-F7)</f>
        <v>60000</v>
      </c>
      <c r="I7" s="37"/>
      <c r="J7" s="82">
        <v>40000</v>
      </c>
      <c r="K7" s="82">
        <f t="shared" ref="K7:K9" si="1">+J7*(1-F7)</f>
        <v>40000</v>
      </c>
      <c r="L7" s="83">
        <v>20000</v>
      </c>
      <c r="M7" s="83">
        <f t="shared" ref="M7:M10" si="2">+L7*(1-F7)</f>
        <v>20000</v>
      </c>
      <c r="N7" s="89"/>
      <c r="O7" s="88">
        <f t="shared" si="0"/>
        <v>0</v>
      </c>
      <c r="P7" s="7" t="s">
        <v>59</v>
      </c>
      <c r="S7" s="165" t="s">
        <v>83</v>
      </c>
      <c r="T7" s="10" t="s">
        <v>75</v>
      </c>
      <c r="U7" s="166" t="s">
        <v>80</v>
      </c>
      <c r="V7" s="149" t="s">
        <v>86</v>
      </c>
      <c r="W7" s="139"/>
    </row>
    <row r="8" spans="1:23" ht="36" customHeight="1">
      <c r="A8" s="331"/>
      <c r="B8" s="2">
        <v>4</v>
      </c>
      <c r="C8" s="10" t="s">
        <v>45</v>
      </c>
      <c r="D8" s="334"/>
      <c r="E8" s="2" t="s">
        <v>26</v>
      </c>
      <c r="F8" s="78">
        <v>1.52E-2</v>
      </c>
      <c r="G8" s="36">
        <v>70000</v>
      </c>
      <c r="H8" s="36">
        <f>+G8*(1-F8)</f>
        <v>68936</v>
      </c>
      <c r="I8" s="37"/>
      <c r="J8" s="82">
        <v>50000</v>
      </c>
      <c r="K8" s="82">
        <f t="shared" si="1"/>
        <v>49240</v>
      </c>
      <c r="L8" s="83">
        <v>20000</v>
      </c>
      <c r="M8" s="83">
        <f t="shared" si="2"/>
        <v>19696</v>
      </c>
      <c r="N8" s="89"/>
      <c r="O8" s="88">
        <f t="shared" si="0"/>
        <v>0</v>
      </c>
      <c r="P8" s="73" t="s">
        <v>53</v>
      </c>
      <c r="S8" s="117">
        <f>+L11+L19+N19+N26</f>
        <v>1590000</v>
      </c>
      <c r="T8" s="3">
        <f>+M19+O19+O26+M11</f>
        <v>1579252</v>
      </c>
      <c r="U8" s="141">
        <f>+T8*0.4</f>
        <v>631700.80000000005</v>
      </c>
      <c r="V8" s="4">
        <f>+T8-U8</f>
        <v>947551.2</v>
      </c>
      <c r="W8" s="150">
        <f>+V8*(1-W5)</f>
        <v>916282.01039999991</v>
      </c>
    </row>
    <row r="9" spans="1:23" ht="36" customHeight="1">
      <c r="A9" s="331"/>
      <c r="B9" s="2">
        <v>5</v>
      </c>
      <c r="C9" s="10" t="s">
        <v>49</v>
      </c>
      <c r="D9" s="334"/>
      <c r="E9" s="2" t="s">
        <v>26</v>
      </c>
      <c r="F9" s="78">
        <v>1.7999999999999999E-2</v>
      </c>
      <c r="G9" s="36">
        <v>30000</v>
      </c>
      <c r="H9" s="36">
        <f>+G9*(1-F9)</f>
        <v>29460</v>
      </c>
      <c r="I9" s="37"/>
      <c r="J9" s="82">
        <v>20000</v>
      </c>
      <c r="K9" s="82">
        <f t="shared" si="1"/>
        <v>19640</v>
      </c>
      <c r="L9" s="83">
        <v>10000</v>
      </c>
      <c r="M9" s="83">
        <f t="shared" si="2"/>
        <v>9820</v>
      </c>
      <c r="N9" s="89"/>
      <c r="O9" s="88">
        <f t="shared" si="0"/>
        <v>0</v>
      </c>
      <c r="P9" s="72" t="s">
        <v>62</v>
      </c>
      <c r="S9" s="165" t="s">
        <v>83</v>
      </c>
      <c r="T9" s="10" t="s">
        <v>75</v>
      </c>
      <c r="U9" s="166" t="s">
        <v>80</v>
      </c>
      <c r="V9" s="151" t="s">
        <v>85</v>
      </c>
      <c r="W9" s="139"/>
    </row>
    <row r="10" spans="1:23" ht="36" customHeight="1">
      <c r="A10" s="332"/>
      <c r="B10" s="2">
        <v>6</v>
      </c>
      <c r="C10" s="10" t="s">
        <v>10</v>
      </c>
      <c r="D10" s="335"/>
      <c r="E10" s="2" t="s">
        <v>11</v>
      </c>
      <c r="F10" s="2"/>
      <c r="G10" s="45">
        <v>230000</v>
      </c>
      <c r="H10" s="20">
        <v>230000</v>
      </c>
      <c r="I10" s="24">
        <f>+G10-H10</f>
        <v>0</v>
      </c>
      <c r="J10" s="84">
        <v>140000</v>
      </c>
      <c r="K10" s="84">
        <f>+J10*(1-F10)</f>
        <v>140000</v>
      </c>
      <c r="L10" s="81">
        <v>90000</v>
      </c>
      <c r="M10" s="81">
        <f t="shared" si="2"/>
        <v>90000</v>
      </c>
      <c r="N10" s="89"/>
      <c r="O10" s="88">
        <f t="shared" si="0"/>
        <v>0</v>
      </c>
      <c r="P10" s="74" t="s">
        <v>55</v>
      </c>
      <c r="S10" s="117">
        <f>+J26</f>
        <v>980000</v>
      </c>
      <c r="T10" s="3">
        <f>+K26</f>
        <v>965620</v>
      </c>
      <c r="U10" s="141">
        <f>T10*0.5</f>
        <v>482810</v>
      </c>
      <c r="V10" s="4">
        <f>+T10-U10</f>
        <v>482810</v>
      </c>
      <c r="W10" s="152">
        <f>+V10*(1-W5)</f>
        <v>466877.26999999996</v>
      </c>
    </row>
    <row r="11" spans="1:23" s="5" customFormat="1" ht="36" customHeight="1">
      <c r="A11" s="328" t="s">
        <v>70</v>
      </c>
      <c r="B11" s="329"/>
      <c r="C11" s="329"/>
      <c r="D11" s="329"/>
      <c r="E11" s="329"/>
      <c r="F11" s="136"/>
      <c r="G11" s="60">
        <f>+J11+L11+N11</f>
        <v>490000</v>
      </c>
      <c r="H11" s="57">
        <f t="shared" ref="H11:M11" si="3">SUM(H5:H10)</f>
        <v>487332</v>
      </c>
      <c r="I11" s="61">
        <f t="shared" si="3"/>
        <v>0</v>
      </c>
      <c r="J11" s="62">
        <f t="shared" si="3"/>
        <v>300000</v>
      </c>
      <c r="K11" s="62">
        <f t="shared" si="3"/>
        <v>298120</v>
      </c>
      <c r="L11" s="51">
        <f t="shared" si="3"/>
        <v>190000</v>
      </c>
      <c r="M11" s="51">
        <f t="shared" si="3"/>
        <v>189212</v>
      </c>
      <c r="N11" s="90"/>
      <c r="O11" s="91"/>
      <c r="P11" s="52"/>
      <c r="S11" s="165" t="s">
        <v>83</v>
      </c>
      <c r="T11" s="10" t="s">
        <v>75</v>
      </c>
      <c r="U11" s="166" t="s">
        <v>80</v>
      </c>
      <c r="V11" s="153" t="s">
        <v>87</v>
      </c>
      <c r="W11" s="139"/>
    </row>
    <row r="12" spans="1:23" ht="6.75" customHeight="1">
      <c r="A12" s="8"/>
      <c r="B12" s="6"/>
      <c r="C12" s="11"/>
      <c r="D12" s="6"/>
      <c r="E12" s="6"/>
      <c r="F12" s="6"/>
      <c r="G12" s="21"/>
      <c r="H12" s="21"/>
      <c r="I12" s="23"/>
      <c r="J12" s="12"/>
      <c r="K12" s="12"/>
      <c r="L12" s="15"/>
      <c r="M12" s="15"/>
      <c r="N12" s="17"/>
      <c r="O12" s="86"/>
      <c r="P12" s="7"/>
      <c r="S12" s="111"/>
      <c r="T12" s="112"/>
      <c r="U12" s="144"/>
      <c r="V12" s="110"/>
      <c r="W12" s="139"/>
    </row>
    <row r="13" spans="1:23" ht="36" customHeight="1">
      <c r="A13" s="330" t="s">
        <v>34</v>
      </c>
      <c r="B13" s="2">
        <v>1</v>
      </c>
      <c r="C13" s="10" t="s">
        <v>4</v>
      </c>
      <c r="D13" s="333" t="s">
        <v>5</v>
      </c>
      <c r="E13" s="2" t="s">
        <v>15</v>
      </c>
      <c r="F13" s="78">
        <v>2.1000000000000001E-2</v>
      </c>
      <c r="G13" s="20">
        <v>210000</v>
      </c>
      <c r="H13" s="20">
        <f>+G13*(1-F13)</f>
        <v>205590</v>
      </c>
      <c r="I13" s="35"/>
      <c r="J13" s="39">
        <v>120000</v>
      </c>
      <c r="K13" s="39">
        <f t="shared" ref="K13:K18" si="4">+J13*(1-F13)</f>
        <v>117480</v>
      </c>
      <c r="L13" s="83"/>
      <c r="M13" s="83">
        <f t="shared" ref="M13:M18" si="5">+L13*(1-F13)</f>
        <v>0</v>
      </c>
      <c r="N13" s="81">
        <v>90000</v>
      </c>
      <c r="O13" s="92">
        <f>N13*(1-F13)</f>
        <v>88110</v>
      </c>
      <c r="P13" s="7" t="s">
        <v>63</v>
      </c>
      <c r="S13" s="117">
        <f>+L26</f>
        <v>440000</v>
      </c>
      <c r="T13" s="3">
        <f>+M26</f>
        <v>430320</v>
      </c>
      <c r="U13" s="141">
        <f>+T13*0.6</f>
        <v>258192</v>
      </c>
      <c r="V13" s="4">
        <f>+T13-U13</f>
        <v>172128</v>
      </c>
      <c r="W13" s="154">
        <f>+V13*(1-W5)</f>
        <v>166447.77599999998</v>
      </c>
    </row>
    <row r="14" spans="1:23" ht="36" customHeight="1">
      <c r="A14" s="331"/>
      <c r="B14" s="2">
        <v>2</v>
      </c>
      <c r="C14" s="10" t="s">
        <v>12</v>
      </c>
      <c r="D14" s="335"/>
      <c r="E14" s="2" t="s">
        <v>15</v>
      </c>
      <c r="F14" s="78">
        <v>1.7999999999999999E-2</v>
      </c>
      <c r="G14" s="20">
        <v>210000</v>
      </c>
      <c r="H14" s="20">
        <f>+G14*(1-F14)</f>
        <v>206220</v>
      </c>
      <c r="I14" s="35"/>
      <c r="J14" s="39">
        <v>120000</v>
      </c>
      <c r="K14" s="39">
        <f t="shared" si="4"/>
        <v>117840</v>
      </c>
      <c r="L14" s="83"/>
      <c r="M14" s="83">
        <f t="shared" si="5"/>
        <v>0</v>
      </c>
      <c r="N14" s="81">
        <v>90000</v>
      </c>
      <c r="O14" s="92">
        <f t="shared" ref="O14:O18" si="6">N14*(1-F14)</f>
        <v>88380</v>
      </c>
      <c r="P14" s="72" t="s">
        <v>61</v>
      </c>
      <c r="S14" s="170" t="s">
        <v>83</v>
      </c>
      <c r="T14" s="171" t="s">
        <v>75</v>
      </c>
      <c r="U14" s="172" t="s">
        <v>80</v>
      </c>
      <c r="V14" s="173" t="s">
        <v>88</v>
      </c>
      <c r="W14" s="139"/>
    </row>
    <row r="15" spans="1:23" ht="36" customHeight="1" thickBot="1">
      <c r="A15" s="331"/>
      <c r="B15" s="2">
        <v>3</v>
      </c>
      <c r="C15" s="10" t="s">
        <v>29</v>
      </c>
      <c r="D15" s="2" t="s">
        <v>30</v>
      </c>
      <c r="E15" s="2" t="s">
        <v>31</v>
      </c>
      <c r="F15" s="2"/>
      <c r="G15" s="45">
        <v>430000</v>
      </c>
      <c r="H15" s="20">
        <f t="shared" ref="H15:H17" si="7">+G15*(1-F15)</f>
        <v>430000</v>
      </c>
      <c r="I15" s="35"/>
      <c r="J15" s="42">
        <v>200000</v>
      </c>
      <c r="K15" s="42">
        <f t="shared" si="4"/>
        <v>200000</v>
      </c>
      <c r="L15" s="81">
        <v>230000</v>
      </c>
      <c r="M15" s="81">
        <f t="shared" si="5"/>
        <v>230000</v>
      </c>
      <c r="N15" s="83"/>
      <c r="O15" s="93">
        <f t="shared" si="6"/>
        <v>0</v>
      </c>
      <c r="P15" s="74" t="s">
        <v>55</v>
      </c>
      <c r="S15" s="118">
        <f>+S13+S10+S8+S6</f>
        <v>4150000</v>
      </c>
      <c r="T15" s="119">
        <f t="shared" ref="T15:U15" si="8">+T13+T10+T8+T6</f>
        <v>4105592</v>
      </c>
      <c r="U15" s="146">
        <f t="shared" si="8"/>
        <v>1824862.8</v>
      </c>
      <c r="V15" s="120">
        <f>+V13+V10+V8+V6</f>
        <v>2280729.2000000002</v>
      </c>
      <c r="W15" s="139">
        <f>+V15*(1-W5)</f>
        <v>2205465.1364000002</v>
      </c>
    </row>
    <row r="16" spans="1:23" ht="36" customHeight="1" thickTop="1">
      <c r="A16" s="331"/>
      <c r="B16" s="2">
        <v>4</v>
      </c>
      <c r="C16" s="10" t="s">
        <v>13</v>
      </c>
      <c r="D16" s="333" t="s">
        <v>14</v>
      </c>
      <c r="E16" s="2" t="s">
        <v>15</v>
      </c>
      <c r="F16" s="2"/>
      <c r="G16" s="45">
        <v>500000</v>
      </c>
      <c r="H16" s="20">
        <f t="shared" si="7"/>
        <v>500000</v>
      </c>
      <c r="I16" s="35"/>
      <c r="J16" s="39">
        <v>200000</v>
      </c>
      <c r="K16" s="39">
        <f t="shared" si="4"/>
        <v>200000</v>
      </c>
      <c r="L16" s="81">
        <v>200000</v>
      </c>
      <c r="M16" s="81">
        <f t="shared" si="5"/>
        <v>200000</v>
      </c>
      <c r="N16" s="81">
        <v>100000</v>
      </c>
      <c r="O16" s="92">
        <f t="shared" si="6"/>
        <v>100000</v>
      </c>
      <c r="P16" s="75" t="s">
        <v>55</v>
      </c>
      <c r="W16" s="138"/>
    </row>
    <row r="17" spans="1:20" ht="36" customHeight="1">
      <c r="A17" s="331"/>
      <c r="B17" s="2">
        <v>5</v>
      </c>
      <c r="C17" s="10" t="s">
        <v>18</v>
      </c>
      <c r="D17" s="334"/>
      <c r="E17" s="2" t="s">
        <v>15</v>
      </c>
      <c r="F17" s="2"/>
      <c r="G17" s="45">
        <v>300000</v>
      </c>
      <c r="H17" s="20">
        <f t="shared" si="7"/>
        <v>300000</v>
      </c>
      <c r="I17" s="35"/>
      <c r="J17" s="39">
        <v>200000</v>
      </c>
      <c r="K17" s="39">
        <f t="shared" si="4"/>
        <v>200000</v>
      </c>
      <c r="L17" s="94"/>
      <c r="M17" s="83">
        <f t="shared" si="5"/>
        <v>0</v>
      </c>
      <c r="N17" s="83">
        <v>100000</v>
      </c>
      <c r="O17" s="93">
        <f t="shared" si="6"/>
        <v>100000</v>
      </c>
      <c r="P17" s="75" t="s">
        <v>55</v>
      </c>
    </row>
    <row r="18" spans="1:20" ht="36" customHeight="1">
      <c r="A18" s="332"/>
      <c r="B18" s="2">
        <v>6</v>
      </c>
      <c r="C18" s="10" t="s">
        <v>32</v>
      </c>
      <c r="D18" s="335"/>
      <c r="E18" s="2" t="s">
        <v>15</v>
      </c>
      <c r="F18" s="78">
        <v>1.52E-2</v>
      </c>
      <c r="G18" s="20">
        <v>500000</v>
      </c>
      <c r="H18" s="20">
        <f>+G18*(1-F18)</f>
        <v>492400</v>
      </c>
      <c r="I18" s="35"/>
      <c r="J18" s="39">
        <v>200000</v>
      </c>
      <c r="K18" s="39">
        <f t="shared" si="4"/>
        <v>196960</v>
      </c>
      <c r="L18" s="81">
        <v>200000</v>
      </c>
      <c r="M18" s="81">
        <f t="shared" si="5"/>
        <v>196960</v>
      </c>
      <c r="N18" s="81">
        <v>100000</v>
      </c>
      <c r="O18" s="81">
        <f t="shared" si="6"/>
        <v>98480</v>
      </c>
      <c r="P18" s="73" t="s">
        <v>53</v>
      </c>
    </row>
    <row r="19" spans="1:20" s="5" customFormat="1" ht="36" customHeight="1">
      <c r="A19" s="328" t="s">
        <v>70</v>
      </c>
      <c r="B19" s="329"/>
      <c r="C19" s="329"/>
      <c r="D19" s="329"/>
      <c r="E19" s="329"/>
      <c r="F19" s="136"/>
      <c r="G19" s="56">
        <f>SUM(G13:G18)</f>
        <v>2150000</v>
      </c>
      <c r="H19" s="57">
        <f>SUM(H13:H18)</f>
        <v>2134210</v>
      </c>
      <c r="I19" s="58">
        <f>SUM(I13:I18)</f>
        <v>0</v>
      </c>
      <c r="J19" s="59">
        <f>SUM(J13:J18)-200000</f>
        <v>840000</v>
      </c>
      <c r="K19" s="59">
        <f>SUM(K13:K18)-200000</f>
        <v>832280</v>
      </c>
      <c r="L19" s="51">
        <f>SUM(L13:L18)+200000</f>
        <v>830000</v>
      </c>
      <c r="M19" s="51">
        <f>SUM(M13:M18)+200000</f>
        <v>826960</v>
      </c>
      <c r="N19" s="51">
        <f t="shared" ref="N19" si="9">SUM(N13:N18)</f>
        <v>480000</v>
      </c>
      <c r="O19" s="51">
        <f>SUM(O13:O18)</f>
        <v>474970</v>
      </c>
      <c r="P19" s="52"/>
    </row>
    <row r="20" spans="1:20" ht="23.25" customHeight="1">
      <c r="A20" s="8"/>
      <c r="B20" s="6"/>
      <c r="C20" s="11"/>
      <c r="D20" s="6"/>
      <c r="E20" s="6"/>
      <c r="F20" s="6"/>
      <c r="G20" s="21"/>
      <c r="H20" s="21"/>
      <c r="I20" s="23"/>
      <c r="J20" s="12"/>
      <c r="K20" s="12"/>
      <c r="L20" s="10"/>
      <c r="M20" s="10"/>
      <c r="N20" s="15"/>
      <c r="O20" s="104"/>
      <c r="P20" s="7"/>
      <c r="T20" t="s">
        <v>99</v>
      </c>
    </row>
    <row r="21" spans="1:20" ht="36" customHeight="1">
      <c r="A21" s="330" t="s">
        <v>33</v>
      </c>
      <c r="B21" s="2">
        <v>1</v>
      </c>
      <c r="C21" s="10" t="s">
        <v>6</v>
      </c>
      <c r="D21" s="2" t="s">
        <v>7</v>
      </c>
      <c r="E21" s="2" t="s">
        <v>9</v>
      </c>
      <c r="F21" s="78">
        <v>2.1000000000000001E-2</v>
      </c>
      <c r="G21" s="20">
        <v>540000</v>
      </c>
      <c r="H21" s="20">
        <f>+G21*(1-F21)</f>
        <v>528660</v>
      </c>
      <c r="I21" s="33"/>
      <c r="J21" s="95">
        <v>230000</v>
      </c>
      <c r="K21" s="95">
        <f>+J21*(1-F21)</f>
        <v>225170</v>
      </c>
      <c r="L21" s="96">
        <v>220000</v>
      </c>
      <c r="M21" s="96">
        <f>+L21*(1-F21)</f>
        <v>215380</v>
      </c>
      <c r="N21" s="81">
        <v>90000</v>
      </c>
      <c r="O21" s="81">
        <f>+N21*(1-F21)</f>
        <v>88110</v>
      </c>
      <c r="P21" s="7" t="s">
        <v>63</v>
      </c>
    </row>
    <row r="22" spans="1:20" ht="36" customHeight="1">
      <c r="A22" s="331"/>
      <c r="B22" s="2">
        <v>2</v>
      </c>
      <c r="C22" s="10" t="s">
        <v>16</v>
      </c>
      <c r="D22" s="2" t="s">
        <v>17</v>
      </c>
      <c r="E22" s="2" t="s">
        <v>15</v>
      </c>
      <c r="F22" s="78">
        <v>0.02</v>
      </c>
      <c r="G22" s="53"/>
      <c r="H22" s="47">
        <f>+G22*(1-F22)</f>
        <v>0</v>
      </c>
      <c r="I22" s="48"/>
      <c r="J22" s="109"/>
      <c r="K22" s="109"/>
      <c r="L22" s="106"/>
      <c r="M22" s="106"/>
      <c r="N22" s="97"/>
      <c r="O22" s="97">
        <f t="shared" ref="O22:O25" si="10">+N22*(1-F22)</f>
        <v>0</v>
      </c>
      <c r="P22" s="72"/>
    </row>
    <row r="23" spans="1:20" ht="36" customHeight="1">
      <c r="A23" s="331"/>
      <c r="B23" s="2">
        <v>3</v>
      </c>
      <c r="C23" s="10" t="s">
        <v>19</v>
      </c>
      <c r="D23" s="2" t="s">
        <v>20</v>
      </c>
      <c r="E23" s="2" t="s">
        <v>21</v>
      </c>
      <c r="F23" s="2"/>
      <c r="G23" s="20">
        <v>250000</v>
      </c>
      <c r="H23" s="20">
        <f>+G23*(1-F23)</f>
        <v>250000</v>
      </c>
      <c r="I23" s="33"/>
      <c r="J23" s="95">
        <v>250000</v>
      </c>
      <c r="K23" s="95">
        <f t="shared" ref="K23:K25" si="11">+J23*(1-F23)</f>
        <v>250000</v>
      </c>
      <c r="L23" s="98"/>
      <c r="M23" s="98">
        <f t="shared" ref="M23:M25" si="12">+L23*(1-F23)</f>
        <v>0</v>
      </c>
      <c r="N23" s="105"/>
      <c r="O23" s="105">
        <f t="shared" si="10"/>
        <v>0</v>
      </c>
      <c r="P23" s="7" t="s">
        <v>52</v>
      </c>
    </row>
    <row r="24" spans="1:20" ht="36" customHeight="1">
      <c r="A24" s="331"/>
      <c r="B24" s="132">
        <v>4</v>
      </c>
      <c r="C24" s="14" t="s">
        <v>22</v>
      </c>
      <c r="D24" s="132" t="s">
        <v>23</v>
      </c>
      <c r="E24" s="132" t="s">
        <v>8</v>
      </c>
      <c r="F24" s="79">
        <v>2.3E-2</v>
      </c>
      <c r="G24" s="22">
        <v>470000</v>
      </c>
      <c r="H24" s="22">
        <f>+G24*(1-F24)</f>
        <v>459190</v>
      </c>
      <c r="I24" s="34"/>
      <c r="J24" s="99">
        <v>250000</v>
      </c>
      <c r="K24" s="99">
        <f t="shared" si="11"/>
        <v>244250</v>
      </c>
      <c r="L24" s="100">
        <v>220000</v>
      </c>
      <c r="M24" s="100">
        <f t="shared" si="12"/>
        <v>214940</v>
      </c>
      <c r="N24" s="107"/>
      <c r="O24" s="105">
        <f t="shared" si="10"/>
        <v>0</v>
      </c>
      <c r="P24" s="7" t="s">
        <v>65</v>
      </c>
    </row>
    <row r="25" spans="1:20" ht="36" customHeight="1">
      <c r="A25" s="331"/>
      <c r="B25" s="132">
        <v>5</v>
      </c>
      <c r="C25" s="14" t="s">
        <v>43</v>
      </c>
      <c r="D25" s="132" t="s">
        <v>7</v>
      </c>
      <c r="E25" s="132" t="s">
        <v>21</v>
      </c>
      <c r="F25" s="79">
        <v>1.52E-2</v>
      </c>
      <c r="G25" s="22">
        <v>250000</v>
      </c>
      <c r="H25" s="22">
        <f>+G25*(1-F25)</f>
        <v>246200</v>
      </c>
      <c r="I25" s="34"/>
      <c r="J25" s="99">
        <v>250000</v>
      </c>
      <c r="K25" s="99">
        <f t="shared" si="11"/>
        <v>246200</v>
      </c>
      <c r="L25" s="108"/>
      <c r="M25" s="108">
        <f t="shared" si="12"/>
        <v>0</v>
      </c>
      <c r="N25" s="107"/>
      <c r="O25" s="105">
        <f t="shared" si="10"/>
        <v>0</v>
      </c>
      <c r="P25" s="73" t="s">
        <v>53</v>
      </c>
    </row>
    <row r="26" spans="1:20" s="5" customFormat="1" ht="36" customHeight="1" thickBot="1">
      <c r="A26" s="326" t="s">
        <v>90</v>
      </c>
      <c r="B26" s="326"/>
      <c r="C26" s="326"/>
      <c r="D26" s="326"/>
      <c r="E26" s="327"/>
      <c r="F26" s="135"/>
      <c r="G26" s="65">
        <f>SUM(G21:G25)</f>
        <v>1510000</v>
      </c>
      <c r="H26" s="66">
        <f>SUM(H21:H25)</f>
        <v>1484050</v>
      </c>
      <c r="I26" s="67"/>
      <c r="J26" s="101">
        <f>SUM(J21:J25)</f>
        <v>980000</v>
      </c>
      <c r="K26" s="101">
        <f>SUM(K21:K25)</f>
        <v>965620</v>
      </c>
      <c r="L26" s="102">
        <f>SUM(L21:L25)</f>
        <v>440000</v>
      </c>
      <c r="M26" s="102">
        <f>SUM(M21:M25)</f>
        <v>430320</v>
      </c>
      <c r="N26" s="103">
        <v>90000</v>
      </c>
      <c r="O26" s="103">
        <f>+O21</f>
        <v>88110</v>
      </c>
      <c r="P26" s="85"/>
    </row>
    <row r="27" spans="1:20" s="5" customFormat="1" ht="36" customHeight="1" thickTop="1">
      <c r="A27" s="124" t="s">
        <v>88</v>
      </c>
      <c r="B27" s="124"/>
      <c r="C27" s="124"/>
      <c r="D27" s="124"/>
      <c r="E27" s="124"/>
      <c r="F27" s="124"/>
      <c r="G27" s="125">
        <f t="shared" ref="G27:H27" si="13">+G26+G19+G11</f>
        <v>4150000</v>
      </c>
      <c r="H27" s="126">
        <f t="shared" si="13"/>
        <v>4105592</v>
      </c>
      <c r="I27" s="127"/>
      <c r="J27" s="174">
        <f>+J26+J19+J11</f>
        <v>2120000</v>
      </c>
      <c r="K27" s="174">
        <f t="shared" ref="K27:O27" si="14">+K26+K19+K11</f>
        <v>2096020</v>
      </c>
      <c r="L27" s="174">
        <f t="shared" si="14"/>
        <v>1460000</v>
      </c>
      <c r="M27" s="174">
        <f t="shared" si="14"/>
        <v>1446492</v>
      </c>
      <c r="N27" s="174">
        <f t="shared" si="14"/>
        <v>570000</v>
      </c>
      <c r="O27" s="174">
        <f t="shared" si="14"/>
        <v>563080</v>
      </c>
      <c r="P27" s="131"/>
    </row>
    <row r="29" spans="1:20" ht="26.25">
      <c r="A29" s="9" t="s">
        <v>98</v>
      </c>
    </row>
  </sheetData>
  <mergeCells count="17">
    <mergeCell ref="A19:E19"/>
    <mergeCell ref="A21:A25"/>
    <mergeCell ref="A26:E26"/>
    <mergeCell ref="A5:A10"/>
    <mergeCell ref="D6:D10"/>
    <mergeCell ref="A11:E11"/>
    <mergeCell ref="A13:A18"/>
    <mergeCell ref="D13:D14"/>
    <mergeCell ref="D16:D18"/>
    <mergeCell ref="A1:P1"/>
    <mergeCell ref="A3:A4"/>
    <mergeCell ref="B3:B4"/>
    <mergeCell ref="C3:C4"/>
    <mergeCell ref="D3:D4"/>
    <mergeCell ref="E3:E4"/>
    <mergeCell ref="J3:N3"/>
    <mergeCell ref="P3:P4"/>
  </mergeCells>
  <phoneticPr fontId="1" type="noConversion"/>
  <printOptions horizontalCentered="1" verticalCentered="1"/>
  <pageMargins left="0.70866141732283472" right="0.70866141732283472" top="0" bottom="0" header="0.31496062992125984" footer="0.31496062992125984"/>
  <pageSetup paperSize="9" scale="62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3"/>
  <sheetViews>
    <sheetView topLeftCell="I24" zoomScale="85" zoomScaleNormal="85" workbookViewId="0">
      <selection activeCell="R8" sqref="R8"/>
    </sheetView>
  </sheetViews>
  <sheetFormatPr defaultRowHeight="16.5"/>
  <cols>
    <col min="1" max="1" width="8" customWidth="1"/>
    <col min="2" max="2" width="5.875" customWidth="1"/>
    <col min="7" max="9" width="12.5" customWidth="1"/>
    <col min="10" max="17" width="14.625" customWidth="1"/>
    <col min="18" max="18" width="38.5" customWidth="1"/>
    <col min="21" max="22" width="16.5" customWidth="1"/>
    <col min="23" max="27" width="18.25" customWidth="1"/>
  </cols>
  <sheetData>
    <row r="1" spans="1:18" ht="33.75">
      <c r="A1" s="336" t="s">
        <v>91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  <c r="O1" s="336"/>
      <c r="P1" s="336"/>
      <c r="Q1" s="336"/>
      <c r="R1" s="336"/>
    </row>
    <row r="2" spans="1:18" ht="30.75" customHeight="1" thickBot="1">
      <c r="R2" s="46" t="s">
        <v>68</v>
      </c>
    </row>
    <row r="3" spans="1:18" ht="21.75" customHeight="1" thickTop="1">
      <c r="A3" s="337" t="s">
        <v>37</v>
      </c>
      <c r="B3" s="338" t="s">
        <v>36</v>
      </c>
      <c r="C3" s="338" t="s">
        <v>0</v>
      </c>
      <c r="D3" s="338" t="s">
        <v>2</v>
      </c>
      <c r="E3" s="338" t="s">
        <v>3</v>
      </c>
      <c r="F3" s="133"/>
      <c r="G3" s="133" t="s">
        <v>92</v>
      </c>
      <c r="H3" s="133" t="s">
        <v>77</v>
      </c>
      <c r="I3" s="133"/>
      <c r="J3" s="340" t="s">
        <v>39</v>
      </c>
      <c r="K3" s="340"/>
      <c r="L3" s="340"/>
      <c r="M3" s="340"/>
      <c r="N3" s="340"/>
      <c r="O3" s="340"/>
      <c r="P3" s="340"/>
      <c r="Q3" s="133"/>
      <c r="R3" s="343" t="s">
        <v>38</v>
      </c>
    </row>
    <row r="4" spans="1:18" ht="21.75" customHeight="1">
      <c r="A4" s="332"/>
      <c r="B4" s="339"/>
      <c r="C4" s="339"/>
      <c r="D4" s="339"/>
      <c r="E4" s="339"/>
      <c r="F4" s="134"/>
      <c r="G4" s="134" t="s">
        <v>73</v>
      </c>
      <c r="H4" s="134" t="s">
        <v>78</v>
      </c>
      <c r="I4" s="134" t="s">
        <v>94</v>
      </c>
      <c r="J4" s="13" t="s">
        <v>40</v>
      </c>
      <c r="K4" s="13" t="s">
        <v>79</v>
      </c>
      <c r="L4" s="13" t="s">
        <v>102</v>
      </c>
      <c r="M4" s="13" t="s">
        <v>79</v>
      </c>
      <c r="N4" s="13" t="s">
        <v>41</v>
      </c>
      <c r="O4" s="13" t="s">
        <v>79</v>
      </c>
      <c r="P4" s="13" t="s">
        <v>42</v>
      </c>
      <c r="Q4" s="13" t="s">
        <v>79</v>
      </c>
      <c r="R4" s="344"/>
    </row>
    <row r="5" spans="1:18" ht="36" customHeight="1">
      <c r="A5" s="330" t="s">
        <v>35</v>
      </c>
      <c r="B5" s="2">
        <v>1</v>
      </c>
      <c r="C5" s="10" t="s">
        <v>24</v>
      </c>
      <c r="D5" s="2" t="s">
        <v>25</v>
      </c>
      <c r="E5" s="2" t="s">
        <v>26</v>
      </c>
      <c r="F5" s="78">
        <v>2.3E-2</v>
      </c>
      <c r="G5" s="216">
        <f t="shared" ref="G5:G10" si="0">+J5+N5+P5+L5</f>
        <v>30000</v>
      </c>
      <c r="H5" s="20">
        <f t="shared" ref="H5:H14" si="1">+G5*(1-F5)</f>
        <v>29310</v>
      </c>
      <c r="I5" s="24"/>
      <c r="J5" s="105"/>
      <c r="K5" s="80"/>
      <c r="L5" s="80"/>
      <c r="M5" s="105">
        <f>L5*(1-F5)</f>
        <v>0</v>
      </c>
      <c r="N5" s="81">
        <v>30000</v>
      </c>
      <c r="O5" s="81">
        <f>+N5*(1-F5)</f>
        <v>29310</v>
      </c>
      <c r="P5" s="87"/>
      <c r="Q5" s="88">
        <f t="shared" ref="Q5:Q14" si="2">P5*(1-F5)</f>
        <v>0</v>
      </c>
      <c r="R5" s="76" t="s">
        <v>105</v>
      </c>
    </row>
    <row r="6" spans="1:18" ht="36" customHeight="1">
      <c r="A6" s="331"/>
      <c r="B6" s="2">
        <v>2</v>
      </c>
      <c r="C6" s="10" t="s">
        <v>27</v>
      </c>
      <c r="D6" s="333" t="s">
        <v>28</v>
      </c>
      <c r="E6" s="2" t="s">
        <v>26</v>
      </c>
      <c r="F6" s="78">
        <v>1.52E-2</v>
      </c>
      <c r="G6" s="36">
        <f t="shared" si="0"/>
        <v>304000</v>
      </c>
      <c r="H6" s="36">
        <v>299379</v>
      </c>
      <c r="I6" s="35">
        <v>16000</v>
      </c>
      <c r="J6" s="82">
        <v>133000</v>
      </c>
      <c r="K6" s="82">
        <f>+J6*(1-F6)</f>
        <v>130978.4</v>
      </c>
      <c r="L6" s="82">
        <v>85500</v>
      </c>
      <c r="M6" s="82">
        <f t="shared" ref="M6:M11" si="3">L6*(1-F6)</f>
        <v>84200.4</v>
      </c>
      <c r="N6" s="83">
        <v>85500</v>
      </c>
      <c r="O6" s="83">
        <f>+N6*(1-F6)</f>
        <v>84200.4</v>
      </c>
      <c r="P6" s="89"/>
      <c r="Q6" s="88">
        <f t="shared" si="2"/>
        <v>0</v>
      </c>
      <c r="R6" s="73" t="s">
        <v>53</v>
      </c>
    </row>
    <row r="7" spans="1:18" ht="36" customHeight="1">
      <c r="A7" s="331"/>
      <c r="B7" s="2">
        <v>3</v>
      </c>
      <c r="C7" s="10" t="s">
        <v>48</v>
      </c>
      <c r="D7" s="334"/>
      <c r="E7" s="2" t="s">
        <v>26</v>
      </c>
      <c r="F7" s="78">
        <v>2.3E-2</v>
      </c>
      <c r="G7" s="36">
        <f t="shared" si="0"/>
        <v>320000</v>
      </c>
      <c r="H7" s="36">
        <f>+K7+M7+O7</f>
        <v>314710</v>
      </c>
      <c r="I7" s="37"/>
      <c r="J7" s="82">
        <v>140000</v>
      </c>
      <c r="K7" s="82">
        <f t="shared" ref="K7:K11" si="4">+J7*(1-F7)</f>
        <v>136780</v>
      </c>
      <c r="L7" s="82">
        <v>90000</v>
      </c>
      <c r="M7" s="82">
        <v>90000</v>
      </c>
      <c r="N7" s="83">
        <v>90000</v>
      </c>
      <c r="O7" s="83">
        <f t="shared" ref="O7:O14" si="5">+N7*(1-F7)</f>
        <v>87930</v>
      </c>
      <c r="P7" s="89"/>
      <c r="Q7" s="88">
        <f t="shared" si="2"/>
        <v>0</v>
      </c>
      <c r="R7" s="7" t="s">
        <v>103</v>
      </c>
    </row>
    <row r="8" spans="1:18" ht="36" customHeight="1">
      <c r="A8" s="331"/>
      <c r="B8" s="2">
        <v>4</v>
      </c>
      <c r="C8" s="10" t="s">
        <v>45</v>
      </c>
      <c r="D8" s="334"/>
      <c r="E8" s="2" t="s">
        <v>26</v>
      </c>
      <c r="F8" s="78">
        <v>1.52E-2</v>
      </c>
      <c r="G8" s="36">
        <f t="shared" si="0"/>
        <v>320000</v>
      </c>
      <c r="H8" s="36">
        <f>+K8+M8+O8</f>
        <v>314434</v>
      </c>
      <c r="I8" s="37"/>
      <c r="J8" s="82">
        <v>140000</v>
      </c>
      <c r="K8" s="82">
        <f t="shared" si="4"/>
        <v>137872</v>
      </c>
      <c r="L8" s="82">
        <v>90000</v>
      </c>
      <c r="M8" s="82">
        <v>87930</v>
      </c>
      <c r="N8" s="83">
        <v>90000</v>
      </c>
      <c r="O8" s="83">
        <f t="shared" si="5"/>
        <v>88632</v>
      </c>
      <c r="P8" s="89"/>
      <c r="Q8" s="88">
        <f t="shared" si="2"/>
        <v>0</v>
      </c>
      <c r="R8" s="73" t="s">
        <v>106</v>
      </c>
    </row>
    <row r="9" spans="1:18" ht="36" customHeight="1">
      <c r="A9" s="331"/>
      <c r="B9" s="2">
        <v>5</v>
      </c>
      <c r="C9" s="10" t="s">
        <v>49</v>
      </c>
      <c r="D9" s="334"/>
      <c r="E9" s="2" t="s">
        <v>26</v>
      </c>
      <c r="F9" s="78">
        <v>1.7999999999999999E-2</v>
      </c>
      <c r="G9" s="36">
        <f t="shared" si="0"/>
        <v>320000</v>
      </c>
      <c r="H9" s="36">
        <v>313790</v>
      </c>
      <c r="I9" s="37"/>
      <c r="J9" s="82">
        <v>140000</v>
      </c>
      <c r="K9" s="82">
        <f t="shared" si="4"/>
        <v>137480</v>
      </c>
      <c r="L9" s="82">
        <v>90000</v>
      </c>
      <c r="M9" s="82">
        <v>87930</v>
      </c>
      <c r="N9" s="83">
        <v>90000</v>
      </c>
      <c r="O9" s="83">
        <f t="shared" si="5"/>
        <v>88380</v>
      </c>
      <c r="P9" s="89"/>
      <c r="Q9" s="88">
        <f t="shared" si="2"/>
        <v>0</v>
      </c>
      <c r="R9" s="72" t="s">
        <v>62</v>
      </c>
    </row>
    <row r="10" spans="1:18" ht="36" customHeight="1">
      <c r="A10" s="331"/>
      <c r="B10" s="2">
        <v>6</v>
      </c>
      <c r="C10" s="10" t="s">
        <v>10</v>
      </c>
      <c r="D10" s="334"/>
      <c r="E10" s="2" t="s">
        <v>11</v>
      </c>
      <c r="F10" s="78"/>
      <c r="G10" s="36">
        <f t="shared" si="0"/>
        <v>230000</v>
      </c>
      <c r="H10" s="36">
        <f t="shared" ref="H10:H11" si="6">+G10*(1-F10)</f>
        <v>230000</v>
      </c>
      <c r="I10" s="37"/>
      <c r="J10" s="82">
        <v>140000</v>
      </c>
      <c r="K10" s="82">
        <v>140000</v>
      </c>
      <c r="L10" s="82"/>
      <c r="M10" s="82">
        <f t="shared" si="3"/>
        <v>0</v>
      </c>
      <c r="N10" s="83">
        <v>90000</v>
      </c>
      <c r="O10" s="83">
        <f t="shared" si="5"/>
        <v>90000</v>
      </c>
      <c r="P10" s="89"/>
      <c r="Q10" s="88"/>
      <c r="R10" s="72" t="s">
        <v>124</v>
      </c>
    </row>
    <row r="11" spans="1:18" ht="36" customHeight="1">
      <c r="A11" s="331"/>
      <c r="B11" s="2">
        <v>7</v>
      </c>
      <c r="C11" s="10" t="s">
        <v>129</v>
      </c>
      <c r="D11" s="334"/>
      <c r="E11" s="2" t="s">
        <v>11</v>
      </c>
      <c r="F11" s="78">
        <v>2.3E-2</v>
      </c>
      <c r="G11" s="36">
        <f>+J11+N11+P11+L11</f>
        <v>300000</v>
      </c>
      <c r="H11" s="36">
        <f t="shared" si="6"/>
        <v>293100</v>
      </c>
      <c r="I11" s="37"/>
      <c r="J11" s="82">
        <v>120000</v>
      </c>
      <c r="K11" s="82">
        <f t="shared" si="4"/>
        <v>117240</v>
      </c>
      <c r="L11" s="82">
        <v>90000</v>
      </c>
      <c r="M11" s="82">
        <f t="shared" si="3"/>
        <v>87930</v>
      </c>
      <c r="N11" s="83">
        <v>90000</v>
      </c>
      <c r="O11" s="83">
        <f t="shared" si="5"/>
        <v>87930</v>
      </c>
      <c r="P11" s="89"/>
      <c r="Q11" s="88"/>
      <c r="R11" s="178" t="s">
        <v>104</v>
      </c>
    </row>
    <row r="12" spans="1:18" ht="36" hidden="1" customHeight="1">
      <c r="A12" s="331"/>
      <c r="B12" s="2"/>
      <c r="C12" s="10"/>
      <c r="D12" s="334"/>
      <c r="E12" s="2"/>
      <c r="F12" s="78"/>
      <c r="G12" s="36"/>
      <c r="H12" s="36"/>
      <c r="I12" s="37"/>
      <c r="J12" s="82"/>
      <c r="K12" s="82"/>
      <c r="L12" s="82"/>
      <c r="M12" s="82"/>
      <c r="N12" s="83"/>
      <c r="O12" s="83"/>
      <c r="P12" s="89"/>
      <c r="Q12" s="88"/>
      <c r="R12" s="72"/>
    </row>
    <row r="13" spans="1:18" ht="36" hidden="1" customHeight="1">
      <c r="A13" s="331"/>
      <c r="B13" s="2"/>
      <c r="C13" s="10"/>
      <c r="D13" s="334"/>
      <c r="E13" s="2"/>
      <c r="F13" s="78"/>
      <c r="G13" s="36"/>
      <c r="H13" s="36"/>
      <c r="I13" s="37"/>
      <c r="J13" s="82"/>
      <c r="K13" s="82"/>
      <c r="L13" s="82"/>
      <c r="M13" s="82"/>
      <c r="N13" s="83"/>
      <c r="O13" s="83"/>
      <c r="P13" s="89"/>
      <c r="Q13" s="88"/>
      <c r="R13" s="72"/>
    </row>
    <row r="14" spans="1:18" ht="36" hidden="1" customHeight="1">
      <c r="A14" s="332"/>
      <c r="B14" s="2"/>
      <c r="C14" s="10"/>
      <c r="D14" s="335"/>
      <c r="E14" s="2" t="s">
        <v>11</v>
      </c>
      <c r="F14" s="2"/>
      <c r="G14" s="45">
        <f t="shared" ref="G14" si="7">+J14+N14+P14</f>
        <v>0</v>
      </c>
      <c r="H14" s="20">
        <f t="shared" si="1"/>
        <v>0</v>
      </c>
      <c r="I14" s="24">
        <f>+G14-H14</f>
        <v>0</v>
      </c>
      <c r="J14" s="84"/>
      <c r="K14" s="84">
        <f>+J14*(1-F14)</f>
        <v>0</v>
      </c>
      <c r="L14" s="84"/>
      <c r="M14" s="84">
        <f>+L14*(1-H14)</f>
        <v>0</v>
      </c>
      <c r="N14" s="81"/>
      <c r="O14" s="81">
        <f t="shared" si="5"/>
        <v>0</v>
      </c>
      <c r="P14" s="89"/>
      <c r="Q14" s="88">
        <f t="shared" si="2"/>
        <v>0</v>
      </c>
      <c r="R14" s="74"/>
    </row>
    <row r="15" spans="1:18" s="5" customFormat="1" ht="36" customHeight="1">
      <c r="A15" s="328" t="s">
        <v>70</v>
      </c>
      <c r="B15" s="329"/>
      <c r="C15" s="329"/>
      <c r="D15" s="329"/>
      <c r="E15" s="329"/>
      <c r="F15" s="136"/>
      <c r="G15" s="60">
        <f>+J15+N15+P15+L15</f>
        <v>1824000</v>
      </c>
      <c r="H15" s="57">
        <f>SUM(H5:H14)</f>
        <v>1794723</v>
      </c>
      <c r="I15" s="61">
        <f t="shared" ref="I15:O15" si="8">SUM(I5:I14)</f>
        <v>16000</v>
      </c>
      <c r="J15" s="62">
        <f>SUM(J5:J11)</f>
        <v>813000</v>
      </c>
      <c r="K15" s="62">
        <f t="shared" si="8"/>
        <v>800350.4</v>
      </c>
      <c r="L15" s="62">
        <f t="shared" ref="L15:M15" si="9">SUM(L5:L14)</f>
        <v>445500</v>
      </c>
      <c r="M15" s="62">
        <f t="shared" si="9"/>
        <v>437990.40000000002</v>
      </c>
      <c r="N15" s="51">
        <f t="shared" si="8"/>
        <v>565500</v>
      </c>
      <c r="O15" s="51">
        <f t="shared" si="8"/>
        <v>556382.4</v>
      </c>
      <c r="P15" s="90"/>
      <c r="Q15" s="91"/>
      <c r="R15" s="52"/>
    </row>
    <row r="16" spans="1:18" ht="6.75" customHeight="1">
      <c r="A16" s="8"/>
      <c r="B16" s="6"/>
      <c r="C16" s="11"/>
      <c r="D16" s="6"/>
      <c r="E16" s="6"/>
      <c r="F16" s="6"/>
      <c r="G16" s="21"/>
      <c r="H16" s="21"/>
      <c r="I16" s="23"/>
      <c r="J16" s="12"/>
      <c r="K16" s="12"/>
      <c r="L16" s="12"/>
      <c r="M16" s="12"/>
      <c r="N16" s="15"/>
      <c r="O16" s="15"/>
      <c r="P16" s="17"/>
      <c r="Q16" s="86"/>
      <c r="R16" s="7"/>
    </row>
    <row r="17" spans="1:25" ht="36" customHeight="1">
      <c r="A17" s="330" t="s">
        <v>34</v>
      </c>
      <c r="B17" s="2">
        <v>1</v>
      </c>
      <c r="C17" s="10" t="s">
        <v>4</v>
      </c>
      <c r="D17" s="333" t="s">
        <v>5</v>
      </c>
      <c r="E17" s="2" t="s">
        <v>15</v>
      </c>
      <c r="F17" s="78">
        <v>2.1000000000000001E-2</v>
      </c>
      <c r="G17" s="20">
        <f t="shared" ref="G17:G22" si="10">+J17+N17+P17+L17</f>
        <v>332500</v>
      </c>
      <c r="H17" s="20">
        <f t="shared" ref="H17:H18" si="11">+K17+M17+O17+Q17</f>
        <v>325517.5</v>
      </c>
      <c r="I17" s="35">
        <v>17500</v>
      </c>
      <c r="J17" s="39">
        <v>237500</v>
      </c>
      <c r="K17" s="39">
        <f t="shared" ref="K17:K22" si="12">+J17*(1-F17)</f>
        <v>232512.5</v>
      </c>
      <c r="L17" s="176"/>
      <c r="M17" s="176">
        <f t="shared" ref="M17:M22" si="13">L17*(1-F17)</f>
        <v>0</v>
      </c>
      <c r="N17" s="83">
        <v>95000</v>
      </c>
      <c r="O17" s="83">
        <f t="shared" ref="O17:O22" si="14">+N17*(1-F17)</f>
        <v>93005</v>
      </c>
      <c r="P17" s="81"/>
      <c r="Q17" s="92">
        <f>P17*(1-F17)</f>
        <v>0</v>
      </c>
      <c r="R17" s="7" t="s">
        <v>63</v>
      </c>
    </row>
    <row r="18" spans="1:25" ht="36" customHeight="1">
      <c r="A18" s="331"/>
      <c r="B18" s="2">
        <v>2</v>
      </c>
      <c r="C18" s="10" t="s">
        <v>12</v>
      </c>
      <c r="D18" s="335"/>
      <c r="E18" s="2" t="s">
        <v>15</v>
      </c>
      <c r="F18" s="78">
        <v>1.7999999999999999E-2</v>
      </c>
      <c r="G18" s="20">
        <f t="shared" si="10"/>
        <v>350000</v>
      </c>
      <c r="H18" s="20">
        <f t="shared" si="11"/>
        <v>343700</v>
      </c>
      <c r="I18" s="35"/>
      <c r="J18" s="39">
        <v>250000</v>
      </c>
      <c r="K18" s="39">
        <f t="shared" si="12"/>
        <v>245500</v>
      </c>
      <c r="L18" s="176"/>
      <c r="M18" s="176">
        <f t="shared" si="13"/>
        <v>0</v>
      </c>
      <c r="N18" s="83"/>
      <c r="O18" s="83">
        <f t="shared" si="14"/>
        <v>0</v>
      </c>
      <c r="P18" s="81">
        <v>100000</v>
      </c>
      <c r="Q18" s="92">
        <f t="shared" ref="Q18:Q22" si="15">P18*(1-F18)</f>
        <v>98200</v>
      </c>
      <c r="R18" s="72" t="s">
        <v>61</v>
      </c>
      <c r="S18" t="s">
        <v>127</v>
      </c>
      <c r="T18" t="s">
        <v>128</v>
      </c>
    </row>
    <row r="19" spans="1:25" ht="36" customHeight="1">
      <c r="A19" s="331"/>
      <c r="B19" s="2">
        <v>3</v>
      </c>
      <c r="C19" s="10" t="s">
        <v>29</v>
      </c>
      <c r="D19" s="2" t="s">
        <v>30</v>
      </c>
      <c r="E19" s="2" t="s">
        <v>31</v>
      </c>
      <c r="F19" s="2"/>
      <c r="G19" s="216">
        <f t="shared" si="10"/>
        <v>441000</v>
      </c>
      <c r="H19" s="20">
        <f>+K19+M19+O19+Q19</f>
        <v>432982</v>
      </c>
      <c r="I19" s="35"/>
      <c r="J19" s="39">
        <v>191000</v>
      </c>
      <c r="K19" s="39">
        <v>186607</v>
      </c>
      <c r="L19" s="176"/>
      <c r="M19" s="176">
        <f t="shared" si="13"/>
        <v>0</v>
      </c>
      <c r="N19" s="81">
        <v>250000</v>
      </c>
      <c r="O19" s="81">
        <v>246375</v>
      </c>
      <c r="P19" s="83"/>
      <c r="Q19" s="93">
        <f t="shared" si="15"/>
        <v>0</v>
      </c>
      <c r="R19" s="74"/>
      <c r="S19">
        <v>131895</v>
      </c>
      <c r="T19">
        <v>54712</v>
      </c>
    </row>
    <row r="20" spans="1:25" ht="36" customHeight="1" thickBot="1">
      <c r="A20" s="331"/>
      <c r="B20" s="2">
        <v>4</v>
      </c>
      <c r="C20" s="10" t="s">
        <v>13</v>
      </c>
      <c r="D20" s="333" t="s">
        <v>14</v>
      </c>
      <c r="E20" s="2" t="s">
        <v>15</v>
      </c>
      <c r="F20" s="2"/>
      <c r="G20" s="155">
        <f t="shared" si="10"/>
        <v>600000</v>
      </c>
      <c r="H20" s="20">
        <f t="shared" ref="H20:H22" si="16">+K20+M20+O20+Q20</f>
        <v>600000</v>
      </c>
      <c r="I20" s="35"/>
      <c r="J20" s="39">
        <v>250000</v>
      </c>
      <c r="K20" s="39">
        <f t="shared" si="12"/>
        <v>250000</v>
      </c>
      <c r="L20" s="176"/>
      <c r="M20" s="176">
        <f t="shared" si="13"/>
        <v>0</v>
      </c>
      <c r="N20" s="81">
        <v>250000</v>
      </c>
      <c r="O20" s="81">
        <f t="shared" si="14"/>
        <v>250000</v>
      </c>
      <c r="P20" s="81">
        <v>100000</v>
      </c>
      <c r="Q20" s="92">
        <f t="shared" si="15"/>
        <v>100000</v>
      </c>
      <c r="R20" s="75" t="s">
        <v>93</v>
      </c>
      <c r="Y20" s="138"/>
    </row>
    <row r="21" spans="1:25" ht="36" customHeight="1" thickTop="1">
      <c r="A21" s="331"/>
      <c r="B21" s="2">
        <v>5</v>
      </c>
      <c r="C21" s="10" t="s">
        <v>18</v>
      </c>
      <c r="D21" s="334"/>
      <c r="E21" s="2" t="s">
        <v>15</v>
      </c>
      <c r="F21" s="200">
        <v>3.3175999999999997E-2</v>
      </c>
      <c r="G21" s="187">
        <f t="shared" si="10"/>
        <v>332500</v>
      </c>
      <c r="H21" s="202">
        <f t="shared" si="16"/>
        <v>321468.98</v>
      </c>
      <c r="I21" s="35">
        <v>17500</v>
      </c>
      <c r="J21" s="39">
        <v>237500</v>
      </c>
      <c r="K21" s="39">
        <f t="shared" si="12"/>
        <v>229620.7</v>
      </c>
      <c r="L21" s="176"/>
      <c r="M21" s="176">
        <f t="shared" si="13"/>
        <v>0</v>
      </c>
      <c r="N21" s="94"/>
      <c r="O21" s="83">
        <f t="shared" si="14"/>
        <v>0</v>
      </c>
      <c r="P21" s="83">
        <v>95000</v>
      </c>
      <c r="Q21" s="93">
        <f t="shared" si="15"/>
        <v>91848.28</v>
      </c>
      <c r="R21" s="75" t="s">
        <v>100</v>
      </c>
      <c r="U21" s="167" t="s">
        <v>84</v>
      </c>
      <c r="V21" s="168" t="s">
        <v>76</v>
      </c>
      <c r="W21" s="169" t="s">
        <v>81</v>
      </c>
      <c r="X21" s="147" t="s">
        <v>82</v>
      </c>
      <c r="Y21" s="137">
        <v>3.3000000000000002E-2</v>
      </c>
    </row>
    <row r="22" spans="1:25" ht="36" customHeight="1">
      <c r="A22" s="332"/>
      <c r="B22" s="2">
        <v>6</v>
      </c>
      <c r="C22" s="10" t="s">
        <v>32</v>
      </c>
      <c r="D22" s="335"/>
      <c r="E22" s="2" t="s">
        <v>15</v>
      </c>
      <c r="F22" s="78">
        <v>1.52E-2</v>
      </c>
      <c r="G22" s="186">
        <f t="shared" si="10"/>
        <v>570000</v>
      </c>
      <c r="H22" s="20">
        <f t="shared" si="16"/>
        <v>561336</v>
      </c>
      <c r="I22" s="35">
        <v>30000</v>
      </c>
      <c r="J22" s="39">
        <v>237500</v>
      </c>
      <c r="K22" s="39">
        <f t="shared" si="12"/>
        <v>233890</v>
      </c>
      <c r="L22" s="176"/>
      <c r="M22" s="176">
        <f t="shared" si="13"/>
        <v>0</v>
      </c>
      <c r="N22" s="81">
        <v>237500</v>
      </c>
      <c r="O22" s="81">
        <f t="shared" si="14"/>
        <v>233890</v>
      </c>
      <c r="P22" s="81">
        <v>95000</v>
      </c>
      <c r="Q22" s="81">
        <f t="shared" si="15"/>
        <v>93556</v>
      </c>
      <c r="R22" s="73" t="s">
        <v>53</v>
      </c>
      <c r="U22" s="117">
        <f>+J15+J23</f>
        <v>2216500</v>
      </c>
      <c r="V22" s="3">
        <f>+K15+K23</f>
        <v>2178480.6</v>
      </c>
      <c r="W22" s="141">
        <f>+V22*0.4</f>
        <v>871392.24000000011</v>
      </c>
      <c r="X22" s="4">
        <f>+V22-W22</f>
        <v>1307088.3599999999</v>
      </c>
      <c r="Y22" s="148">
        <f>+X22*(1-Y21)</f>
        <v>1263954.4441199999</v>
      </c>
    </row>
    <row r="23" spans="1:25" s="5" customFormat="1" ht="36" customHeight="1">
      <c r="A23" s="328" t="s">
        <v>70</v>
      </c>
      <c r="B23" s="329"/>
      <c r="C23" s="329"/>
      <c r="D23" s="329"/>
      <c r="E23" s="329"/>
      <c r="F23" s="136"/>
      <c r="G23" s="56">
        <f t="shared" ref="G23:M23" si="17">SUM(G17:G22)</f>
        <v>2626000</v>
      </c>
      <c r="H23" s="57">
        <f t="shared" si="17"/>
        <v>2585004.48</v>
      </c>
      <c r="I23" s="58">
        <f t="shared" si="17"/>
        <v>65000</v>
      </c>
      <c r="J23" s="59">
        <f t="shared" si="17"/>
        <v>1403500</v>
      </c>
      <c r="K23" s="59">
        <f>SUM(K17:K22)</f>
        <v>1378130.2</v>
      </c>
      <c r="L23" s="177">
        <f t="shared" si="17"/>
        <v>0</v>
      </c>
      <c r="M23" s="177">
        <f t="shared" si="17"/>
        <v>0</v>
      </c>
      <c r="N23" s="51">
        <f t="shared" ref="N23:P23" si="18">SUM(N17:N22)</f>
        <v>832500</v>
      </c>
      <c r="O23" s="51">
        <f>SUM(O17:O22)</f>
        <v>823270</v>
      </c>
      <c r="P23" s="51">
        <f t="shared" si="18"/>
        <v>390000</v>
      </c>
      <c r="Q23" s="51">
        <f>SUM(Q17:Q22)</f>
        <v>383604.28</v>
      </c>
      <c r="R23" s="52"/>
      <c r="U23" s="165" t="s">
        <v>83</v>
      </c>
      <c r="V23" s="10" t="s">
        <v>75</v>
      </c>
      <c r="W23" s="166" t="s">
        <v>80</v>
      </c>
      <c r="X23" s="149" t="s">
        <v>86</v>
      </c>
      <c r="Y23" s="139"/>
    </row>
    <row r="24" spans="1:25" ht="23.25" customHeight="1">
      <c r="A24" s="8"/>
      <c r="B24" s="6"/>
      <c r="C24" s="11"/>
      <c r="D24" s="6"/>
      <c r="E24" s="6"/>
      <c r="F24" s="6"/>
      <c r="G24" s="21"/>
      <c r="H24" s="21"/>
      <c r="I24" s="23"/>
      <c r="J24" s="12"/>
      <c r="K24" s="12"/>
      <c r="L24" s="12"/>
      <c r="M24" s="12"/>
      <c r="N24" s="10"/>
      <c r="O24" s="10"/>
      <c r="P24" s="15"/>
      <c r="Q24" s="104"/>
      <c r="R24" s="7"/>
      <c r="U24" s="117">
        <f>+N15+N23+P23+P30+L15</f>
        <v>2523500</v>
      </c>
      <c r="V24" s="3">
        <f>+O23+Q23+Q30+O15+M15</f>
        <v>2483361.0904999999</v>
      </c>
      <c r="W24" s="141">
        <f>+V24*0.4</f>
        <v>993344.4362</v>
      </c>
      <c r="X24" s="4">
        <f>+V24-W24</f>
        <v>1490016.6543000001</v>
      </c>
      <c r="Y24" s="150">
        <f>+X24*(1-Y21)</f>
        <v>1440846.1047081</v>
      </c>
    </row>
    <row r="25" spans="1:25" ht="36" customHeight="1">
      <c r="A25" s="330" t="s">
        <v>33</v>
      </c>
      <c r="B25" s="2">
        <v>1</v>
      </c>
      <c r="C25" s="10" t="s">
        <v>6</v>
      </c>
      <c r="D25" s="2" t="s">
        <v>7</v>
      </c>
      <c r="E25" s="2" t="s">
        <v>9</v>
      </c>
      <c r="F25" s="78">
        <v>2.1000000000000001E-2</v>
      </c>
      <c r="G25" s="20">
        <f t="shared" ref="G25:G29" si="19">+J25+N25+P25+L25</f>
        <v>687500</v>
      </c>
      <c r="H25" s="20">
        <f>+K25+M25+O25+Q25</f>
        <v>673062.5</v>
      </c>
      <c r="I25" s="35">
        <v>47500</v>
      </c>
      <c r="J25" s="95">
        <v>380000</v>
      </c>
      <c r="K25" s="95">
        <f>+J25*(1-F25)</f>
        <v>372020</v>
      </c>
      <c r="L25" s="95">
        <v>165000</v>
      </c>
      <c r="M25" s="95">
        <f t="shared" ref="M25:M29" si="20">L25*(1-F25)</f>
        <v>161535</v>
      </c>
      <c r="N25" s="96"/>
      <c r="O25" s="96">
        <f>+N25*(1-F25)</f>
        <v>0</v>
      </c>
      <c r="P25" s="81">
        <v>142500</v>
      </c>
      <c r="Q25" s="81">
        <f>+P25*(1-F25)</f>
        <v>139507.5</v>
      </c>
      <c r="R25" s="7" t="s">
        <v>63</v>
      </c>
      <c r="U25" s="165" t="s">
        <v>83</v>
      </c>
      <c r="V25" s="10" t="s">
        <v>75</v>
      </c>
      <c r="W25" s="166" t="s">
        <v>80</v>
      </c>
      <c r="X25" s="151" t="s">
        <v>85</v>
      </c>
      <c r="Y25" s="139"/>
    </row>
    <row r="26" spans="1:25" ht="36" customHeight="1">
      <c r="A26" s="331"/>
      <c r="B26" s="2">
        <v>2</v>
      </c>
      <c r="C26" s="10" t="s">
        <v>16</v>
      </c>
      <c r="D26" s="2" t="s">
        <v>17</v>
      </c>
      <c r="E26" s="2" t="s">
        <v>15</v>
      </c>
      <c r="F26" s="78">
        <v>3.3176200000000003E-2</v>
      </c>
      <c r="G26" s="53">
        <f t="shared" si="19"/>
        <v>147500</v>
      </c>
      <c r="H26" s="217">
        <f t="shared" ref="H26:H29" si="21">+K26+M26+O26+Q26</f>
        <v>142606.5105</v>
      </c>
      <c r="I26" s="58">
        <v>2500</v>
      </c>
      <c r="J26" s="109"/>
      <c r="K26" s="109"/>
      <c r="L26" s="109"/>
      <c r="M26" s="109">
        <f t="shared" si="20"/>
        <v>0</v>
      </c>
      <c r="N26" s="106"/>
      <c r="O26" s="106"/>
      <c r="P26" s="97">
        <v>147500</v>
      </c>
      <c r="Q26" s="97">
        <f>+P26*(1-F26)</f>
        <v>142606.5105</v>
      </c>
      <c r="R26" s="52" t="s">
        <v>101</v>
      </c>
      <c r="U26" s="117">
        <f>+J30</f>
        <v>1560000</v>
      </c>
      <c r="V26" s="3">
        <f>+K30</f>
        <v>1530964</v>
      </c>
      <c r="W26" s="141">
        <f>+V26*0.5</f>
        <v>765482</v>
      </c>
      <c r="X26" s="4">
        <f>+V26-W26</f>
        <v>765482</v>
      </c>
      <c r="Y26" s="152">
        <f>+X26*(1-Y21)</f>
        <v>740221.09399999992</v>
      </c>
    </row>
    <row r="27" spans="1:25" ht="36" customHeight="1">
      <c r="A27" s="331"/>
      <c r="B27" s="2">
        <v>3</v>
      </c>
      <c r="C27" s="10" t="s">
        <v>19</v>
      </c>
      <c r="D27" s="2" t="s">
        <v>20</v>
      </c>
      <c r="E27" s="2" t="s">
        <v>21</v>
      </c>
      <c r="F27" s="78">
        <v>1.52E-2</v>
      </c>
      <c r="G27" s="20">
        <f t="shared" si="19"/>
        <v>400000</v>
      </c>
      <c r="H27" s="202">
        <f t="shared" si="21"/>
        <v>393920</v>
      </c>
      <c r="I27" s="35"/>
      <c r="J27" s="95">
        <v>400000</v>
      </c>
      <c r="K27" s="95">
        <f t="shared" ref="K27:K29" si="22">+J27*(1-F27)</f>
        <v>393920</v>
      </c>
      <c r="L27" s="95"/>
      <c r="M27" s="95">
        <f t="shared" si="20"/>
        <v>0</v>
      </c>
      <c r="N27" s="98"/>
      <c r="O27" s="98">
        <f t="shared" ref="O27:O29" si="23">+N27*(1-F27)</f>
        <v>0</v>
      </c>
      <c r="P27" s="105">
        <v>0</v>
      </c>
      <c r="Q27" s="105">
        <f>+P27*(1-F27)</f>
        <v>0</v>
      </c>
      <c r="R27" s="7" t="s">
        <v>95</v>
      </c>
      <c r="U27" s="165" t="s">
        <v>83</v>
      </c>
      <c r="V27" s="10" t="s">
        <v>75</v>
      </c>
      <c r="W27" s="166" t="s">
        <v>80</v>
      </c>
      <c r="X27" s="153" t="s">
        <v>87</v>
      </c>
      <c r="Y27" s="139"/>
    </row>
    <row r="28" spans="1:25" ht="36" customHeight="1">
      <c r="A28" s="331"/>
      <c r="B28" s="132">
        <v>4</v>
      </c>
      <c r="C28" s="14" t="s">
        <v>22</v>
      </c>
      <c r="D28" s="132" t="s">
        <v>23</v>
      </c>
      <c r="E28" s="132" t="s">
        <v>8</v>
      </c>
      <c r="F28" s="79">
        <v>2.3E-2</v>
      </c>
      <c r="G28" s="22">
        <f t="shared" si="19"/>
        <v>625000</v>
      </c>
      <c r="H28" s="218">
        <f t="shared" si="21"/>
        <v>610625</v>
      </c>
      <c r="I28" s="156"/>
      <c r="J28" s="99">
        <v>400000</v>
      </c>
      <c r="K28" s="99">
        <f t="shared" si="22"/>
        <v>390800</v>
      </c>
      <c r="L28" s="99">
        <v>225000</v>
      </c>
      <c r="M28" s="99">
        <f t="shared" si="20"/>
        <v>219825</v>
      </c>
      <c r="N28" s="100"/>
      <c r="O28" s="100">
        <f t="shared" si="23"/>
        <v>0</v>
      </c>
      <c r="P28" s="107"/>
      <c r="Q28" s="105">
        <f>+P28*(1-F28)</f>
        <v>0</v>
      </c>
      <c r="R28" s="7" t="s">
        <v>65</v>
      </c>
      <c r="U28" s="188">
        <f>+L30</f>
        <v>390000</v>
      </c>
      <c r="V28" s="189">
        <f>+M30</f>
        <v>381360</v>
      </c>
      <c r="W28" s="219">
        <f>+V28*0.6</f>
        <v>228816</v>
      </c>
      <c r="X28" s="190">
        <f>+V28-W28</f>
        <v>152544</v>
      </c>
      <c r="Y28" s="139">
        <f>+X28*(1-Y23)</f>
        <v>152544</v>
      </c>
    </row>
    <row r="29" spans="1:25" ht="36" customHeight="1">
      <c r="A29" s="331"/>
      <c r="B29" s="132">
        <v>5</v>
      </c>
      <c r="C29" s="14" t="s">
        <v>43</v>
      </c>
      <c r="D29" s="132" t="s">
        <v>7</v>
      </c>
      <c r="E29" s="132" t="s">
        <v>21</v>
      </c>
      <c r="F29" s="79">
        <v>1.52E-2</v>
      </c>
      <c r="G29" s="22">
        <f t="shared" si="19"/>
        <v>380000</v>
      </c>
      <c r="H29" s="22">
        <f t="shared" si="21"/>
        <v>374224</v>
      </c>
      <c r="I29" s="156">
        <v>20000</v>
      </c>
      <c r="J29" s="175">
        <v>380000</v>
      </c>
      <c r="K29" s="99">
        <f t="shared" si="22"/>
        <v>374224</v>
      </c>
      <c r="L29" s="99"/>
      <c r="M29" s="99">
        <f t="shared" si="20"/>
        <v>0</v>
      </c>
      <c r="N29" s="108"/>
      <c r="O29" s="108">
        <f t="shared" si="23"/>
        <v>0</v>
      </c>
      <c r="P29" s="107"/>
      <c r="Q29" s="105">
        <f>+P29*(1-F29)</f>
        <v>0</v>
      </c>
      <c r="R29" s="73" t="s">
        <v>53</v>
      </c>
      <c r="U29" s="117">
        <f>+N30</f>
        <v>0</v>
      </c>
      <c r="V29" s="3">
        <f>+O30</f>
        <v>0</v>
      </c>
      <c r="W29" s="141">
        <f>+U29*0.6</f>
        <v>0</v>
      </c>
      <c r="X29" s="4">
        <f>+V29-W29</f>
        <v>0</v>
      </c>
      <c r="Y29" s="154">
        <f>+X29*(1-Y21)</f>
        <v>0</v>
      </c>
    </row>
    <row r="30" spans="1:25" s="5" customFormat="1" ht="36" customHeight="1" thickBot="1">
      <c r="A30" s="326" t="s">
        <v>90</v>
      </c>
      <c r="B30" s="326"/>
      <c r="C30" s="326"/>
      <c r="D30" s="326"/>
      <c r="E30" s="327"/>
      <c r="F30" s="135"/>
      <c r="G30" s="65">
        <f>SUM(G25:G29)</f>
        <v>2240000</v>
      </c>
      <c r="H30" s="66">
        <f>SUM(H25:H29)</f>
        <v>2194438.0104999999</v>
      </c>
      <c r="I30" s="66">
        <f>SUM(I25:I29)</f>
        <v>70000</v>
      </c>
      <c r="J30" s="101">
        <f t="shared" ref="J30:P30" si="24">SUM(J25:J29)</f>
        <v>1560000</v>
      </c>
      <c r="K30" s="101">
        <f t="shared" si="24"/>
        <v>1530964</v>
      </c>
      <c r="L30" s="101">
        <f t="shared" si="24"/>
        <v>390000</v>
      </c>
      <c r="M30" s="101">
        <f t="shared" si="24"/>
        <v>381360</v>
      </c>
      <c r="N30" s="102">
        <f t="shared" si="24"/>
        <v>0</v>
      </c>
      <c r="O30" s="102">
        <f t="shared" si="24"/>
        <v>0</v>
      </c>
      <c r="P30" s="102">
        <f t="shared" si="24"/>
        <v>290000</v>
      </c>
      <c r="Q30" s="103">
        <f>SUM(Q25:Q29)</f>
        <v>282114.01049999997</v>
      </c>
      <c r="R30" s="85"/>
      <c r="U30" s="170" t="s">
        <v>83</v>
      </c>
      <c r="V30" s="171" t="s">
        <v>75</v>
      </c>
      <c r="W30" s="172" t="s">
        <v>80</v>
      </c>
      <c r="X30" s="173" t="s">
        <v>88</v>
      </c>
      <c r="Y30" s="139"/>
    </row>
    <row r="31" spans="1:25" s="5" customFormat="1" ht="36" customHeight="1" thickTop="1" thickBot="1">
      <c r="A31" s="345" t="s">
        <v>88</v>
      </c>
      <c r="B31" s="346"/>
      <c r="C31" s="346"/>
      <c r="D31" s="346"/>
      <c r="E31" s="346"/>
      <c r="F31" s="347"/>
      <c r="G31" s="157">
        <f t="shared" ref="G31" si="25">+G30+G23+G15</f>
        <v>6690000</v>
      </c>
      <c r="H31" s="158">
        <f>+H30+H23+H15</f>
        <v>6574165.4904999994</v>
      </c>
      <c r="I31" s="158">
        <f>+I30+I23+I15</f>
        <v>151000</v>
      </c>
      <c r="J31" s="159">
        <f>+J30+J23+J15</f>
        <v>3776500</v>
      </c>
      <c r="K31" s="159">
        <f t="shared" ref="K31:Q31" si="26">+K30+K23+K15</f>
        <v>3709444.6</v>
      </c>
      <c r="L31" s="159">
        <f>+L30+L23+L15</f>
        <v>835500</v>
      </c>
      <c r="M31" s="159">
        <f t="shared" ref="M31" si="27">+M30+M23+M15</f>
        <v>819350.4</v>
      </c>
      <c r="N31" s="160">
        <f t="shared" si="26"/>
        <v>1398000</v>
      </c>
      <c r="O31" s="160">
        <f t="shared" si="26"/>
        <v>1379652.4</v>
      </c>
      <c r="P31" s="161">
        <f t="shared" si="26"/>
        <v>680000</v>
      </c>
      <c r="Q31" s="161">
        <f t="shared" si="26"/>
        <v>665718.2905</v>
      </c>
      <c r="R31" s="162"/>
      <c r="U31" s="220">
        <f>+U28+U26+U24+U22</f>
        <v>6690000</v>
      </c>
      <c r="V31" s="221">
        <f>+V28+V26+V24+V22</f>
        <v>6574165.6905000005</v>
      </c>
      <c r="W31" s="222">
        <f>+W28+W26+W24+W22</f>
        <v>2859034.6762000001</v>
      </c>
      <c r="X31" s="223">
        <f>+X28+X26+X24+X22</f>
        <v>3715131.0142999999</v>
      </c>
      <c r="Y31" s="139">
        <f>+X31*(1-Y21)</f>
        <v>3592531.6908280998</v>
      </c>
    </row>
    <row r="32" spans="1:25" ht="17.25" thickTop="1"/>
    <row r="33" spans="1:6" ht="34.5" customHeight="1">
      <c r="A33" s="9"/>
      <c r="F33" s="224" t="s">
        <v>150</v>
      </c>
    </row>
  </sheetData>
  <mergeCells count="18">
    <mergeCell ref="A23:E23"/>
    <mergeCell ref="A25:A29"/>
    <mergeCell ref="A30:E30"/>
    <mergeCell ref="A31:F31"/>
    <mergeCell ref="A5:A14"/>
    <mergeCell ref="D6:D14"/>
    <mergeCell ref="A15:E15"/>
    <mergeCell ref="A17:A22"/>
    <mergeCell ref="D17:D18"/>
    <mergeCell ref="D20:D22"/>
    <mergeCell ref="A1:R1"/>
    <mergeCell ref="A3:A4"/>
    <mergeCell ref="B3:B4"/>
    <mergeCell ref="C3:C4"/>
    <mergeCell ref="D3:D4"/>
    <mergeCell ref="E3:E4"/>
    <mergeCell ref="J3:P3"/>
    <mergeCell ref="R3:R4"/>
  </mergeCells>
  <phoneticPr fontId="1" type="noConversion"/>
  <printOptions horizontalCentered="1" verticalCentered="1"/>
  <pageMargins left="0.70866141732283472" right="0.70866141732283472" top="0" bottom="0" header="0.31496062992125984" footer="0.31496062992125984"/>
  <pageSetup paperSize="9" scale="62" orientation="landscape" verticalDpi="0" r:id="rId1"/>
  <ignoredErrors>
    <ignoredError sqref="J15 N23 H19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Y51"/>
  <sheetViews>
    <sheetView topLeftCell="A27" zoomScale="75" zoomScaleNormal="75" workbookViewId="0">
      <selection activeCell="R41" sqref="R41"/>
    </sheetView>
  </sheetViews>
  <sheetFormatPr defaultRowHeight="16.5"/>
  <cols>
    <col min="1" max="1" width="8" customWidth="1"/>
    <col min="2" max="2" width="5.875" customWidth="1"/>
    <col min="7" max="9" width="12.5" customWidth="1"/>
    <col min="10" max="17" width="14.625" customWidth="1"/>
    <col min="18" max="18" width="38.5" customWidth="1"/>
    <col min="21" max="22" width="16.5" customWidth="1"/>
    <col min="23" max="27" width="18.25" customWidth="1"/>
  </cols>
  <sheetData>
    <row r="1" spans="1:18" ht="33.75">
      <c r="A1" s="336" t="s">
        <v>147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  <c r="O1" s="336"/>
      <c r="P1" s="336"/>
      <c r="Q1" s="336"/>
      <c r="R1" s="336"/>
    </row>
    <row r="2" spans="1:18" ht="30.75" customHeight="1" thickBot="1">
      <c r="R2" s="46" t="s">
        <v>68</v>
      </c>
    </row>
    <row r="3" spans="1:18" ht="21.75" customHeight="1" thickTop="1">
      <c r="A3" s="337" t="s">
        <v>37</v>
      </c>
      <c r="B3" s="338" t="s">
        <v>36</v>
      </c>
      <c r="C3" s="338" t="s">
        <v>0</v>
      </c>
      <c r="D3" s="338" t="s">
        <v>2</v>
      </c>
      <c r="E3" s="338" t="s">
        <v>3</v>
      </c>
      <c r="F3" s="179"/>
      <c r="G3" s="179" t="s">
        <v>122</v>
      </c>
      <c r="H3" s="179" t="s">
        <v>77</v>
      </c>
      <c r="I3" s="179"/>
      <c r="J3" s="340" t="s">
        <v>39</v>
      </c>
      <c r="K3" s="340"/>
      <c r="L3" s="340"/>
      <c r="M3" s="340"/>
      <c r="N3" s="340"/>
      <c r="O3" s="340"/>
      <c r="P3" s="340"/>
      <c r="Q3" s="179"/>
      <c r="R3" s="343" t="s">
        <v>38</v>
      </c>
    </row>
    <row r="4" spans="1:18" ht="21.75" customHeight="1">
      <c r="A4" s="332"/>
      <c r="B4" s="339"/>
      <c r="C4" s="339"/>
      <c r="D4" s="339"/>
      <c r="E4" s="339"/>
      <c r="F4" s="180"/>
      <c r="G4" s="180" t="s">
        <v>73</v>
      </c>
      <c r="H4" s="180" t="s">
        <v>78</v>
      </c>
      <c r="I4" s="180" t="s">
        <v>94</v>
      </c>
      <c r="J4" s="13" t="s">
        <v>40</v>
      </c>
      <c r="K4" s="13" t="s">
        <v>79</v>
      </c>
      <c r="L4" s="13" t="s">
        <v>102</v>
      </c>
      <c r="M4" s="13" t="s">
        <v>79</v>
      </c>
      <c r="N4" s="13" t="s">
        <v>41</v>
      </c>
      <c r="O4" s="13" t="s">
        <v>79</v>
      </c>
      <c r="P4" s="13" t="s">
        <v>42</v>
      </c>
      <c r="Q4" s="13" t="s">
        <v>79</v>
      </c>
      <c r="R4" s="344"/>
    </row>
    <row r="5" spans="1:18" ht="36" customHeight="1">
      <c r="A5" s="193" t="s">
        <v>35</v>
      </c>
      <c r="B5" s="2">
        <v>1</v>
      </c>
      <c r="C5" s="10" t="s">
        <v>27</v>
      </c>
      <c r="D5" s="211" t="s">
        <v>28</v>
      </c>
      <c r="E5" s="2" t="s">
        <v>109</v>
      </c>
      <c r="F5" s="78">
        <v>1.52E-2</v>
      </c>
      <c r="G5" s="202">
        <f t="shared" ref="G5:G9" si="0">+J5+N5+P5+L5</f>
        <v>450000</v>
      </c>
      <c r="H5" s="270">
        <f t="shared" ref="H5:H8" si="1">+K5+M5+O5+Q5</f>
        <v>443160</v>
      </c>
      <c r="I5" s="236"/>
      <c r="J5" s="82">
        <v>180000</v>
      </c>
      <c r="K5" s="82">
        <f>+J5*(1-F5)</f>
        <v>177264</v>
      </c>
      <c r="L5" s="83">
        <v>90000</v>
      </c>
      <c r="M5" s="83">
        <f t="shared" ref="M5:M14" si="2">L5*(1-F5)</f>
        <v>88632</v>
      </c>
      <c r="N5" s="83">
        <v>180000</v>
      </c>
      <c r="O5" s="83">
        <f>+N5*(1-F5)</f>
        <v>177264</v>
      </c>
      <c r="P5" s="89"/>
      <c r="Q5" s="88">
        <f t="shared" ref="Q5:Q9" si="3">P5*(1-F5)</f>
        <v>0</v>
      </c>
      <c r="R5" s="73" t="s">
        <v>53</v>
      </c>
    </row>
    <row r="6" spans="1:18" ht="36" customHeight="1">
      <c r="A6" s="194"/>
      <c r="B6" s="2">
        <v>2</v>
      </c>
      <c r="C6" s="10" t="s">
        <v>48</v>
      </c>
      <c r="D6" s="191"/>
      <c r="E6" s="2" t="s">
        <v>108</v>
      </c>
      <c r="F6" s="78">
        <v>2.3E-2</v>
      </c>
      <c r="G6" s="202">
        <f t="shared" si="0"/>
        <v>450000</v>
      </c>
      <c r="H6" s="202">
        <f t="shared" si="1"/>
        <v>439650</v>
      </c>
      <c r="I6" s="237"/>
      <c r="J6" s="82">
        <v>180000</v>
      </c>
      <c r="K6" s="82">
        <f t="shared" ref="K6:K8" si="4">+J6*(1-F6)</f>
        <v>175860</v>
      </c>
      <c r="L6" s="83">
        <v>90000</v>
      </c>
      <c r="M6" s="83">
        <f t="shared" si="2"/>
        <v>87930</v>
      </c>
      <c r="N6" s="83">
        <v>180000</v>
      </c>
      <c r="O6" s="83">
        <f t="shared" ref="O6:O14" si="5">+N6*(1-F6)</f>
        <v>175860</v>
      </c>
      <c r="P6" s="89"/>
      <c r="Q6" s="88">
        <f t="shared" si="3"/>
        <v>0</v>
      </c>
      <c r="R6" s="7" t="s">
        <v>149</v>
      </c>
    </row>
    <row r="7" spans="1:18" ht="36" customHeight="1">
      <c r="A7" s="194"/>
      <c r="B7" s="2">
        <v>3</v>
      </c>
      <c r="C7" s="10" t="s">
        <v>45</v>
      </c>
      <c r="D7" s="191"/>
      <c r="E7" s="2" t="s">
        <v>108</v>
      </c>
      <c r="F7" s="78">
        <v>2.3E-2</v>
      </c>
      <c r="G7" s="202">
        <f t="shared" si="0"/>
        <v>450000</v>
      </c>
      <c r="H7" s="202">
        <f t="shared" si="1"/>
        <v>439650</v>
      </c>
      <c r="I7" s="237"/>
      <c r="J7" s="82">
        <v>180000</v>
      </c>
      <c r="K7" s="82">
        <f t="shared" si="4"/>
        <v>175860</v>
      </c>
      <c r="L7" s="83">
        <v>90000</v>
      </c>
      <c r="M7" s="83">
        <f t="shared" si="2"/>
        <v>87930</v>
      </c>
      <c r="N7" s="83">
        <v>180000</v>
      </c>
      <c r="O7" s="83">
        <f t="shared" si="5"/>
        <v>175860</v>
      </c>
      <c r="P7" s="89"/>
      <c r="Q7" s="88">
        <f t="shared" si="3"/>
        <v>0</v>
      </c>
      <c r="R7" s="73" t="s">
        <v>153</v>
      </c>
    </row>
    <row r="8" spans="1:18" ht="36" customHeight="1">
      <c r="A8" s="194"/>
      <c r="B8" s="2">
        <v>4</v>
      </c>
      <c r="C8" s="10" t="s">
        <v>49</v>
      </c>
      <c r="D8" s="191"/>
      <c r="E8" s="2" t="s">
        <v>108</v>
      </c>
      <c r="F8" s="78">
        <v>2.3E-2</v>
      </c>
      <c r="G8" s="202">
        <f t="shared" si="0"/>
        <v>630000</v>
      </c>
      <c r="H8" s="202">
        <f t="shared" si="1"/>
        <v>615510</v>
      </c>
      <c r="I8" s="237"/>
      <c r="J8" s="82">
        <v>180000</v>
      </c>
      <c r="K8" s="82">
        <f t="shared" si="4"/>
        <v>175860</v>
      </c>
      <c r="L8" s="83">
        <v>90000</v>
      </c>
      <c r="M8" s="83">
        <f t="shared" si="2"/>
        <v>87930</v>
      </c>
      <c r="N8" s="83">
        <v>180000</v>
      </c>
      <c r="O8" s="83">
        <f t="shared" si="5"/>
        <v>175860</v>
      </c>
      <c r="P8" s="203">
        <v>180000</v>
      </c>
      <c r="Q8" s="204">
        <f t="shared" si="3"/>
        <v>175860</v>
      </c>
      <c r="R8" s="72" t="s">
        <v>130</v>
      </c>
    </row>
    <row r="9" spans="1:18" ht="36" customHeight="1">
      <c r="A9" s="194"/>
      <c r="B9" s="2">
        <v>5</v>
      </c>
      <c r="C9" s="10" t="s">
        <v>10</v>
      </c>
      <c r="D9" s="191"/>
      <c r="E9" s="2" t="s">
        <v>108</v>
      </c>
      <c r="F9" s="78"/>
      <c r="G9" s="202">
        <f t="shared" si="0"/>
        <v>540000</v>
      </c>
      <c r="H9" s="270">
        <f t="shared" ref="H9" si="6">+K9+M9+O9+Q9</f>
        <v>540000</v>
      </c>
      <c r="I9" s="237"/>
      <c r="J9" s="82">
        <v>180000</v>
      </c>
      <c r="K9" s="82">
        <f t="shared" ref="K9:K14" si="7">+J9*(1-F9)</f>
        <v>180000</v>
      </c>
      <c r="L9" s="83"/>
      <c r="M9" s="83">
        <f t="shared" si="2"/>
        <v>0</v>
      </c>
      <c r="N9" s="83">
        <v>180000</v>
      </c>
      <c r="O9" s="83">
        <f t="shared" si="5"/>
        <v>180000</v>
      </c>
      <c r="P9" s="203">
        <v>180000</v>
      </c>
      <c r="Q9" s="204">
        <f t="shared" si="3"/>
        <v>180000</v>
      </c>
      <c r="R9" s="72" t="s">
        <v>119</v>
      </c>
    </row>
    <row r="10" spans="1:18" ht="36" customHeight="1">
      <c r="A10" s="194"/>
      <c r="B10" s="2">
        <v>6</v>
      </c>
      <c r="C10" s="10" t="s">
        <v>107</v>
      </c>
      <c r="D10" s="191"/>
      <c r="E10" s="2" t="s">
        <v>108</v>
      </c>
      <c r="F10" s="78">
        <v>2.3E-2</v>
      </c>
      <c r="G10" s="202">
        <f t="shared" ref="G10" si="8">+J10+N10+P10+L10</f>
        <v>360000</v>
      </c>
      <c r="H10" s="270">
        <f t="shared" ref="H10:H14" si="9">+G10*(1-F10)</f>
        <v>351720</v>
      </c>
      <c r="I10" s="237"/>
      <c r="J10" s="82">
        <v>180000</v>
      </c>
      <c r="K10" s="82">
        <f t="shared" si="7"/>
        <v>175860</v>
      </c>
      <c r="L10" s="83"/>
      <c r="M10" s="83">
        <f t="shared" si="2"/>
        <v>0</v>
      </c>
      <c r="N10" s="83">
        <v>180000</v>
      </c>
      <c r="O10" s="83">
        <f t="shared" si="5"/>
        <v>175860</v>
      </c>
      <c r="P10" s="89"/>
      <c r="Q10" s="88"/>
      <c r="R10" s="72" t="s">
        <v>152</v>
      </c>
    </row>
    <row r="11" spans="1:18" ht="36" customHeight="1">
      <c r="A11" s="194"/>
      <c r="B11" s="2">
        <v>7</v>
      </c>
      <c r="C11" s="10" t="s">
        <v>110</v>
      </c>
      <c r="D11" s="191"/>
      <c r="E11" s="2" t="s">
        <v>108</v>
      </c>
      <c r="F11" s="78">
        <v>2.3E-2</v>
      </c>
      <c r="G11" s="202">
        <f>+J11+N11+P11+L11</f>
        <v>224000</v>
      </c>
      <c r="H11" s="270">
        <f t="shared" si="9"/>
        <v>218848</v>
      </c>
      <c r="I11" s="237"/>
      <c r="J11" s="82">
        <v>112000</v>
      </c>
      <c r="K11" s="82">
        <f t="shared" si="7"/>
        <v>109424</v>
      </c>
      <c r="L11" s="83"/>
      <c r="M11" s="83">
        <f t="shared" si="2"/>
        <v>0</v>
      </c>
      <c r="N11" s="83">
        <v>112000</v>
      </c>
      <c r="O11" s="83">
        <f t="shared" si="5"/>
        <v>109424</v>
      </c>
      <c r="P11" s="89"/>
      <c r="Q11" s="88"/>
      <c r="R11" s="233" t="s">
        <v>120</v>
      </c>
    </row>
    <row r="12" spans="1:18" ht="36" customHeight="1">
      <c r="A12" s="194"/>
      <c r="B12" s="2">
        <v>8</v>
      </c>
      <c r="C12" s="10" t="s">
        <v>125</v>
      </c>
      <c r="D12" s="191"/>
      <c r="E12" s="2" t="s">
        <v>126</v>
      </c>
      <c r="F12" s="78">
        <v>2.3E-2</v>
      </c>
      <c r="G12" s="202">
        <f>+J12+N12+P12+L12</f>
        <v>90000</v>
      </c>
      <c r="H12" s="270">
        <f t="shared" ref="H12" si="10">+G12*(1-F12)</f>
        <v>87930</v>
      </c>
      <c r="I12" s="237"/>
      <c r="J12" s="82"/>
      <c r="K12" s="82">
        <f t="shared" si="7"/>
        <v>0</v>
      </c>
      <c r="L12" s="83">
        <v>90000</v>
      </c>
      <c r="M12" s="83">
        <f t="shared" si="2"/>
        <v>87930</v>
      </c>
      <c r="N12" s="83"/>
      <c r="O12" s="83">
        <f t="shared" si="5"/>
        <v>0</v>
      </c>
      <c r="P12" s="89"/>
      <c r="Q12" s="88"/>
      <c r="R12" s="225" t="s">
        <v>151</v>
      </c>
    </row>
    <row r="13" spans="1:18" ht="36" hidden="1" customHeight="1">
      <c r="A13" s="194"/>
      <c r="B13" s="2"/>
      <c r="C13" s="10"/>
      <c r="D13" s="191"/>
      <c r="E13" s="2"/>
      <c r="F13" s="78"/>
      <c r="G13" s="36"/>
      <c r="H13" s="36"/>
      <c r="I13" s="37"/>
      <c r="J13" s="82"/>
      <c r="K13" s="82">
        <f t="shared" si="7"/>
        <v>0</v>
      </c>
      <c r="L13" s="83"/>
      <c r="M13" s="83">
        <f t="shared" si="2"/>
        <v>0</v>
      </c>
      <c r="N13" s="83"/>
      <c r="O13" s="83">
        <f t="shared" si="5"/>
        <v>0</v>
      </c>
      <c r="P13" s="89"/>
      <c r="Q13" s="88"/>
      <c r="R13" s="72"/>
    </row>
    <row r="14" spans="1:18" ht="36" hidden="1" customHeight="1">
      <c r="A14" s="195"/>
      <c r="B14" s="2"/>
      <c r="C14" s="10"/>
      <c r="D14" s="192"/>
      <c r="E14" s="2" t="s">
        <v>11</v>
      </c>
      <c r="F14" s="2"/>
      <c r="G14" s="45">
        <f t="shared" ref="G14" si="11">+J14+N14+P14</f>
        <v>0</v>
      </c>
      <c r="H14" s="20">
        <f t="shared" si="9"/>
        <v>0</v>
      </c>
      <c r="I14" s="24">
        <f>+G14-H14</f>
        <v>0</v>
      </c>
      <c r="J14" s="84"/>
      <c r="K14" s="82">
        <f t="shared" si="7"/>
        <v>0</v>
      </c>
      <c r="L14" s="81"/>
      <c r="M14" s="83">
        <f t="shared" si="2"/>
        <v>0</v>
      </c>
      <c r="N14" s="81"/>
      <c r="O14" s="83">
        <f t="shared" si="5"/>
        <v>0</v>
      </c>
      <c r="P14" s="89"/>
      <c r="Q14" s="88">
        <f t="shared" ref="Q14" si="12">P14*(1-F14)</f>
        <v>0</v>
      </c>
      <c r="R14" s="74"/>
    </row>
    <row r="15" spans="1:18" s="5" customFormat="1" ht="36" customHeight="1">
      <c r="A15" s="328" t="s">
        <v>70</v>
      </c>
      <c r="B15" s="329"/>
      <c r="C15" s="329"/>
      <c r="D15" s="329"/>
      <c r="E15" s="329"/>
      <c r="F15" s="182"/>
      <c r="G15" s="244">
        <f>+J15+N15+P15+L15</f>
        <v>2610000</v>
      </c>
      <c r="H15" s="243">
        <f>+K15+O15+Q15+M15</f>
        <v>2561760</v>
      </c>
      <c r="I15" s="58">
        <f t="shared" ref="I15" si="13">SUM(I5:I14)</f>
        <v>0</v>
      </c>
      <c r="J15" s="62">
        <f>SUM(J5:J11)-112000</f>
        <v>1080000</v>
      </c>
      <c r="K15" s="62">
        <f>SUM(K5:K14)-109424</f>
        <v>1060704</v>
      </c>
      <c r="L15" s="267">
        <f t="shared" ref="L15:M15" si="14">SUM(L5:L14)</f>
        <v>450000</v>
      </c>
      <c r="M15" s="267">
        <f t="shared" si="14"/>
        <v>440352</v>
      </c>
      <c r="N15" s="51">
        <f>SUM(N5:N14)-112000</f>
        <v>1080000</v>
      </c>
      <c r="O15" s="51">
        <f>SUM(O5:O14)-109424</f>
        <v>1060704</v>
      </c>
      <c r="P15" s="90"/>
      <c r="Q15" s="91"/>
      <c r="R15" s="52"/>
    </row>
    <row r="16" spans="1:18" ht="6.75" customHeight="1">
      <c r="A16" s="8"/>
      <c r="B16" s="6"/>
      <c r="C16" s="11"/>
      <c r="D16" s="6"/>
      <c r="E16" s="6"/>
      <c r="F16" s="6"/>
      <c r="G16" s="21"/>
      <c r="H16" s="238"/>
      <c r="I16" s="239"/>
      <c r="J16" s="12"/>
      <c r="K16" s="12"/>
      <c r="L16" s="12"/>
      <c r="M16" s="12"/>
      <c r="N16" s="15"/>
      <c r="O16" s="15"/>
      <c r="P16" s="17"/>
      <c r="Q16" s="86"/>
      <c r="R16" s="7"/>
    </row>
    <row r="17" spans="1:25" ht="36" customHeight="1">
      <c r="A17" s="209" t="s">
        <v>34</v>
      </c>
      <c r="B17" s="2">
        <v>1</v>
      </c>
      <c r="C17" s="10" t="s">
        <v>4</v>
      </c>
      <c r="D17" s="333" t="s">
        <v>5</v>
      </c>
      <c r="E17" s="2" t="s">
        <v>111</v>
      </c>
      <c r="F17" s="78">
        <v>2.1000000000000001E-2</v>
      </c>
      <c r="G17" s="20">
        <f t="shared" ref="G17:G24" si="15">+J17+N17+P17+L17</f>
        <v>470000</v>
      </c>
      <c r="H17" s="270">
        <f t="shared" ref="H17:H22" si="16">+K17+M17+O17+Q17</f>
        <v>460130</v>
      </c>
      <c r="I17" s="236"/>
      <c r="J17" s="39">
        <v>250000</v>
      </c>
      <c r="K17" s="39">
        <f t="shared" ref="K17:K24" si="17">+J17*(1-F17)</f>
        <v>244750</v>
      </c>
      <c r="L17" s="176"/>
      <c r="M17" s="176">
        <f t="shared" ref="M17:M24" si="18">L17*(1-F17)</f>
        <v>0</v>
      </c>
      <c r="N17" s="83"/>
      <c r="O17" s="83">
        <f t="shared" ref="O17:O24" si="19">+N17*(1-F17)</f>
        <v>0</v>
      </c>
      <c r="P17" s="81">
        <v>220000</v>
      </c>
      <c r="Q17" s="92">
        <f>P17*(1-F17)</f>
        <v>215380</v>
      </c>
      <c r="R17" s="7" t="s">
        <v>63</v>
      </c>
    </row>
    <row r="18" spans="1:25" ht="36" customHeight="1">
      <c r="A18" s="194"/>
      <c r="B18" s="2">
        <v>2</v>
      </c>
      <c r="C18" s="10" t="s">
        <v>12</v>
      </c>
      <c r="D18" s="335"/>
      <c r="E18" s="2" t="s">
        <v>15</v>
      </c>
      <c r="F18" s="78">
        <v>2.3E-2</v>
      </c>
      <c r="G18" s="20">
        <f t="shared" si="15"/>
        <v>450000</v>
      </c>
      <c r="H18" s="270">
        <f t="shared" si="16"/>
        <v>439650</v>
      </c>
      <c r="I18" s="236">
        <v>20000</v>
      </c>
      <c r="J18" s="39">
        <v>240000</v>
      </c>
      <c r="K18" s="39">
        <f t="shared" si="17"/>
        <v>234480</v>
      </c>
      <c r="L18" s="176"/>
      <c r="M18" s="176">
        <f t="shared" si="18"/>
        <v>0</v>
      </c>
      <c r="N18" s="83"/>
      <c r="O18" s="83">
        <f t="shared" si="19"/>
        <v>0</v>
      </c>
      <c r="P18" s="81">
        <v>210000</v>
      </c>
      <c r="Q18" s="92">
        <f t="shared" ref="Q18:Q24" si="20">P18*(1-F18)</f>
        <v>205170</v>
      </c>
      <c r="R18" s="72" t="s">
        <v>123</v>
      </c>
    </row>
    <row r="19" spans="1:25" ht="36" customHeight="1">
      <c r="A19" s="194"/>
      <c r="B19" s="2">
        <v>3</v>
      </c>
      <c r="C19" s="10" t="s">
        <v>32</v>
      </c>
      <c r="D19" s="211" t="s">
        <v>135</v>
      </c>
      <c r="E19" s="2" t="s">
        <v>15</v>
      </c>
      <c r="F19" s="78">
        <v>1.52E-2</v>
      </c>
      <c r="G19" s="196">
        <f t="shared" ref="G19" si="21">+J19+N19+P19+L19</f>
        <v>840000</v>
      </c>
      <c r="H19" s="270">
        <f t="shared" si="16"/>
        <v>827232</v>
      </c>
      <c r="I19" s="236"/>
      <c r="J19" s="39">
        <v>250000</v>
      </c>
      <c r="K19" s="39">
        <f t="shared" ref="K19" si="22">+J19*(1-F19)</f>
        <v>246200</v>
      </c>
      <c r="L19" s="81">
        <v>120000</v>
      </c>
      <c r="M19" s="81">
        <f t="shared" ref="M19" si="23">L19*(1-F19)</f>
        <v>118176</v>
      </c>
      <c r="N19" s="81">
        <v>250000</v>
      </c>
      <c r="O19" s="81">
        <f t="shared" ref="O19" si="24">+N19*(1-F19)</f>
        <v>246200</v>
      </c>
      <c r="P19" s="81">
        <v>220000</v>
      </c>
      <c r="Q19" s="81">
        <f t="shared" ref="Q19" si="25">P19*(1-F19)</f>
        <v>216656</v>
      </c>
      <c r="R19" s="73" t="s">
        <v>53</v>
      </c>
    </row>
    <row r="20" spans="1:25" ht="36" customHeight="1">
      <c r="A20" s="194"/>
      <c r="B20" s="2">
        <v>4</v>
      </c>
      <c r="C20" s="10" t="s">
        <v>13</v>
      </c>
      <c r="D20" s="212"/>
      <c r="E20" s="2" t="s">
        <v>15</v>
      </c>
      <c r="F20" s="78">
        <v>1.4500000000000001E-2</v>
      </c>
      <c r="G20" s="196">
        <f t="shared" si="15"/>
        <v>720000</v>
      </c>
      <c r="H20" s="270">
        <f t="shared" si="16"/>
        <v>709560</v>
      </c>
      <c r="I20" s="236"/>
      <c r="J20" s="39">
        <v>250000</v>
      </c>
      <c r="K20" s="39">
        <f t="shared" si="17"/>
        <v>246375</v>
      </c>
      <c r="L20" s="268"/>
      <c r="M20" s="268">
        <f t="shared" si="18"/>
        <v>0</v>
      </c>
      <c r="N20" s="81">
        <v>250000</v>
      </c>
      <c r="O20" s="81">
        <f t="shared" si="19"/>
        <v>246375</v>
      </c>
      <c r="P20" s="81">
        <v>220000</v>
      </c>
      <c r="Q20" s="92">
        <f t="shared" si="20"/>
        <v>216810</v>
      </c>
      <c r="R20" s="75" t="s">
        <v>121</v>
      </c>
    </row>
    <row r="21" spans="1:25" ht="36" customHeight="1">
      <c r="A21" s="194"/>
      <c r="B21" s="2">
        <v>5</v>
      </c>
      <c r="C21" s="10" t="s">
        <v>18</v>
      </c>
      <c r="D21" s="212"/>
      <c r="E21" s="2" t="s">
        <v>15</v>
      </c>
      <c r="F21" s="200">
        <v>2.3E-2</v>
      </c>
      <c r="G21" s="201">
        <f t="shared" si="15"/>
        <v>470000</v>
      </c>
      <c r="H21" s="270">
        <f t="shared" si="16"/>
        <v>459190</v>
      </c>
      <c r="I21" s="236"/>
      <c r="J21" s="39">
        <v>250000</v>
      </c>
      <c r="K21" s="39">
        <f t="shared" si="17"/>
        <v>244250</v>
      </c>
      <c r="L21" s="268"/>
      <c r="M21" s="268">
        <f t="shared" si="18"/>
        <v>0</v>
      </c>
      <c r="N21" s="94"/>
      <c r="O21" s="83">
        <f t="shared" si="19"/>
        <v>0</v>
      </c>
      <c r="P21" s="83">
        <v>220000</v>
      </c>
      <c r="Q21" s="93">
        <f t="shared" si="20"/>
        <v>214940</v>
      </c>
      <c r="R21" s="75" t="s">
        <v>100</v>
      </c>
    </row>
    <row r="22" spans="1:25" ht="36" customHeight="1">
      <c r="A22" s="194"/>
      <c r="B22" s="2">
        <v>6</v>
      </c>
      <c r="C22" s="10" t="s">
        <v>116</v>
      </c>
      <c r="D22" s="184"/>
      <c r="E22" s="2" t="s">
        <v>111</v>
      </c>
      <c r="F22" s="78">
        <v>1.52E-2</v>
      </c>
      <c r="G22" s="196">
        <f t="shared" si="15"/>
        <v>840000</v>
      </c>
      <c r="H22" s="270">
        <f t="shared" si="16"/>
        <v>827232</v>
      </c>
      <c r="I22" s="236"/>
      <c r="J22" s="39">
        <v>250000</v>
      </c>
      <c r="K22" s="39">
        <f t="shared" si="17"/>
        <v>246200</v>
      </c>
      <c r="L22" s="81">
        <v>120000</v>
      </c>
      <c r="M22" s="81">
        <f t="shared" si="18"/>
        <v>118176</v>
      </c>
      <c r="N22" s="81">
        <v>250000</v>
      </c>
      <c r="O22" s="81">
        <f t="shared" si="19"/>
        <v>246200</v>
      </c>
      <c r="P22" s="81">
        <v>220000</v>
      </c>
      <c r="Q22" s="81">
        <f t="shared" si="20"/>
        <v>216656</v>
      </c>
      <c r="R22" s="73" t="s">
        <v>53</v>
      </c>
    </row>
    <row r="23" spans="1:25" ht="36" customHeight="1">
      <c r="A23" s="194"/>
      <c r="B23" s="2">
        <v>7</v>
      </c>
      <c r="C23" s="10" t="s">
        <v>117</v>
      </c>
      <c r="D23" s="185"/>
      <c r="E23" s="2" t="s">
        <v>31</v>
      </c>
      <c r="F23" s="78">
        <v>1.52E-2</v>
      </c>
      <c r="G23" s="197">
        <f>+J23+N23+P23+L23</f>
        <v>500000</v>
      </c>
      <c r="H23" s="270">
        <f>+K23+M23+O23+Q23</f>
        <v>492400</v>
      </c>
      <c r="I23" s="236"/>
      <c r="J23" s="39">
        <v>250000</v>
      </c>
      <c r="K23" s="39">
        <f t="shared" si="17"/>
        <v>246200</v>
      </c>
      <c r="L23" s="268"/>
      <c r="M23" s="268">
        <f>L23*(1-F23)</f>
        <v>0</v>
      </c>
      <c r="N23" s="81">
        <v>250000</v>
      </c>
      <c r="O23" s="81">
        <f t="shared" si="19"/>
        <v>246200</v>
      </c>
      <c r="P23" s="83"/>
      <c r="Q23" s="93">
        <f>P23*(1-F23)</f>
        <v>0</v>
      </c>
      <c r="R23" s="73" t="s">
        <v>53</v>
      </c>
    </row>
    <row r="24" spans="1:25" ht="36" customHeight="1">
      <c r="A24" s="195"/>
      <c r="B24" s="2"/>
      <c r="C24" s="10" t="s">
        <v>29</v>
      </c>
      <c r="D24" s="2" t="s">
        <v>30</v>
      </c>
      <c r="E24" s="2" t="s">
        <v>31</v>
      </c>
      <c r="F24" s="78"/>
      <c r="G24" s="186">
        <f t="shared" si="15"/>
        <v>0</v>
      </c>
      <c r="H24" s="202">
        <f>+K24+M24+O24+Q24</f>
        <v>0</v>
      </c>
      <c r="I24" s="236"/>
      <c r="J24" s="39"/>
      <c r="K24" s="39">
        <f t="shared" si="17"/>
        <v>0</v>
      </c>
      <c r="L24" s="268"/>
      <c r="M24" s="268">
        <f t="shared" si="18"/>
        <v>0</v>
      </c>
      <c r="N24" s="81"/>
      <c r="O24" s="81">
        <f t="shared" si="19"/>
        <v>0</v>
      </c>
      <c r="P24" s="81"/>
      <c r="Q24" s="81">
        <f t="shared" si="20"/>
        <v>0</v>
      </c>
      <c r="R24" s="73"/>
    </row>
    <row r="25" spans="1:25" s="5" customFormat="1" ht="36" customHeight="1">
      <c r="A25" s="328" t="s">
        <v>70</v>
      </c>
      <c r="B25" s="329"/>
      <c r="C25" s="329"/>
      <c r="D25" s="329"/>
      <c r="E25" s="329"/>
      <c r="F25" s="182"/>
      <c r="G25" s="242">
        <f t="shared" ref="G25:Q25" si="26">SUM(G17:G24)</f>
        <v>4290000</v>
      </c>
      <c r="H25" s="243">
        <f t="shared" si="26"/>
        <v>4215394</v>
      </c>
      <c r="I25" s="58">
        <f t="shared" si="26"/>
        <v>20000</v>
      </c>
      <c r="J25" s="59">
        <f t="shared" si="26"/>
        <v>1740000</v>
      </c>
      <c r="K25" s="59">
        <f t="shared" si="26"/>
        <v>1708455</v>
      </c>
      <c r="L25" s="97">
        <f t="shared" si="26"/>
        <v>240000</v>
      </c>
      <c r="M25" s="97">
        <f t="shared" si="26"/>
        <v>236352</v>
      </c>
      <c r="N25" s="51">
        <f t="shared" si="26"/>
        <v>1000000</v>
      </c>
      <c r="O25" s="51">
        <f t="shared" si="26"/>
        <v>984975</v>
      </c>
      <c r="P25" s="51">
        <f t="shared" si="26"/>
        <v>1310000</v>
      </c>
      <c r="Q25" s="51">
        <f t="shared" si="26"/>
        <v>1285612</v>
      </c>
      <c r="R25" s="52"/>
      <c r="U25"/>
      <c r="V25"/>
      <c r="W25"/>
      <c r="X25"/>
      <c r="Y25"/>
    </row>
    <row r="26" spans="1:25" ht="23.25" customHeight="1">
      <c r="A26" s="8"/>
      <c r="B26" s="6"/>
      <c r="C26" s="11"/>
      <c r="D26" s="6"/>
      <c r="E26" s="6"/>
      <c r="F26" s="6"/>
      <c r="G26" s="21"/>
      <c r="H26" s="238"/>
      <c r="I26" s="239"/>
      <c r="J26" s="12"/>
      <c r="K26" s="12"/>
      <c r="L26" s="12"/>
      <c r="M26" s="12"/>
      <c r="N26" s="10"/>
      <c r="O26" s="10"/>
      <c r="P26" s="15"/>
      <c r="Q26" s="104"/>
      <c r="R26" s="7"/>
    </row>
    <row r="27" spans="1:25" ht="36" customHeight="1">
      <c r="A27" s="209" t="s">
        <v>33</v>
      </c>
      <c r="B27" s="2">
        <v>1</v>
      </c>
      <c r="C27" s="10" t="s">
        <v>6</v>
      </c>
      <c r="D27" s="2" t="s">
        <v>7</v>
      </c>
      <c r="E27" s="2" t="s">
        <v>9</v>
      </c>
      <c r="F27" s="78">
        <v>2.1000000000000001E-2</v>
      </c>
      <c r="G27" s="196">
        <f t="shared" ref="G27:G31" si="27">+J27+N27+P27+L27</f>
        <v>600000</v>
      </c>
      <c r="H27" s="270">
        <f t="shared" ref="H27:H31" si="28">+K27+M27+O27+Q27</f>
        <v>587400</v>
      </c>
      <c r="I27" s="236"/>
      <c r="J27" s="95">
        <v>600000</v>
      </c>
      <c r="K27" s="95">
        <f>+J27*(1-F27)</f>
        <v>587400</v>
      </c>
      <c r="L27" s="95"/>
      <c r="M27" s="95">
        <f t="shared" ref="M27:M31" si="29">L27*(1-F27)</f>
        <v>0</v>
      </c>
      <c r="N27" s="96"/>
      <c r="O27" s="96">
        <f>+N27*(1-F27)</f>
        <v>0</v>
      </c>
      <c r="P27" s="81"/>
      <c r="Q27" s="81">
        <f>+P27*(1-F27)</f>
        <v>0</v>
      </c>
      <c r="R27" s="7" t="s">
        <v>63</v>
      </c>
    </row>
    <row r="28" spans="1:25" ht="36" customHeight="1">
      <c r="A28" s="210"/>
      <c r="B28" s="2">
        <v>2</v>
      </c>
      <c r="C28" s="14" t="s">
        <v>43</v>
      </c>
      <c r="D28" s="183" t="s">
        <v>7</v>
      </c>
      <c r="E28" s="183" t="s">
        <v>21</v>
      </c>
      <c r="F28" s="79">
        <v>1.52E-2</v>
      </c>
      <c r="G28" s="155">
        <f t="shared" si="27"/>
        <v>600000</v>
      </c>
      <c r="H28" s="271">
        <f t="shared" si="28"/>
        <v>590880</v>
      </c>
      <c r="I28" s="240"/>
      <c r="J28" s="95">
        <v>600000</v>
      </c>
      <c r="K28" s="95">
        <f>+J28*(1-F28)</f>
        <v>590880</v>
      </c>
      <c r="L28" s="95"/>
      <c r="M28" s="95">
        <f t="shared" si="29"/>
        <v>0</v>
      </c>
      <c r="N28" s="98"/>
      <c r="O28" s="98">
        <f t="shared" ref="O28:O31" si="30">+N28*(1-F28)</f>
        <v>0</v>
      </c>
      <c r="P28" s="81"/>
      <c r="Q28" s="81">
        <f>+P28*(1-F28)</f>
        <v>0</v>
      </c>
      <c r="R28" s="73" t="s">
        <v>53</v>
      </c>
    </row>
    <row r="29" spans="1:25" ht="36" customHeight="1">
      <c r="A29" s="210"/>
      <c r="B29" s="2">
        <v>3</v>
      </c>
      <c r="C29" s="10" t="s">
        <v>19</v>
      </c>
      <c r="D29" s="2" t="s">
        <v>20</v>
      </c>
      <c r="E29" s="2" t="s">
        <v>21</v>
      </c>
      <c r="F29" s="78">
        <v>1.52E-2</v>
      </c>
      <c r="G29" s="196">
        <f t="shared" si="27"/>
        <v>510000</v>
      </c>
      <c r="H29" s="270">
        <f t="shared" si="28"/>
        <v>502248</v>
      </c>
      <c r="I29" s="236">
        <v>90000</v>
      </c>
      <c r="J29" s="95">
        <v>510000</v>
      </c>
      <c r="K29" s="95">
        <f t="shared" ref="K29:K31" si="31">+J29*(1-F29)</f>
        <v>502248</v>
      </c>
      <c r="L29" s="95"/>
      <c r="M29" s="95">
        <f t="shared" si="29"/>
        <v>0</v>
      </c>
      <c r="N29" s="98"/>
      <c r="O29" s="98">
        <f t="shared" si="30"/>
        <v>0</v>
      </c>
      <c r="P29" s="105"/>
      <c r="Q29" s="105">
        <f>+P29*(1-F29)</f>
        <v>0</v>
      </c>
      <c r="R29" s="73" t="s">
        <v>118</v>
      </c>
    </row>
    <row r="30" spans="1:25" ht="36" customHeight="1">
      <c r="A30" s="210"/>
      <c r="B30" s="2">
        <v>4</v>
      </c>
      <c r="C30" s="14" t="s">
        <v>22</v>
      </c>
      <c r="D30" s="183" t="s">
        <v>23</v>
      </c>
      <c r="E30" s="183" t="s">
        <v>8</v>
      </c>
      <c r="F30" s="79">
        <v>2.3E-2</v>
      </c>
      <c r="G30" s="198">
        <f t="shared" si="27"/>
        <v>600000</v>
      </c>
      <c r="H30" s="272">
        <f t="shared" si="28"/>
        <v>586200</v>
      </c>
      <c r="I30" s="241"/>
      <c r="J30" s="99">
        <v>600000</v>
      </c>
      <c r="K30" s="99">
        <f t="shared" si="31"/>
        <v>586200</v>
      </c>
      <c r="L30" s="99"/>
      <c r="M30" s="99">
        <f t="shared" si="29"/>
        <v>0</v>
      </c>
      <c r="N30" s="100"/>
      <c r="O30" s="100">
        <f t="shared" si="30"/>
        <v>0</v>
      </c>
      <c r="P30" s="107"/>
      <c r="Q30" s="105">
        <f>+P30*(1-F30)</f>
        <v>0</v>
      </c>
      <c r="R30" s="7" t="s">
        <v>65</v>
      </c>
    </row>
    <row r="31" spans="1:25" ht="36" customHeight="1">
      <c r="A31" s="210"/>
      <c r="B31" s="2">
        <v>5</v>
      </c>
      <c r="C31" s="14" t="s">
        <v>112</v>
      </c>
      <c r="D31" s="183" t="s">
        <v>113</v>
      </c>
      <c r="E31" s="183" t="s">
        <v>114</v>
      </c>
      <c r="F31" s="79">
        <v>2.3E-2</v>
      </c>
      <c r="G31" s="22">
        <f t="shared" si="27"/>
        <v>230000</v>
      </c>
      <c r="H31" s="272">
        <f t="shared" si="28"/>
        <v>224710</v>
      </c>
      <c r="I31" s="241"/>
      <c r="J31" s="175">
        <v>230000</v>
      </c>
      <c r="K31" s="99">
        <f t="shared" si="31"/>
        <v>224710</v>
      </c>
      <c r="L31" s="99"/>
      <c r="M31" s="99">
        <f t="shared" si="29"/>
        <v>0</v>
      </c>
      <c r="N31" s="108"/>
      <c r="O31" s="108">
        <f t="shared" si="30"/>
        <v>0</v>
      </c>
      <c r="P31" s="107"/>
      <c r="Q31" s="105">
        <f>+P31*(1-F31)</f>
        <v>0</v>
      </c>
      <c r="R31" s="205" t="s">
        <v>115</v>
      </c>
    </row>
    <row r="32" spans="1:25" s="5" customFormat="1" ht="36" customHeight="1" thickBot="1">
      <c r="A32" s="349" t="s">
        <v>90</v>
      </c>
      <c r="B32" s="326"/>
      <c r="C32" s="326"/>
      <c r="D32" s="326"/>
      <c r="E32" s="327"/>
      <c r="F32" s="181"/>
      <c r="G32" s="245">
        <f>SUM(G27:G31)-230000</f>
        <v>2310000</v>
      </c>
      <c r="H32" s="246">
        <f>SUM(H27:H31)-224710</f>
        <v>2266728</v>
      </c>
      <c r="I32" s="246">
        <f t="shared" ref="I32:Q32" si="32">SUM(I27:I31)</f>
        <v>90000</v>
      </c>
      <c r="J32" s="101">
        <f>SUM(J27:J31)-230000</f>
        <v>2310000</v>
      </c>
      <c r="K32" s="101">
        <f>SUM(K27:K31)-224710</f>
        <v>2266728</v>
      </c>
      <c r="L32" s="101">
        <f t="shared" si="32"/>
        <v>0</v>
      </c>
      <c r="M32" s="101">
        <f t="shared" si="32"/>
        <v>0</v>
      </c>
      <c r="N32" s="102">
        <f t="shared" si="32"/>
        <v>0</v>
      </c>
      <c r="O32" s="102">
        <f t="shared" si="32"/>
        <v>0</v>
      </c>
      <c r="P32" s="102">
        <f t="shared" si="32"/>
        <v>0</v>
      </c>
      <c r="Q32" s="103">
        <f t="shared" si="32"/>
        <v>0</v>
      </c>
      <c r="R32" s="85"/>
      <c r="U32"/>
      <c r="V32"/>
      <c r="W32"/>
      <c r="X32"/>
      <c r="Y32"/>
    </row>
    <row r="33" spans="1:25" s="5" customFormat="1" ht="36" customHeight="1" thickTop="1" thickBot="1">
      <c r="A33" s="345" t="s">
        <v>88</v>
      </c>
      <c r="B33" s="346"/>
      <c r="C33" s="346"/>
      <c r="D33" s="346"/>
      <c r="E33" s="346"/>
      <c r="F33" s="347"/>
      <c r="G33" s="247">
        <f t="shared" ref="G33:Q33" si="33">+G32+G25+G15</f>
        <v>9210000</v>
      </c>
      <c r="H33" s="247">
        <f t="shared" si="33"/>
        <v>9043882</v>
      </c>
      <c r="I33" s="247">
        <f t="shared" si="33"/>
        <v>110000</v>
      </c>
      <c r="J33" s="159">
        <f t="shared" si="33"/>
        <v>5130000</v>
      </c>
      <c r="K33" s="159">
        <f t="shared" si="33"/>
        <v>5035887</v>
      </c>
      <c r="L33" s="159">
        <f t="shared" si="33"/>
        <v>690000</v>
      </c>
      <c r="M33" s="159">
        <f t="shared" si="33"/>
        <v>676704</v>
      </c>
      <c r="N33" s="160">
        <f t="shared" si="33"/>
        <v>2080000</v>
      </c>
      <c r="O33" s="160">
        <f t="shared" si="33"/>
        <v>2045679</v>
      </c>
      <c r="P33" s="161">
        <f t="shared" si="33"/>
        <v>1310000</v>
      </c>
      <c r="Q33" s="161">
        <f t="shared" si="33"/>
        <v>1285612</v>
      </c>
      <c r="R33" s="162"/>
      <c r="U33"/>
      <c r="V33"/>
      <c r="W33"/>
      <c r="X33"/>
      <c r="Y33"/>
    </row>
    <row r="34" spans="1:25" ht="17.25" thickTop="1"/>
    <row r="35" spans="1:25" ht="27" thickBot="1">
      <c r="A35" s="9"/>
    </row>
    <row r="36" spans="1:25" ht="50.25" customHeight="1" thickTop="1">
      <c r="A36" s="226" t="s">
        <v>133</v>
      </c>
      <c r="B36" s="234" t="s">
        <v>132</v>
      </c>
      <c r="C36" t="s">
        <v>134</v>
      </c>
      <c r="J36" s="113" t="s">
        <v>84</v>
      </c>
      <c r="K36" s="114" t="s">
        <v>76</v>
      </c>
      <c r="L36" s="140" t="s">
        <v>81</v>
      </c>
      <c r="M36" s="147" t="s">
        <v>82</v>
      </c>
      <c r="N36" s="137">
        <v>3.3000000000000002E-2</v>
      </c>
    </row>
    <row r="37" spans="1:25" ht="50.25" customHeight="1">
      <c r="A37" s="226" t="s">
        <v>154</v>
      </c>
      <c r="B37" s="235"/>
      <c r="C37" t="s">
        <v>155</v>
      </c>
      <c r="G37" s="231"/>
      <c r="H37" s="231"/>
      <c r="J37" s="117">
        <f>+J25+J15+112000</f>
        <v>2932000</v>
      </c>
      <c r="K37" s="3">
        <f>+K25+K15+109424</f>
        <v>2878583</v>
      </c>
      <c r="L37" s="141">
        <v>1135020</v>
      </c>
      <c r="M37" s="4">
        <f>+K37-L37</f>
        <v>1743563</v>
      </c>
      <c r="N37" s="148">
        <f>+M37*(1-N36)</f>
        <v>1686025.4209999999</v>
      </c>
      <c r="O37" s="232"/>
    </row>
    <row r="38" spans="1:25" ht="50.25" customHeight="1">
      <c r="A38" t="s">
        <v>157</v>
      </c>
      <c r="B38" s="235"/>
      <c r="C38" t="s">
        <v>158</v>
      </c>
      <c r="G38" s="348"/>
      <c r="H38" s="348"/>
      <c r="J38" s="1" t="s">
        <v>83</v>
      </c>
      <c r="K38" s="2" t="s">
        <v>75</v>
      </c>
      <c r="L38" s="142" t="s">
        <v>80</v>
      </c>
      <c r="M38" s="149" t="s">
        <v>86</v>
      </c>
      <c r="N38" s="139"/>
    </row>
    <row r="39" spans="1:25" ht="50.25" customHeight="1">
      <c r="B39" s="235"/>
      <c r="J39" s="117">
        <f>+L25+N25+P25+L15+N15</f>
        <v>4080000</v>
      </c>
      <c r="K39" s="3">
        <f>+M25+O25+Q25+O15+M15</f>
        <v>4007995</v>
      </c>
      <c r="L39" s="141">
        <v>1586784</v>
      </c>
      <c r="M39" s="4">
        <f>+K39-L39</f>
        <v>2421211</v>
      </c>
      <c r="N39" s="150">
        <f>+M39*(1-N36)</f>
        <v>2341311.037</v>
      </c>
      <c r="O39" s="232"/>
    </row>
    <row r="40" spans="1:25" ht="50.25" customHeight="1">
      <c r="J40" s="1" t="s">
        <v>83</v>
      </c>
      <c r="K40" s="2" t="s">
        <v>75</v>
      </c>
      <c r="L40" s="142" t="s">
        <v>80</v>
      </c>
      <c r="M40" s="151" t="s">
        <v>85</v>
      </c>
      <c r="N40" s="139"/>
    </row>
    <row r="41" spans="1:25" ht="50.25" customHeight="1">
      <c r="J41" s="117">
        <f>+J32</f>
        <v>2310000</v>
      </c>
      <c r="K41" s="3">
        <f>+K32</f>
        <v>2266728</v>
      </c>
      <c r="L41" s="141">
        <f>+K41*0.5</f>
        <v>1133364</v>
      </c>
      <c r="M41" s="4">
        <f>+K41-L41+224710</f>
        <v>1358074</v>
      </c>
      <c r="N41" s="152">
        <f>+M41*(1-N36)</f>
        <v>1313257.558</v>
      </c>
      <c r="O41" s="232"/>
    </row>
    <row r="42" spans="1:25" ht="50.25" hidden="1" customHeight="1">
      <c r="J42" s="115" t="s">
        <v>83</v>
      </c>
      <c r="K42" s="116" t="s">
        <v>75</v>
      </c>
      <c r="L42" s="143" t="s">
        <v>80</v>
      </c>
      <c r="M42" s="153" t="s">
        <v>87</v>
      </c>
      <c r="N42" s="139"/>
    </row>
    <row r="43" spans="1:25" ht="50.25" hidden="1" customHeight="1">
      <c r="J43" s="188">
        <f>+A45</f>
        <v>0</v>
      </c>
      <c r="K43" s="189">
        <f>+B45</f>
        <v>0</v>
      </c>
      <c r="L43" s="144">
        <f>+K43*0.6</f>
        <v>0</v>
      </c>
      <c r="M43" s="190">
        <f>+K43-L43</f>
        <v>0</v>
      </c>
      <c r="N43" s="139">
        <f>+M43*(1-N38)</f>
        <v>0</v>
      </c>
    </row>
    <row r="44" spans="1:25" ht="50.25" hidden="1" customHeight="1">
      <c r="J44" s="117">
        <f>+C45</f>
        <v>0</v>
      </c>
      <c r="K44" s="3">
        <f>+D45</f>
        <v>0</v>
      </c>
      <c r="L44" s="141">
        <f>+J44*0.6</f>
        <v>0</v>
      </c>
      <c r="M44" s="4">
        <f>+K44-L44</f>
        <v>0</v>
      </c>
      <c r="N44" s="154">
        <f>+M44*(1-N36)</f>
        <v>0</v>
      </c>
    </row>
    <row r="45" spans="1:25" ht="50.25" customHeight="1">
      <c r="J45" s="121" t="s">
        <v>83</v>
      </c>
      <c r="K45" s="122" t="s">
        <v>75</v>
      </c>
      <c r="L45" s="145" t="s">
        <v>80</v>
      </c>
      <c r="M45" s="123" t="s">
        <v>88</v>
      </c>
      <c r="N45" s="139"/>
    </row>
    <row r="46" spans="1:25" ht="50.25" customHeight="1" thickBot="1">
      <c r="J46" s="118">
        <f>+J43+J41+J39+J37</f>
        <v>9322000</v>
      </c>
      <c r="K46" s="119">
        <f>+K43+K41+K39+K37</f>
        <v>9153306</v>
      </c>
      <c r="L46" s="146">
        <f>+L43+L41+L39+L37</f>
        <v>3855168</v>
      </c>
      <c r="M46" s="120">
        <f>+M43+M41+M39+M37</f>
        <v>5522848</v>
      </c>
      <c r="N46" s="139">
        <f>+M46*(1-N36)</f>
        <v>5340594.0159999998</v>
      </c>
    </row>
    <row r="47" spans="1:25" ht="50.25" customHeight="1" thickTop="1"/>
    <row r="48" spans="1:25">
      <c r="A48" t="s">
        <v>136</v>
      </c>
      <c r="B48" s="235" t="s">
        <v>137</v>
      </c>
      <c r="C48" s="269"/>
      <c r="D48" s="269"/>
      <c r="E48" t="s">
        <v>138</v>
      </c>
      <c r="G48" s="231" t="s">
        <v>144</v>
      </c>
      <c r="H48" s="231" t="s">
        <v>145</v>
      </c>
      <c r="I48" t="s">
        <v>156</v>
      </c>
    </row>
    <row r="49" spans="1:13">
      <c r="A49" t="s">
        <v>139</v>
      </c>
      <c r="B49" s="235" t="s">
        <v>140</v>
      </c>
      <c r="C49" t="s">
        <v>141</v>
      </c>
      <c r="E49" t="s">
        <v>143</v>
      </c>
      <c r="G49" s="348" t="s">
        <v>146</v>
      </c>
      <c r="H49" s="348"/>
    </row>
    <row r="50" spans="1:13">
      <c r="B50" s="235" t="s">
        <v>49</v>
      </c>
      <c r="C50" t="s">
        <v>142</v>
      </c>
      <c r="E50" t="s">
        <v>143</v>
      </c>
    </row>
    <row r="51" spans="1:13">
      <c r="M51">
        <f>1800+510</f>
        <v>2310</v>
      </c>
    </row>
  </sheetData>
  <mergeCells count="15">
    <mergeCell ref="G49:H49"/>
    <mergeCell ref="G38:H38"/>
    <mergeCell ref="A1:R1"/>
    <mergeCell ref="A3:A4"/>
    <mergeCell ref="B3:B4"/>
    <mergeCell ref="C3:C4"/>
    <mergeCell ref="D3:D4"/>
    <mergeCell ref="E3:E4"/>
    <mergeCell ref="J3:P3"/>
    <mergeCell ref="R3:R4"/>
    <mergeCell ref="A25:E25"/>
    <mergeCell ref="A32:E32"/>
    <mergeCell ref="A33:F33"/>
    <mergeCell ref="A15:E15"/>
    <mergeCell ref="D17:D18"/>
  </mergeCells>
  <phoneticPr fontId="1" type="noConversion"/>
  <printOptions horizontalCentered="1" verticalCentered="1"/>
  <pageMargins left="0.70866141732283472" right="0.70866141732283472" top="0" bottom="0" header="0.31496062992125984" footer="0.31496062992125984"/>
  <pageSetup paperSize="9" scale="62" orientation="landscape" verticalDpi="0" r:id="rId1"/>
  <ignoredErrors>
    <ignoredError sqref="H23 H9" formula="1"/>
    <ignoredError sqref="N39" evalError="1"/>
  </ignoredError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8"/>
  <sheetViews>
    <sheetView topLeftCell="A2" zoomScale="75" zoomScaleNormal="75" workbookViewId="0">
      <pane xSplit="5" ySplit="3" topLeftCell="F36" activePane="bottomRight" state="frozen"/>
      <selection activeCell="A2" sqref="A2"/>
      <selection pane="topRight" activeCell="F2" sqref="F2"/>
      <selection pane="bottomLeft" activeCell="A5" sqref="A5"/>
      <selection pane="bottomRight" activeCell="Q47" sqref="Q47"/>
    </sheetView>
  </sheetViews>
  <sheetFormatPr defaultRowHeight="16.5"/>
  <cols>
    <col min="1" max="1" width="8" customWidth="1"/>
    <col min="2" max="2" width="5.875" customWidth="1"/>
    <col min="7" max="8" width="12.5" customWidth="1"/>
    <col min="9" max="9" width="12.5" hidden="1" customWidth="1"/>
    <col min="10" max="17" width="14.625" customWidth="1"/>
    <col min="18" max="18" width="38.5" customWidth="1"/>
    <col min="21" max="22" width="16.5" customWidth="1"/>
    <col min="23" max="27" width="18.25" customWidth="1"/>
  </cols>
  <sheetData>
    <row r="1" spans="1:18" ht="33.75">
      <c r="A1" s="336" t="s">
        <v>148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  <c r="O1" s="336"/>
      <c r="P1" s="336"/>
      <c r="Q1" s="336"/>
      <c r="R1" s="336"/>
    </row>
    <row r="2" spans="1:18" ht="30.75" customHeight="1" thickBot="1">
      <c r="R2" s="46" t="s">
        <v>68</v>
      </c>
    </row>
    <row r="3" spans="1:18" ht="21.75" customHeight="1" thickTop="1">
      <c r="A3" s="337" t="s">
        <v>37</v>
      </c>
      <c r="B3" s="338" t="s">
        <v>36</v>
      </c>
      <c r="C3" s="338" t="s">
        <v>0</v>
      </c>
      <c r="D3" s="338" t="s">
        <v>2</v>
      </c>
      <c r="E3" s="338" t="s">
        <v>3</v>
      </c>
      <c r="F3" s="214"/>
      <c r="G3" s="214" t="s">
        <v>131</v>
      </c>
      <c r="H3" s="214" t="s">
        <v>77</v>
      </c>
      <c r="I3" s="214"/>
      <c r="J3" s="340" t="s">
        <v>39</v>
      </c>
      <c r="K3" s="340"/>
      <c r="L3" s="340"/>
      <c r="M3" s="340"/>
      <c r="N3" s="340"/>
      <c r="O3" s="340"/>
      <c r="P3" s="340"/>
      <c r="Q3" s="214"/>
      <c r="R3" s="343" t="s">
        <v>38</v>
      </c>
    </row>
    <row r="4" spans="1:18" ht="21.75" customHeight="1">
      <c r="A4" s="332"/>
      <c r="B4" s="339"/>
      <c r="C4" s="339"/>
      <c r="D4" s="339"/>
      <c r="E4" s="339"/>
      <c r="F4" s="215"/>
      <c r="G4" s="215" t="s">
        <v>73</v>
      </c>
      <c r="H4" s="215" t="s">
        <v>78</v>
      </c>
      <c r="I4" s="215" t="s">
        <v>94</v>
      </c>
      <c r="J4" s="13" t="s">
        <v>40</v>
      </c>
      <c r="K4" s="13" t="s">
        <v>79</v>
      </c>
      <c r="L4" s="13" t="s">
        <v>102</v>
      </c>
      <c r="M4" s="13" t="s">
        <v>79</v>
      </c>
      <c r="N4" s="13" t="s">
        <v>41</v>
      </c>
      <c r="O4" s="13" t="s">
        <v>79</v>
      </c>
      <c r="P4" s="13" t="s">
        <v>42</v>
      </c>
      <c r="Q4" s="13" t="s">
        <v>79</v>
      </c>
      <c r="R4" s="344"/>
    </row>
    <row r="5" spans="1:18" ht="36" customHeight="1">
      <c r="A5" s="193" t="s">
        <v>35</v>
      </c>
      <c r="B5" s="2">
        <v>1</v>
      </c>
      <c r="C5" s="10" t="s">
        <v>27</v>
      </c>
      <c r="D5" s="211" t="s">
        <v>28</v>
      </c>
      <c r="E5" s="2" t="s">
        <v>109</v>
      </c>
      <c r="F5" s="78">
        <v>5.0000000000000001E-3</v>
      </c>
      <c r="G5" s="36">
        <f t="shared" ref="G5:G10" si="0">+J5+N5+P5+L5</f>
        <v>315000</v>
      </c>
      <c r="H5" s="273">
        <f>+K5+M5+O5+Q5</f>
        <v>313425</v>
      </c>
      <c r="I5" s="35"/>
      <c r="J5" s="82">
        <v>135000</v>
      </c>
      <c r="K5" s="82">
        <f>+J5*(1-F5)</f>
        <v>134325</v>
      </c>
      <c r="L5" s="83">
        <v>45000</v>
      </c>
      <c r="M5" s="83">
        <f t="shared" ref="M5:M14" si="1">L5*(1-F5)</f>
        <v>44775</v>
      </c>
      <c r="N5" s="83">
        <v>135000</v>
      </c>
      <c r="O5" s="83">
        <f>+N5*(1-F5)</f>
        <v>134325</v>
      </c>
      <c r="P5" s="89"/>
      <c r="Q5" s="88">
        <f t="shared" ref="Q5:Q9" si="2">P5*(1-F5)</f>
        <v>0</v>
      </c>
      <c r="R5" s="73" t="s">
        <v>171</v>
      </c>
    </row>
    <row r="6" spans="1:18" ht="36" customHeight="1">
      <c r="A6" s="194"/>
      <c r="B6" s="2">
        <v>2</v>
      </c>
      <c r="C6" s="10" t="s">
        <v>48</v>
      </c>
      <c r="D6" s="191"/>
      <c r="E6" s="2" t="s">
        <v>108</v>
      </c>
      <c r="F6" s="78">
        <v>5.0000000000000001E-3</v>
      </c>
      <c r="G6" s="36">
        <f t="shared" si="0"/>
        <v>315000</v>
      </c>
      <c r="H6" s="36">
        <f t="shared" ref="H6:H9" si="3">+K6+M6+O6+Q6</f>
        <v>313425</v>
      </c>
      <c r="I6" s="37"/>
      <c r="J6" s="82">
        <v>135000</v>
      </c>
      <c r="K6" s="82">
        <f t="shared" ref="K6:K14" si="4">+J6*(1-F6)</f>
        <v>134325</v>
      </c>
      <c r="L6" s="83">
        <v>45000</v>
      </c>
      <c r="M6" s="83">
        <f t="shared" si="1"/>
        <v>44775</v>
      </c>
      <c r="N6" s="83">
        <v>135000</v>
      </c>
      <c r="O6" s="83">
        <f t="shared" ref="O6:O14" si="5">+N6*(1-F6)</f>
        <v>134325</v>
      </c>
      <c r="P6" s="89"/>
      <c r="Q6" s="88">
        <f t="shared" si="2"/>
        <v>0</v>
      </c>
      <c r="R6" s="7" t="s">
        <v>172</v>
      </c>
    </row>
    <row r="7" spans="1:18" ht="36" customHeight="1">
      <c r="A7" s="194"/>
      <c r="B7" s="2">
        <v>3</v>
      </c>
      <c r="C7" s="10" t="s">
        <v>45</v>
      </c>
      <c r="D7" s="191"/>
      <c r="E7" s="2" t="s">
        <v>108</v>
      </c>
      <c r="F7" s="78">
        <v>5.0000000000000001E-3</v>
      </c>
      <c r="G7" s="36">
        <f t="shared" si="0"/>
        <v>315000</v>
      </c>
      <c r="H7" s="36">
        <f t="shared" si="3"/>
        <v>313425</v>
      </c>
      <c r="I7" s="37"/>
      <c r="J7" s="82">
        <v>135000</v>
      </c>
      <c r="K7" s="82">
        <f t="shared" si="4"/>
        <v>134325</v>
      </c>
      <c r="L7" s="83">
        <v>45000</v>
      </c>
      <c r="M7" s="83">
        <f t="shared" si="1"/>
        <v>44775</v>
      </c>
      <c r="N7" s="83">
        <v>135000</v>
      </c>
      <c r="O7" s="83">
        <f t="shared" si="5"/>
        <v>134325</v>
      </c>
      <c r="P7" s="89"/>
      <c r="Q7" s="88">
        <f t="shared" si="2"/>
        <v>0</v>
      </c>
      <c r="R7" s="73" t="s">
        <v>160</v>
      </c>
    </row>
    <row r="8" spans="1:18" ht="36" customHeight="1">
      <c r="A8" s="194"/>
      <c r="B8" s="2">
        <v>4</v>
      </c>
      <c r="C8" s="10" t="s">
        <v>49</v>
      </c>
      <c r="D8" s="191"/>
      <c r="E8" s="2" t="s">
        <v>108</v>
      </c>
      <c r="F8" s="78">
        <v>5.0000000000000001E-3</v>
      </c>
      <c r="G8" s="36">
        <f t="shared" si="0"/>
        <v>495000</v>
      </c>
      <c r="H8" s="274">
        <f t="shared" si="3"/>
        <v>492525</v>
      </c>
      <c r="I8" s="37"/>
      <c r="J8" s="82">
        <v>135000</v>
      </c>
      <c r="K8" s="82">
        <f t="shared" si="4"/>
        <v>134325</v>
      </c>
      <c r="L8" s="83">
        <v>45000</v>
      </c>
      <c r="M8" s="83">
        <f t="shared" si="1"/>
        <v>44775</v>
      </c>
      <c r="N8" s="83">
        <v>135000</v>
      </c>
      <c r="O8" s="83">
        <f t="shared" si="5"/>
        <v>134325</v>
      </c>
      <c r="P8" s="203">
        <v>180000</v>
      </c>
      <c r="Q8" s="204">
        <f t="shared" si="2"/>
        <v>179100</v>
      </c>
      <c r="R8" s="72"/>
    </row>
    <row r="9" spans="1:18" ht="36" customHeight="1">
      <c r="A9" s="194"/>
      <c r="B9" s="2">
        <v>5</v>
      </c>
      <c r="C9" s="10" t="s">
        <v>10</v>
      </c>
      <c r="D9" s="191"/>
      <c r="E9" s="2" t="s">
        <v>108</v>
      </c>
      <c r="F9" s="78"/>
      <c r="G9" s="36">
        <f t="shared" si="0"/>
        <v>450000</v>
      </c>
      <c r="H9" s="273">
        <f t="shared" si="3"/>
        <v>450000</v>
      </c>
      <c r="I9" s="37"/>
      <c r="J9" s="82">
        <v>135000</v>
      </c>
      <c r="K9" s="82">
        <f t="shared" si="4"/>
        <v>135000</v>
      </c>
      <c r="L9" s="31"/>
      <c r="M9" s="31">
        <f t="shared" si="1"/>
        <v>0</v>
      </c>
      <c r="N9" s="83">
        <v>135000</v>
      </c>
      <c r="O9" s="83">
        <f t="shared" si="5"/>
        <v>135000</v>
      </c>
      <c r="P9" s="203">
        <v>180000</v>
      </c>
      <c r="Q9" s="204">
        <f t="shared" si="2"/>
        <v>180000</v>
      </c>
      <c r="R9" s="72" t="s">
        <v>173</v>
      </c>
    </row>
    <row r="10" spans="1:18" ht="36" customHeight="1">
      <c r="A10" s="194"/>
      <c r="B10" s="2">
        <v>6</v>
      </c>
      <c r="C10" s="10" t="s">
        <v>107</v>
      </c>
      <c r="D10" s="191"/>
      <c r="E10" s="2" t="s">
        <v>108</v>
      </c>
      <c r="F10" s="78">
        <v>5.0000000000000001E-3</v>
      </c>
      <c r="G10" s="36">
        <f t="shared" si="0"/>
        <v>270000</v>
      </c>
      <c r="H10" s="273">
        <f t="shared" ref="H10:H14" si="6">+G10*(1-F10)</f>
        <v>268650</v>
      </c>
      <c r="I10" s="37"/>
      <c r="J10" s="82">
        <v>135000</v>
      </c>
      <c r="K10" s="82">
        <f t="shared" si="4"/>
        <v>134325</v>
      </c>
      <c r="L10" s="31"/>
      <c r="M10" s="31">
        <f t="shared" si="1"/>
        <v>0</v>
      </c>
      <c r="N10" s="83">
        <v>135000</v>
      </c>
      <c r="O10" s="83">
        <f t="shared" si="5"/>
        <v>134325</v>
      </c>
      <c r="P10" s="89"/>
      <c r="Q10" s="88"/>
      <c r="R10" s="72" t="s">
        <v>169</v>
      </c>
    </row>
    <row r="11" spans="1:18" ht="36" customHeight="1">
      <c r="A11" s="194"/>
      <c r="B11" s="2">
        <v>7</v>
      </c>
      <c r="C11" s="10" t="s">
        <v>110</v>
      </c>
      <c r="D11" s="191"/>
      <c r="E11" s="2" t="s">
        <v>108</v>
      </c>
      <c r="F11" s="78">
        <v>5.0000000000000001E-3</v>
      </c>
      <c r="G11" s="36">
        <f>+J11+N11+P11+L11</f>
        <v>270000</v>
      </c>
      <c r="H11" s="273">
        <f t="shared" si="6"/>
        <v>268650</v>
      </c>
      <c r="I11" s="37"/>
      <c r="J11" s="82">
        <v>135000</v>
      </c>
      <c r="K11" s="82">
        <f t="shared" si="4"/>
        <v>134325</v>
      </c>
      <c r="L11" s="31"/>
      <c r="M11" s="31">
        <f t="shared" si="1"/>
        <v>0</v>
      </c>
      <c r="N11" s="83">
        <v>135000</v>
      </c>
      <c r="O11" s="83">
        <f t="shared" si="5"/>
        <v>134325</v>
      </c>
      <c r="P11" s="89"/>
      <c r="Q11" s="88"/>
      <c r="R11" s="199" t="s">
        <v>170</v>
      </c>
    </row>
    <row r="12" spans="1:18" ht="36" customHeight="1">
      <c r="A12" s="194"/>
      <c r="B12" s="2">
        <v>8</v>
      </c>
      <c r="C12" s="10" t="s">
        <v>125</v>
      </c>
      <c r="D12" s="191"/>
      <c r="E12" s="2" t="s">
        <v>109</v>
      </c>
      <c r="F12" s="78">
        <v>5.0000000000000001E-3</v>
      </c>
      <c r="G12" s="36">
        <f>+J12+N12+P12+L12</f>
        <v>45000</v>
      </c>
      <c r="H12" s="273">
        <f t="shared" si="6"/>
        <v>44775</v>
      </c>
      <c r="I12" s="37"/>
      <c r="J12" s="38"/>
      <c r="K12" s="38">
        <f t="shared" si="4"/>
        <v>0</v>
      </c>
      <c r="L12" s="83">
        <v>45000</v>
      </c>
      <c r="M12" s="83">
        <f t="shared" si="1"/>
        <v>44775</v>
      </c>
      <c r="N12" s="278"/>
      <c r="O12" s="278">
        <f t="shared" si="5"/>
        <v>0</v>
      </c>
      <c r="P12" s="89"/>
      <c r="Q12" s="88"/>
      <c r="R12" s="225" t="s">
        <v>165</v>
      </c>
    </row>
    <row r="13" spans="1:18" ht="36" hidden="1" customHeight="1">
      <c r="A13" s="194"/>
      <c r="B13" s="2"/>
      <c r="C13" s="10"/>
      <c r="D13" s="191"/>
      <c r="E13" s="2"/>
      <c r="F13" s="78"/>
      <c r="G13" s="36"/>
      <c r="H13" s="36"/>
      <c r="I13" s="37"/>
      <c r="J13" s="82"/>
      <c r="K13" s="82">
        <f t="shared" si="4"/>
        <v>0</v>
      </c>
      <c r="L13" s="83"/>
      <c r="M13" s="83">
        <f t="shared" si="1"/>
        <v>0</v>
      </c>
      <c r="N13" s="83"/>
      <c r="O13" s="83">
        <f t="shared" si="5"/>
        <v>0</v>
      </c>
      <c r="P13" s="89"/>
      <c r="Q13" s="88"/>
      <c r="R13" s="72"/>
    </row>
    <row r="14" spans="1:18" ht="36" hidden="1" customHeight="1">
      <c r="A14" s="195"/>
      <c r="B14" s="2"/>
      <c r="C14" s="10"/>
      <c r="D14" s="192"/>
      <c r="E14" s="2" t="s">
        <v>11</v>
      </c>
      <c r="F14" s="2"/>
      <c r="G14" s="45">
        <f t="shared" ref="G14" si="7">+J14+N14+P14</f>
        <v>0</v>
      </c>
      <c r="H14" s="20">
        <f t="shared" si="6"/>
        <v>0</v>
      </c>
      <c r="I14" s="24">
        <f>+G14-H14</f>
        <v>0</v>
      </c>
      <c r="J14" s="84"/>
      <c r="K14" s="82">
        <f t="shared" si="4"/>
        <v>0</v>
      </c>
      <c r="L14" s="81"/>
      <c r="M14" s="83">
        <f t="shared" si="1"/>
        <v>0</v>
      </c>
      <c r="N14" s="81"/>
      <c r="O14" s="83">
        <f t="shared" si="5"/>
        <v>0</v>
      </c>
      <c r="P14" s="89"/>
      <c r="Q14" s="88">
        <f t="shared" ref="Q14" si="8">P14*(1-F14)</f>
        <v>0</v>
      </c>
      <c r="R14" s="74"/>
    </row>
    <row r="15" spans="1:18" s="5" customFormat="1" ht="36" customHeight="1">
      <c r="A15" s="328" t="s">
        <v>70</v>
      </c>
      <c r="B15" s="329"/>
      <c r="C15" s="329"/>
      <c r="D15" s="329"/>
      <c r="E15" s="329"/>
      <c r="F15" s="208"/>
      <c r="G15" s="60">
        <f>+J15+N15+P15+L15</f>
        <v>2475000</v>
      </c>
      <c r="H15" s="57">
        <f t="shared" ref="H15:O15" si="9">SUM(H5:H14)</f>
        <v>2464875</v>
      </c>
      <c r="I15" s="61">
        <f t="shared" si="9"/>
        <v>0</v>
      </c>
      <c r="J15" s="62">
        <f>SUM(J5:J11)</f>
        <v>945000</v>
      </c>
      <c r="K15" s="62">
        <f t="shared" si="9"/>
        <v>940950</v>
      </c>
      <c r="L15" s="267">
        <f t="shared" ref="L15:M15" si="10">SUM(L5:L14)</f>
        <v>225000</v>
      </c>
      <c r="M15" s="267">
        <f t="shared" si="10"/>
        <v>223875</v>
      </c>
      <c r="N15" s="51">
        <f t="shared" si="9"/>
        <v>945000</v>
      </c>
      <c r="O15" s="51">
        <f t="shared" si="9"/>
        <v>940950</v>
      </c>
      <c r="P15" s="277">
        <f>SUM(P5:P12)</f>
        <v>360000</v>
      </c>
      <c r="Q15" s="277">
        <f>SUM(Q5:Q12)</f>
        <v>359100</v>
      </c>
      <c r="R15" s="52"/>
    </row>
    <row r="16" spans="1:18" ht="12.75" customHeight="1">
      <c r="A16" s="8"/>
      <c r="B16" s="6"/>
      <c r="C16" s="11"/>
      <c r="D16" s="6"/>
      <c r="E16" s="6"/>
      <c r="F16" s="6"/>
      <c r="G16" s="21"/>
      <c r="H16" s="21"/>
      <c r="I16" s="23"/>
      <c r="J16" s="11"/>
      <c r="K16" s="11"/>
      <c r="L16" s="11"/>
      <c r="M16" s="11"/>
      <c r="N16" s="227"/>
      <c r="O16" s="227"/>
      <c r="P16" s="229"/>
      <c r="Q16" s="230"/>
      <c r="R16" s="7"/>
    </row>
    <row r="17" spans="1:25" ht="36" customHeight="1">
      <c r="A17" s="193" t="s">
        <v>34</v>
      </c>
      <c r="B17" s="2">
        <v>1</v>
      </c>
      <c r="C17" s="10" t="s">
        <v>4</v>
      </c>
      <c r="D17" s="333" t="s">
        <v>5</v>
      </c>
      <c r="E17" s="2" t="s">
        <v>31</v>
      </c>
      <c r="F17" s="78">
        <v>5.0000000000000001E-3</v>
      </c>
      <c r="G17" s="20">
        <f t="shared" ref="G17:G22" si="11">+J17+N17+P17+L17</f>
        <v>415000</v>
      </c>
      <c r="H17" s="273">
        <f t="shared" ref="H17:H22" si="12">+K17+M17+O17+Q17</f>
        <v>412925</v>
      </c>
      <c r="I17" s="35"/>
      <c r="J17" s="39">
        <v>250000</v>
      </c>
      <c r="K17" s="39">
        <f t="shared" ref="K17:K25" si="13">+J17*(1-F17)</f>
        <v>248750</v>
      </c>
      <c r="L17" s="176"/>
      <c r="M17" s="176">
        <f t="shared" ref="M17:M22" si="14">L17*(1-F17)</f>
        <v>0</v>
      </c>
      <c r="N17" s="31"/>
      <c r="O17" s="31">
        <f t="shared" ref="O17:O23" si="15">+N17*(1-F17)</f>
        <v>0</v>
      </c>
      <c r="P17" s="81">
        <v>165000</v>
      </c>
      <c r="Q17" s="92">
        <f>P17*(1-F17)</f>
        <v>164175</v>
      </c>
      <c r="R17" s="7" t="s">
        <v>164</v>
      </c>
    </row>
    <row r="18" spans="1:25" ht="36" customHeight="1">
      <c r="A18" s="194"/>
      <c r="B18" s="2">
        <v>2</v>
      </c>
      <c r="C18" s="10" t="s">
        <v>12</v>
      </c>
      <c r="D18" s="335"/>
      <c r="E18" s="2" t="s">
        <v>15</v>
      </c>
      <c r="F18" s="78"/>
      <c r="G18" s="20">
        <f t="shared" si="11"/>
        <v>415000</v>
      </c>
      <c r="H18" s="273">
        <f t="shared" si="12"/>
        <v>415000</v>
      </c>
      <c r="I18" s="35"/>
      <c r="J18" s="39">
        <v>250000</v>
      </c>
      <c r="K18" s="39">
        <f t="shared" si="13"/>
        <v>250000</v>
      </c>
      <c r="L18" s="176"/>
      <c r="M18" s="176">
        <f t="shared" si="14"/>
        <v>0</v>
      </c>
      <c r="N18" s="31"/>
      <c r="O18" s="31">
        <f t="shared" si="15"/>
        <v>0</v>
      </c>
      <c r="P18" s="81">
        <v>165000</v>
      </c>
      <c r="Q18" s="92">
        <f t="shared" ref="Q18:Q22" si="16">P18*(1-F18)</f>
        <v>165000</v>
      </c>
      <c r="R18" s="225" t="s">
        <v>163</v>
      </c>
      <c r="S18" s="248"/>
      <c r="T18" s="248"/>
      <c r="U18" s="248"/>
      <c r="V18" s="248"/>
      <c r="W18" s="248"/>
      <c r="X18" s="248"/>
      <c r="Y18" s="248"/>
    </row>
    <row r="19" spans="1:25" ht="36" customHeight="1">
      <c r="A19" s="194"/>
      <c r="B19" s="2">
        <v>3</v>
      </c>
      <c r="C19" s="10" t="s">
        <v>32</v>
      </c>
      <c r="D19" s="211" t="s">
        <v>135</v>
      </c>
      <c r="E19" s="2" t="s">
        <v>15</v>
      </c>
      <c r="F19" s="78">
        <v>5.0000000000000001E-3</v>
      </c>
      <c r="G19" s="196">
        <f t="shared" si="11"/>
        <v>630000</v>
      </c>
      <c r="H19" s="273">
        <f t="shared" si="12"/>
        <v>626850</v>
      </c>
      <c r="I19" s="35"/>
      <c r="J19" s="39">
        <v>218750</v>
      </c>
      <c r="K19" s="39">
        <f t="shared" si="13"/>
        <v>217656.25</v>
      </c>
      <c r="L19" s="81">
        <v>90000</v>
      </c>
      <c r="M19" s="81">
        <f t="shared" si="14"/>
        <v>89550</v>
      </c>
      <c r="N19" s="81">
        <v>156250</v>
      </c>
      <c r="O19" s="81">
        <f t="shared" si="15"/>
        <v>155468.75</v>
      </c>
      <c r="P19" s="81">
        <v>165000</v>
      </c>
      <c r="Q19" s="81">
        <f t="shared" si="16"/>
        <v>164175</v>
      </c>
      <c r="R19" s="73" t="s">
        <v>171</v>
      </c>
      <c r="S19" s="248"/>
      <c r="T19" s="248"/>
      <c r="U19" s="249"/>
      <c r="V19" s="249"/>
      <c r="W19" s="249"/>
      <c r="X19" s="249"/>
      <c r="Y19" s="250"/>
    </row>
    <row r="20" spans="1:25" ht="36" customHeight="1">
      <c r="A20" s="194"/>
      <c r="B20" s="2">
        <v>4</v>
      </c>
      <c r="C20" s="10" t="s">
        <v>13</v>
      </c>
      <c r="D20" s="212"/>
      <c r="E20" s="2" t="s">
        <v>15</v>
      </c>
      <c r="F20" s="78">
        <v>5.0000000000000001E-3</v>
      </c>
      <c r="G20" s="196">
        <f t="shared" si="11"/>
        <v>571250</v>
      </c>
      <c r="H20" s="273">
        <f t="shared" si="12"/>
        <v>568393.75</v>
      </c>
      <c r="I20" s="35"/>
      <c r="J20" s="39">
        <v>250000</v>
      </c>
      <c r="K20" s="39">
        <f t="shared" si="13"/>
        <v>248750</v>
      </c>
      <c r="L20" s="268"/>
      <c r="M20" s="268">
        <f t="shared" si="14"/>
        <v>0</v>
      </c>
      <c r="N20" s="81">
        <v>156250</v>
      </c>
      <c r="O20" s="81">
        <f t="shared" si="15"/>
        <v>155468.75</v>
      </c>
      <c r="P20" s="81">
        <v>165000</v>
      </c>
      <c r="Q20" s="92">
        <f t="shared" si="16"/>
        <v>164175</v>
      </c>
      <c r="R20" s="75" t="s">
        <v>162</v>
      </c>
      <c r="S20" s="248"/>
      <c r="T20" s="248"/>
      <c r="U20" s="248"/>
      <c r="V20" s="248"/>
      <c r="W20" s="248"/>
      <c r="X20" s="248"/>
      <c r="Y20" s="249"/>
    </row>
    <row r="21" spans="1:25" ht="36" customHeight="1">
      <c r="A21" s="194"/>
      <c r="B21" s="2">
        <v>5</v>
      </c>
      <c r="C21" s="10" t="s">
        <v>18</v>
      </c>
      <c r="D21" s="212"/>
      <c r="E21" s="2" t="s">
        <v>15</v>
      </c>
      <c r="F21" s="200">
        <v>5.0000000000000001E-3</v>
      </c>
      <c r="G21" s="201">
        <f t="shared" si="11"/>
        <v>415000</v>
      </c>
      <c r="H21" s="273">
        <f t="shared" si="12"/>
        <v>412925</v>
      </c>
      <c r="I21" s="35"/>
      <c r="J21" s="39">
        <v>250000</v>
      </c>
      <c r="K21" s="39">
        <f t="shared" si="13"/>
        <v>248750</v>
      </c>
      <c r="L21" s="268"/>
      <c r="M21" s="268">
        <f t="shared" si="14"/>
        <v>0</v>
      </c>
      <c r="N21" s="31"/>
      <c r="O21" s="31">
        <f t="shared" si="15"/>
        <v>0</v>
      </c>
      <c r="P21" s="83">
        <v>165000</v>
      </c>
      <c r="Q21" s="93">
        <f t="shared" si="16"/>
        <v>164175</v>
      </c>
      <c r="R21" s="75" t="s">
        <v>161</v>
      </c>
      <c r="S21" s="248"/>
      <c r="T21" s="248"/>
      <c r="U21" s="251"/>
      <c r="V21" s="251"/>
      <c r="W21" s="251"/>
      <c r="X21" s="252"/>
      <c r="Y21" s="253"/>
    </row>
    <row r="22" spans="1:25" ht="36" customHeight="1">
      <c r="A22" s="194"/>
      <c r="B22" s="2">
        <v>6</v>
      </c>
      <c r="C22" s="10" t="s">
        <v>116</v>
      </c>
      <c r="D22" s="212"/>
      <c r="E22" s="2" t="s">
        <v>31</v>
      </c>
      <c r="F22" s="78">
        <v>3.0000000000000001E-3</v>
      </c>
      <c r="G22" s="196">
        <f t="shared" si="11"/>
        <v>661250</v>
      </c>
      <c r="H22" s="273">
        <f t="shared" si="12"/>
        <v>659266.25</v>
      </c>
      <c r="I22" s="35"/>
      <c r="J22" s="39">
        <v>250000</v>
      </c>
      <c r="K22" s="39">
        <f t="shared" si="13"/>
        <v>249250</v>
      </c>
      <c r="L22" s="81">
        <v>90000</v>
      </c>
      <c r="M22" s="81">
        <f t="shared" si="14"/>
        <v>89730</v>
      </c>
      <c r="N22" s="81">
        <v>156250</v>
      </c>
      <c r="O22" s="81">
        <f t="shared" si="15"/>
        <v>155781.25</v>
      </c>
      <c r="P22" s="81">
        <v>165000</v>
      </c>
      <c r="Q22" s="81">
        <f t="shared" si="16"/>
        <v>164505</v>
      </c>
      <c r="R22" s="73" t="s">
        <v>160</v>
      </c>
      <c r="S22" s="248"/>
      <c r="T22" s="248"/>
      <c r="U22" s="249"/>
      <c r="V22" s="249"/>
      <c r="W22" s="249"/>
      <c r="X22" s="249"/>
      <c r="Y22" s="250"/>
    </row>
    <row r="23" spans="1:25" ht="36" customHeight="1">
      <c r="A23" s="194"/>
      <c r="B23" s="2">
        <v>7</v>
      </c>
      <c r="C23" s="10" t="s">
        <v>117</v>
      </c>
      <c r="D23" s="213"/>
      <c r="E23" s="2" t="s">
        <v>31</v>
      </c>
      <c r="F23" s="78">
        <v>5.0000000000000001E-3</v>
      </c>
      <c r="G23" s="155">
        <f>+J23+N23+P23+L23</f>
        <v>406250</v>
      </c>
      <c r="H23" s="274">
        <f>+K23+M23+O23+Q23</f>
        <v>404218.75</v>
      </c>
      <c r="I23" s="35"/>
      <c r="J23" s="39">
        <v>250000</v>
      </c>
      <c r="K23" s="39">
        <f t="shared" si="13"/>
        <v>248750</v>
      </c>
      <c r="L23" s="268"/>
      <c r="M23" s="268">
        <f>L23*(1-F23)</f>
        <v>0</v>
      </c>
      <c r="N23" s="81">
        <v>156250</v>
      </c>
      <c r="O23" s="81">
        <f t="shared" si="15"/>
        <v>155468.75</v>
      </c>
      <c r="P23" s="31"/>
      <c r="Q23" s="279">
        <f>P23*(1-F23)</f>
        <v>0</v>
      </c>
      <c r="R23" s="73" t="s">
        <v>159</v>
      </c>
      <c r="S23" s="248"/>
      <c r="T23" s="248"/>
      <c r="U23" s="248"/>
      <c r="V23" s="248"/>
      <c r="W23" s="248"/>
      <c r="X23" s="248"/>
      <c r="Y23" s="248"/>
    </row>
    <row r="24" spans="1:25" ht="36" customHeight="1">
      <c r="A24" s="194"/>
      <c r="B24" s="2">
        <v>8</v>
      </c>
      <c r="C24" s="10" t="s">
        <v>180</v>
      </c>
      <c r="D24" s="2"/>
      <c r="E24" s="2" t="s">
        <v>175</v>
      </c>
      <c r="F24" s="78">
        <v>5.0000000000000001E-3</v>
      </c>
      <c r="G24" s="186">
        <f>+J24+N24+P24+L24</f>
        <v>62500</v>
      </c>
      <c r="H24" s="20">
        <f>+K24+M24+O24+Q24</f>
        <v>62187.5</v>
      </c>
      <c r="I24" s="35"/>
      <c r="J24" s="39">
        <v>62500</v>
      </c>
      <c r="K24" s="39">
        <f>+J24*(1-F24)</f>
        <v>62187.5</v>
      </c>
      <c r="L24" s="268"/>
      <c r="M24" s="268">
        <f>L24*(1-F24)</f>
        <v>0</v>
      </c>
      <c r="N24" s="268"/>
      <c r="O24" s="268">
        <f>+N24*(1-F24)</f>
        <v>0</v>
      </c>
      <c r="P24" s="268"/>
      <c r="Q24" s="268">
        <f>P24*(1-F24)</f>
        <v>0</v>
      </c>
      <c r="R24" s="73"/>
      <c r="S24" s="248"/>
      <c r="T24" s="248"/>
      <c r="U24" s="249"/>
      <c r="V24" s="249"/>
      <c r="W24" s="249"/>
      <c r="X24" s="249"/>
      <c r="Y24" s="250"/>
    </row>
    <row r="25" spans="1:25" ht="36" customHeight="1">
      <c r="A25" s="195"/>
      <c r="B25" s="2">
        <v>9</v>
      </c>
      <c r="C25" s="10" t="s">
        <v>174</v>
      </c>
      <c r="D25" s="2"/>
      <c r="E25" s="2" t="s">
        <v>9</v>
      </c>
      <c r="F25" s="78">
        <v>5.0000000000000001E-3</v>
      </c>
      <c r="G25" s="155">
        <f>+J25+N25+P25+L25</f>
        <v>165000</v>
      </c>
      <c r="H25" s="274">
        <f>+K25+M25+O25+Q25</f>
        <v>164175</v>
      </c>
      <c r="I25" s="35"/>
      <c r="J25" s="39">
        <v>165000</v>
      </c>
      <c r="K25" s="39">
        <f t="shared" si="13"/>
        <v>164175</v>
      </c>
      <c r="L25" s="268"/>
      <c r="M25" s="268"/>
      <c r="N25" s="81"/>
      <c r="O25" s="81"/>
      <c r="P25" s="31"/>
      <c r="Q25" s="279"/>
      <c r="R25" s="73"/>
      <c r="S25" s="248"/>
      <c r="T25" s="248"/>
      <c r="U25" s="248"/>
      <c r="V25" s="248"/>
      <c r="W25" s="248"/>
      <c r="X25" s="248"/>
      <c r="Y25" s="248"/>
    </row>
    <row r="26" spans="1:25" s="5" customFormat="1" ht="36" customHeight="1">
      <c r="A26" s="328" t="s">
        <v>70</v>
      </c>
      <c r="B26" s="329"/>
      <c r="C26" s="329"/>
      <c r="D26" s="329"/>
      <c r="E26" s="329"/>
      <c r="F26" s="208"/>
      <c r="G26" s="56">
        <f t="shared" ref="G26:Q26" si="17">SUM(G17:G25)</f>
        <v>3741250</v>
      </c>
      <c r="H26" s="57">
        <f t="shared" si="17"/>
        <v>3725941.25</v>
      </c>
      <c r="I26" s="58">
        <f t="shared" si="17"/>
        <v>0</v>
      </c>
      <c r="J26" s="59">
        <f t="shared" si="17"/>
        <v>1946250</v>
      </c>
      <c r="K26" s="59">
        <f t="shared" si="17"/>
        <v>1938268.75</v>
      </c>
      <c r="L26" s="97">
        <f t="shared" si="17"/>
        <v>180000</v>
      </c>
      <c r="M26" s="97">
        <f t="shared" si="17"/>
        <v>179280</v>
      </c>
      <c r="N26" s="51">
        <f t="shared" si="17"/>
        <v>625000</v>
      </c>
      <c r="O26" s="51">
        <f t="shared" si="17"/>
        <v>622187.5</v>
      </c>
      <c r="P26" s="51">
        <f t="shared" si="17"/>
        <v>990000</v>
      </c>
      <c r="Q26" s="51">
        <f t="shared" si="17"/>
        <v>986205</v>
      </c>
      <c r="R26" s="52"/>
      <c r="S26" s="254"/>
      <c r="T26" s="254"/>
      <c r="U26" s="251"/>
      <c r="V26" s="251"/>
      <c r="W26" s="251"/>
      <c r="X26" s="255"/>
      <c r="Y26" s="256"/>
    </row>
    <row r="27" spans="1:25" ht="12.75" customHeight="1">
      <c r="A27" s="8"/>
      <c r="B27" s="6"/>
      <c r="C27" s="11"/>
      <c r="D27" s="6"/>
      <c r="E27" s="6"/>
      <c r="F27" s="6"/>
      <c r="G27" s="21"/>
      <c r="H27" s="21"/>
      <c r="I27" s="23"/>
      <c r="J27" s="11"/>
      <c r="K27" s="11"/>
      <c r="L27" s="11"/>
      <c r="M27" s="11"/>
      <c r="N27" s="11"/>
      <c r="O27" s="11"/>
      <c r="P27" s="227"/>
      <c r="Q27" s="228"/>
      <c r="R27" s="7"/>
      <c r="S27" s="248"/>
      <c r="T27" s="248"/>
      <c r="U27" s="249"/>
      <c r="V27" s="249"/>
      <c r="W27" s="249"/>
      <c r="X27" s="249"/>
      <c r="Y27" s="257"/>
    </row>
    <row r="28" spans="1:25" ht="36" customHeight="1">
      <c r="A28" s="330" t="s">
        <v>33</v>
      </c>
      <c r="B28" s="2">
        <v>1</v>
      </c>
      <c r="C28" s="10" t="s">
        <v>6</v>
      </c>
      <c r="D28" s="2" t="s">
        <v>7</v>
      </c>
      <c r="E28" s="2" t="s">
        <v>9</v>
      </c>
      <c r="F28" s="78">
        <v>5.0000000000000001E-3</v>
      </c>
      <c r="G28" s="196">
        <f t="shared" ref="G28:G32" si="18">+J28+N28+P28+L28</f>
        <v>600000</v>
      </c>
      <c r="H28" s="273">
        <f t="shared" ref="H28:H32" si="19">+K28+M28+O28+Q28</f>
        <v>597000</v>
      </c>
      <c r="I28" s="35"/>
      <c r="J28" s="95">
        <v>600000</v>
      </c>
      <c r="K28" s="95">
        <f>+J28*(1-F28)</f>
        <v>597000</v>
      </c>
      <c r="L28" s="280"/>
      <c r="M28" s="280">
        <f t="shared" ref="M28:M32" si="20">L28*(1-F28)</f>
        <v>0</v>
      </c>
      <c r="N28" s="281"/>
      <c r="O28" s="281">
        <f>+N28*(1-F28)</f>
        <v>0</v>
      </c>
      <c r="P28" s="268"/>
      <c r="Q28" s="268">
        <f>+P28*(1-F28)</f>
        <v>0</v>
      </c>
      <c r="R28" s="7" t="s">
        <v>166</v>
      </c>
      <c r="S28" s="248"/>
      <c r="T28" s="248"/>
      <c r="U28" s="251"/>
      <c r="V28" s="251"/>
      <c r="W28" s="251"/>
      <c r="X28" s="258"/>
      <c r="Y28" s="256"/>
    </row>
    <row r="29" spans="1:25" ht="36" customHeight="1">
      <c r="A29" s="331"/>
      <c r="B29" s="2">
        <v>2</v>
      </c>
      <c r="C29" s="14" t="s">
        <v>43</v>
      </c>
      <c r="D29" s="211" t="s">
        <v>7</v>
      </c>
      <c r="E29" s="211" t="s">
        <v>21</v>
      </c>
      <c r="F29" s="79"/>
      <c r="G29" s="155">
        <f t="shared" si="18"/>
        <v>250000</v>
      </c>
      <c r="H29" s="276">
        <f t="shared" si="19"/>
        <v>250000</v>
      </c>
      <c r="I29" s="206"/>
      <c r="J29" s="95">
        <v>250000</v>
      </c>
      <c r="K29" s="95">
        <f>+J29*(1-F29)</f>
        <v>250000</v>
      </c>
      <c r="L29" s="280"/>
      <c r="M29" s="280">
        <f t="shared" si="20"/>
        <v>0</v>
      </c>
      <c r="N29" s="32"/>
      <c r="O29" s="32">
        <f t="shared" ref="O29:O32" si="21">+N29*(1-F29)</f>
        <v>0</v>
      </c>
      <c r="P29" s="268"/>
      <c r="Q29" s="268">
        <f>+P29*(1-F29)</f>
        <v>0</v>
      </c>
      <c r="R29" s="73" t="s">
        <v>167</v>
      </c>
      <c r="S29" s="248"/>
      <c r="T29" s="248"/>
      <c r="U29" s="249"/>
      <c r="V29" s="249"/>
      <c r="W29" s="249"/>
      <c r="X29" s="249"/>
      <c r="Y29" s="259"/>
    </row>
    <row r="30" spans="1:25" ht="36" customHeight="1">
      <c r="A30" s="331"/>
      <c r="B30" s="2">
        <v>3</v>
      </c>
      <c r="C30" s="10" t="s">
        <v>19</v>
      </c>
      <c r="D30" s="2" t="s">
        <v>20</v>
      </c>
      <c r="E30" s="2" t="s">
        <v>21</v>
      </c>
      <c r="F30" s="78">
        <v>1.52E-2</v>
      </c>
      <c r="G30" s="155">
        <f t="shared" si="18"/>
        <v>600000</v>
      </c>
      <c r="H30" s="273">
        <f t="shared" si="19"/>
        <v>590880</v>
      </c>
      <c r="I30" s="35"/>
      <c r="J30" s="95">
        <v>600000</v>
      </c>
      <c r="K30" s="95">
        <f t="shared" ref="K30:K32" si="22">+J30*(1-F30)</f>
        <v>590880</v>
      </c>
      <c r="L30" s="280"/>
      <c r="M30" s="280">
        <f t="shared" si="20"/>
        <v>0</v>
      </c>
      <c r="N30" s="32"/>
      <c r="O30" s="32">
        <f t="shared" si="21"/>
        <v>0</v>
      </c>
      <c r="P30" s="282"/>
      <c r="Q30" s="282">
        <f>+P30*(1-F30)</f>
        <v>0</v>
      </c>
      <c r="R30" s="73" t="s">
        <v>160</v>
      </c>
      <c r="S30" s="248"/>
      <c r="T30" s="248"/>
      <c r="U30" s="260"/>
      <c r="V30" s="260"/>
      <c r="W30" s="260"/>
      <c r="X30" s="261"/>
      <c r="Y30" s="256"/>
    </row>
    <row r="31" spans="1:25" ht="36" customHeight="1">
      <c r="A31" s="331"/>
      <c r="B31" s="2">
        <v>4</v>
      </c>
      <c r="C31" s="14" t="s">
        <v>22</v>
      </c>
      <c r="D31" s="211" t="s">
        <v>23</v>
      </c>
      <c r="E31" s="211" t="s">
        <v>8</v>
      </c>
      <c r="F31" s="79">
        <v>5.0000000000000001E-3</v>
      </c>
      <c r="G31" s="198">
        <f t="shared" si="18"/>
        <v>600000</v>
      </c>
      <c r="H31" s="275">
        <f t="shared" si="19"/>
        <v>597000</v>
      </c>
      <c r="I31" s="156"/>
      <c r="J31" s="99">
        <v>600000</v>
      </c>
      <c r="K31" s="99">
        <f t="shared" si="22"/>
        <v>597000</v>
      </c>
      <c r="L31" s="283"/>
      <c r="M31" s="283">
        <f t="shared" si="20"/>
        <v>0</v>
      </c>
      <c r="N31" s="284"/>
      <c r="O31" s="284">
        <f t="shared" si="21"/>
        <v>0</v>
      </c>
      <c r="P31" s="285"/>
      <c r="Q31" s="282">
        <f>+P31*(1-F31)</f>
        <v>0</v>
      </c>
      <c r="R31" s="7" t="s">
        <v>168</v>
      </c>
      <c r="S31" s="248"/>
      <c r="T31" s="248"/>
      <c r="U31" s="262"/>
      <c r="V31" s="262"/>
      <c r="W31" s="263"/>
      <c r="X31" s="264"/>
      <c r="Y31" s="256"/>
    </row>
    <row r="32" spans="1:25" ht="36" customHeight="1">
      <c r="A32" s="331"/>
      <c r="B32" s="2">
        <v>5</v>
      </c>
      <c r="C32" s="14" t="s">
        <v>112</v>
      </c>
      <c r="D32" s="211" t="s">
        <v>113</v>
      </c>
      <c r="E32" s="211" t="s">
        <v>15</v>
      </c>
      <c r="F32" s="79">
        <v>5.0000000000000001E-3</v>
      </c>
      <c r="G32" s="22">
        <f t="shared" si="18"/>
        <v>600000</v>
      </c>
      <c r="H32" s="275">
        <f t="shared" si="19"/>
        <v>597000</v>
      </c>
      <c r="I32" s="156"/>
      <c r="J32" s="175">
        <v>600000</v>
      </c>
      <c r="K32" s="99">
        <f t="shared" si="22"/>
        <v>597000</v>
      </c>
      <c r="L32" s="283"/>
      <c r="M32" s="283">
        <f t="shared" si="20"/>
        <v>0</v>
      </c>
      <c r="N32" s="286"/>
      <c r="O32" s="286">
        <f t="shared" si="21"/>
        <v>0</v>
      </c>
      <c r="P32" s="285"/>
      <c r="Q32" s="282">
        <f>+P32*(1-F32)</f>
        <v>0</v>
      </c>
      <c r="R32" s="205" t="s">
        <v>171</v>
      </c>
      <c r="S32" s="248"/>
      <c r="T32" s="248"/>
      <c r="U32" s="249"/>
      <c r="V32" s="249"/>
      <c r="W32" s="249"/>
      <c r="X32" s="249"/>
      <c r="Y32" s="265"/>
    </row>
    <row r="33" spans="1:25" s="5" customFormat="1" ht="36" customHeight="1" thickBot="1">
      <c r="A33" s="326" t="s">
        <v>90</v>
      </c>
      <c r="B33" s="326"/>
      <c r="C33" s="326"/>
      <c r="D33" s="326"/>
      <c r="E33" s="327"/>
      <c r="F33" s="207"/>
      <c r="G33" s="65">
        <f t="shared" ref="G33:Q33" si="23">SUM(G28:G32)</f>
        <v>2650000</v>
      </c>
      <c r="H33" s="66">
        <f t="shared" si="23"/>
        <v>2631880</v>
      </c>
      <c r="I33" s="66">
        <f t="shared" si="23"/>
        <v>0</v>
      </c>
      <c r="J33" s="101">
        <f t="shared" si="23"/>
        <v>2650000</v>
      </c>
      <c r="K33" s="101">
        <f t="shared" si="23"/>
        <v>2631880</v>
      </c>
      <c r="L33" s="101">
        <f t="shared" si="23"/>
        <v>0</v>
      </c>
      <c r="M33" s="101">
        <f t="shared" si="23"/>
        <v>0</v>
      </c>
      <c r="N33" s="102">
        <f t="shared" si="23"/>
        <v>0</v>
      </c>
      <c r="O33" s="102">
        <f t="shared" si="23"/>
        <v>0</v>
      </c>
      <c r="P33" s="102">
        <f t="shared" si="23"/>
        <v>0</v>
      </c>
      <c r="Q33" s="103">
        <f t="shared" si="23"/>
        <v>0</v>
      </c>
      <c r="R33" s="85"/>
      <c r="S33" s="254"/>
      <c r="T33" s="254"/>
      <c r="U33" s="266"/>
      <c r="V33" s="266"/>
      <c r="W33" s="266"/>
      <c r="X33" s="266"/>
      <c r="Y33" s="256"/>
    </row>
    <row r="34" spans="1:25" s="5" customFormat="1" ht="36" customHeight="1" thickTop="1" thickBot="1">
      <c r="A34" s="345" t="s">
        <v>88</v>
      </c>
      <c r="B34" s="346"/>
      <c r="C34" s="346"/>
      <c r="D34" s="346"/>
      <c r="E34" s="346"/>
      <c r="F34" s="347"/>
      <c r="G34" s="157">
        <f t="shared" ref="G34:Q34" si="24">+G33+G26+G15</f>
        <v>8866250</v>
      </c>
      <c r="H34" s="158">
        <f t="shared" si="24"/>
        <v>8822696.25</v>
      </c>
      <c r="I34" s="158">
        <f t="shared" si="24"/>
        <v>0</v>
      </c>
      <c r="J34" s="159">
        <f t="shared" si="24"/>
        <v>5541250</v>
      </c>
      <c r="K34" s="159">
        <f t="shared" si="24"/>
        <v>5511098.75</v>
      </c>
      <c r="L34" s="159">
        <f t="shared" si="24"/>
        <v>405000</v>
      </c>
      <c r="M34" s="159">
        <f t="shared" si="24"/>
        <v>403155</v>
      </c>
      <c r="N34" s="160">
        <f t="shared" si="24"/>
        <v>1570000</v>
      </c>
      <c r="O34" s="160">
        <f t="shared" si="24"/>
        <v>1563137.5</v>
      </c>
      <c r="P34" s="161">
        <f t="shared" si="24"/>
        <v>1350000</v>
      </c>
      <c r="Q34" s="161">
        <f t="shared" si="24"/>
        <v>1345305</v>
      </c>
      <c r="R34" s="162"/>
      <c r="S34" s="254"/>
      <c r="T34" s="254"/>
      <c r="U34" s="249"/>
      <c r="V34" s="249"/>
      <c r="W34" s="249"/>
      <c r="X34" s="249"/>
      <c r="Y34" s="256"/>
    </row>
    <row r="35" spans="1:25" ht="17.25" thickTop="1">
      <c r="S35" s="248"/>
      <c r="T35" s="248"/>
      <c r="U35" s="248"/>
      <c r="V35" s="248"/>
      <c r="W35" s="248"/>
      <c r="X35" s="248"/>
      <c r="Y35" s="248"/>
    </row>
    <row r="36" spans="1:25" ht="27" thickBot="1">
      <c r="A36" s="9"/>
      <c r="S36" s="248"/>
      <c r="T36" s="248"/>
      <c r="U36" s="248"/>
      <c r="V36" s="248"/>
      <c r="W36" s="248"/>
      <c r="X36" s="248"/>
      <c r="Y36" s="248"/>
    </row>
    <row r="37" spans="1:25" ht="50.25" customHeight="1" thickTop="1">
      <c r="J37" s="113" t="s">
        <v>84</v>
      </c>
      <c r="K37" s="114" t="s">
        <v>76</v>
      </c>
      <c r="L37" s="140" t="s">
        <v>81</v>
      </c>
      <c r="M37" s="147" t="s">
        <v>82</v>
      </c>
      <c r="N37" s="137">
        <v>3.3000000000000002E-2</v>
      </c>
      <c r="S37" s="248"/>
      <c r="T37" s="248"/>
      <c r="U37" s="248"/>
      <c r="V37" s="248"/>
      <c r="W37" s="248"/>
      <c r="X37" s="248"/>
      <c r="Y37" s="248"/>
    </row>
    <row r="38" spans="1:25" ht="50.25" customHeight="1">
      <c r="J38" s="117">
        <f>+J26+J15+240000</f>
        <v>3131250</v>
      </c>
      <c r="K38" s="3">
        <f>+K26+K15+239400</f>
        <v>3118618.75</v>
      </c>
      <c r="L38" s="141">
        <f>+K38*0.4</f>
        <v>1247447.5</v>
      </c>
      <c r="M38" s="4">
        <f>+K38-L38</f>
        <v>1871171.25</v>
      </c>
      <c r="N38" s="148">
        <f>+M38*(1-N37)</f>
        <v>1809422.5987499999</v>
      </c>
      <c r="R38" t="s">
        <v>178</v>
      </c>
    </row>
    <row r="39" spans="1:25" ht="50.25" customHeight="1">
      <c r="J39" s="1" t="s">
        <v>83</v>
      </c>
      <c r="K39" s="2" t="s">
        <v>75</v>
      </c>
      <c r="L39" s="142" t="s">
        <v>80</v>
      </c>
      <c r="M39" s="149" t="s">
        <v>86</v>
      </c>
      <c r="N39" s="139"/>
      <c r="R39" t="s">
        <v>176</v>
      </c>
    </row>
    <row r="40" spans="1:25" ht="50.25" customHeight="1">
      <c r="J40" s="117">
        <f>+L26+N26+P26+L15+N15</f>
        <v>2965000</v>
      </c>
      <c r="K40" s="3">
        <f>+M26+O26+Q26+O15+M15</f>
        <v>2952497.5</v>
      </c>
      <c r="L40" s="141">
        <f>+K40*0.4</f>
        <v>1180999</v>
      </c>
      <c r="M40" s="4">
        <f>+K40-L40</f>
        <v>1771498.5</v>
      </c>
      <c r="N40" s="150">
        <f>+M40*(1-N37)</f>
        <v>1713039.0495</v>
      </c>
      <c r="R40" t="s">
        <v>177</v>
      </c>
    </row>
    <row r="41" spans="1:25" ht="50.25" customHeight="1">
      <c r="J41" s="1" t="s">
        <v>83</v>
      </c>
      <c r="K41" s="2" t="s">
        <v>75</v>
      </c>
      <c r="L41" s="142" t="s">
        <v>80</v>
      </c>
      <c r="M41" s="151" t="s">
        <v>85</v>
      </c>
      <c r="N41" s="139"/>
      <c r="R41" s="287" t="s">
        <v>179</v>
      </c>
    </row>
    <row r="42" spans="1:25" ht="50.25" customHeight="1">
      <c r="J42" s="117">
        <f>+J33+120000</f>
        <v>2770000</v>
      </c>
      <c r="K42" s="3">
        <f>+K33+119700</f>
        <v>2751580</v>
      </c>
      <c r="L42" s="141">
        <f>+K42*0.5</f>
        <v>1375790</v>
      </c>
      <c r="M42" s="4">
        <f>+K42-L42</f>
        <v>1375790</v>
      </c>
      <c r="N42" s="152">
        <f>+M42*(1-N37)</f>
        <v>1330388.93</v>
      </c>
    </row>
    <row r="43" spans="1:25" ht="50.25" hidden="1" customHeight="1">
      <c r="J43" s="115" t="s">
        <v>83</v>
      </c>
      <c r="K43" s="116" t="s">
        <v>75</v>
      </c>
      <c r="L43" s="143" t="s">
        <v>80</v>
      </c>
      <c r="M43" s="153" t="s">
        <v>87</v>
      </c>
      <c r="N43" s="139"/>
    </row>
    <row r="44" spans="1:25" ht="50.25" hidden="1" customHeight="1">
      <c r="J44" s="188">
        <f>+A46</f>
        <v>0</v>
      </c>
      <c r="K44" s="189">
        <f>+B46</f>
        <v>0</v>
      </c>
      <c r="L44" s="144">
        <f>+K44*0.6</f>
        <v>0</v>
      </c>
      <c r="M44" s="190">
        <f>+K44-L44</f>
        <v>0</v>
      </c>
      <c r="N44" s="139">
        <f>+M44*(1-N39)</f>
        <v>0</v>
      </c>
    </row>
    <row r="45" spans="1:25" ht="50.25" hidden="1" customHeight="1">
      <c r="J45" s="117">
        <f>+C46</f>
        <v>0</v>
      </c>
      <c r="K45" s="3">
        <f>+D46</f>
        <v>0</v>
      </c>
      <c r="L45" s="141">
        <f>+J45*0.6</f>
        <v>0</v>
      </c>
      <c r="M45" s="4">
        <f>+K45-L45</f>
        <v>0</v>
      </c>
      <c r="N45" s="154">
        <f>+M45*(1-N37)</f>
        <v>0</v>
      </c>
    </row>
    <row r="46" spans="1:25" ht="50.25" customHeight="1">
      <c r="J46" s="121" t="s">
        <v>83</v>
      </c>
      <c r="K46" s="122" t="s">
        <v>75</v>
      </c>
      <c r="L46" s="145" t="s">
        <v>80</v>
      </c>
      <c r="M46" s="123" t="s">
        <v>88</v>
      </c>
      <c r="N46" s="139"/>
    </row>
    <row r="47" spans="1:25" ht="50.25" customHeight="1" thickBot="1">
      <c r="J47" s="118">
        <f>+J44+J42+J40+J38</f>
        <v>8866250</v>
      </c>
      <c r="K47" s="119">
        <f>+K44+K42+K40+K38</f>
        <v>8822696.25</v>
      </c>
      <c r="L47" s="146">
        <f>+L44+L42+L40+L38</f>
        <v>3804236.5</v>
      </c>
      <c r="M47" s="120">
        <f>+M44+M42+M40+M38</f>
        <v>5018459.75</v>
      </c>
      <c r="N47" s="139">
        <f>+M47*(1-N37)</f>
        <v>4852850.5782500003</v>
      </c>
    </row>
    <row r="48" spans="1:25" ht="50.25" customHeight="1" thickTop="1"/>
  </sheetData>
  <mergeCells count="14">
    <mergeCell ref="A34:F34"/>
    <mergeCell ref="A1:R1"/>
    <mergeCell ref="A3:A4"/>
    <mergeCell ref="B3:B4"/>
    <mergeCell ref="C3:C4"/>
    <mergeCell ref="D3:D4"/>
    <mergeCell ref="E3:E4"/>
    <mergeCell ref="J3:P3"/>
    <mergeCell ref="R3:R4"/>
    <mergeCell ref="A15:E15"/>
    <mergeCell ref="D17:D18"/>
    <mergeCell ref="A26:E26"/>
    <mergeCell ref="A28:A32"/>
    <mergeCell ref="A33:E33"/>
  </mergeCells>
  <phoneticPr fontId="1" type="noConversion"/>
  <printOptions horizontalCentered="1" verticalCentered="1"/>
  <pageMargins left="0.70866141732283472" right="0.70866141732283472" top="0" bottom="0" header="0.31496062992125984" footer="0.31496062992125984"/>
  <pageSetup paperSize="9" scale="62" orientation="landscape" verticalDpi="0" r:id="rId1"/>
  <ignoredErrors>
    <ignoredError sqref="J15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50"/>
  <sheetViews>
    <sheetView topLeftCell="A2" zoomScale="75" zoomScaleNormal="75" workbookViewId="0">
      <pane xSplit="5" ySplit="3" topLeftCell="F33" activePane="bottomRight" state="frozen"/>
      <selection activeCell="A2" sqref="A2"/>
      <selection pane="topRight" activeCell="F2" sqref="F2"/>
      <selection pane="bottomLeft" activeCell="A5" sqref="A5"/>
      <selection pane="bottomRight" activeCell="L21" sqref="L21"/>
    </sheetView>
  </sheetViews>
  <sheetFormatPr defaultRowHeight="16.5"/>
  <cols>
    <col min="1" max="1" width="8" customWidth="1"/>
    <col min="2" max="2" width="5.875" customWidth="1"/>
    <col min="7" max="8" width="12.5" customWidth="1"/>
    <col min="9" max="9" width="12.5" hidden="1" customWidth="1"/>
    <col min="10" max="17" width="14.625" customWidth="1"/>
    <col min="18" max="18" width="38.5" customWidth="1"/>
    <col min="21" max="22" width="16.5" customWidth="1"/>
    <col min="23" max="27" width="18.25" customWidth="1"/>
  </cols>
  <sheetData>
    <row r="1" spans="1:18" ht="33.75">
      <c r="A1" s="336" t="s">
        <v>182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  <c r="O1" s="336"/>
      <c r="P1" s="336"/>
      <c r="Q1" s="336"/>
      <c r="R1" s="336"/>
    </row>
    <row r="2" spans="1:18" ht="30.75" customHeight="1" thickBot="1">
      <c r="R2" s="46" t="s">
        <v>213</v>
      </c>
    </row>
    <row r="3" spans="1:18" ht="21.75" customHeight="1" thickTop="1">
      <c r="A3" s="337" t="s">
        <v>37</v>
      </c>
      <c r="B3" s="338" t="s">
        <v>36</v>
      </c>
      <c r="C3" s="338" t="s">
        <v>0</v>
      </c>
      <c r="D3" s="338" t="s">
        <v>2</v>
      </c>
      <c r="E3" s="338" t="s">
        <v>3</v>
      </c>
      <c r="F3" s="288" t="s">
        <v>205</v>
      </c>
      <c r="G3" s="288" t="s">
        <v>202</v>
      </c>
      <c r="H3" s="288" t="s">
        <v>77</v>
      </c>
      <c r="I3" s="288"/>
      <c r="J3" s="340" t="s">
        <v>39</v>
      </c>
      <c r="K3" s="340"/>
      <c r="L3" s="340"/>
      <c r="M3" s="340"/>
      <c r="N3" s="340"/>
      <c r="O3" s="340"/>
      <c r="P3" s="340"/>
      <c r="Q3" s="288"/>
      <c r="R3" s="343" t="s">
        <v>38</v>
      </c>
    </row>
    <row r="4" spans="1:18" ht="21.75" customHeight="1">
      <c r="A4" s="332"/>
      <c r="B4" s="339"/>
      <c r="C4" s="339"/>
      <c r="D4" s="339"/>
      <c r="E4" s="339"/>
      <c r="F4" s="289" t="s">
        <v>206</v>
      </c>
      <c r="G4" s="289" t="s">
        <v>73</v>
      </c>
      <c r="H4" s="289" t="s">
        <v>78</v>
      </c>
      <c r="I4" s="289" t="s">
        <v>94</v>
      </c>
      <c r="J4" s="13" t="s">
        <v>40</v>
      </c>
      <c r="K4" s="13" t="s">
        <v>79</v>
      </c>
      <c r="L4" s="13" t="s">
        <v>102</v>
      </c>
      <c r="M4" s="13" t="s">
        <v>79</v>
      </c>
      <c r="N4" s="13" t="s">
        <v>41</v>
      </c>
      <c r="O4" s="13" t="s">
        <v>79</v>
      </c>
      <c r="P4" s="13" t="s">
        <v>42</v>
      </c>
      <c r="Q4" s="13" t="s">
        <v>79</v>
      </c>
      <c r="R4" s="344"/>
    </row>
    <row r="5" spans="1:18" ht="36" customHeight="1">
      <c r="A5" s="193"/>
      <c r="B5" s="2">
        <v>1</v>
      </c>
      <c r="C5" s="309" t="s">
        <v>203</v>
      </c>
      <c r="D5" s="191"/>
      <c r="E5" s="308" t="s">
        <v>204</v>
      </c>
      <c r="F5" s="312">
        <v>5.0000000000000001E-3</v>
      </c>
      <c r="G5" s="202">
        <f>+J5+N5+P5+L5</f>
        <v>20000</v>
      </c>
      <c r="H5" s="202">
        <f t="shared" ref="H5" si="0">+G5*(1-F5)</f>
        <v>19900</v>
      </c>
      <c r="I5" s="37"/>
      <c r="J5" s="38"/>
      <c r="K5" s="38">
        <f t="shared" ref="K5" si="1">+J5*(1-F5)</f>
        <v>0</v>
      </c>
      <c r="L5" s="83">
        <v>20000</v>
      </c>
      <c r="M5" s="83">
        <f t="shared" ref="M5" si="2">L5*(1-F5)</f>
        <v>19900</v>
      </c>
      <c r="N5" s="31"/>
      <c r="O5" s="31">
        <f t="shared" ref="O5" si="3">+N5*(1-F5)</f>
        <v>0</v>
      </c>
      <c r="P5" s="89"/>
      <c r="Q5" s="88"/>
      <c r="R5" s="199"/>
    </row>
    <row r="6" spans="1:18" ht="36" customHeight="1">
      <c r="A6" s="194" t="s">
        <v>35</v>
      </c>
      <c r="B6" s="2">
        <v>2</v>
      </c>
      <c r="C6" s="10" t="s">
        <v>27</v>
      </c>
      <c r="D6" s="292" t="s">
        <v>28</v>
      </c>
      <c r="E6" s="2" t="s">
        <v>109</v>
      </c>
      <c r="F6" s="78"/>
      <c r="G6" s="202">
        <f t="shared" ref="G6:G11" si="4">+J6+N6+P6+L6</f>
        <v>350000</v>
      </c>
      <c r="H6" s="202">
        <f>+K6+M6+O6+Q6</f>
        <v>350000</v>
      </c>
      <c r="I6" s="35"/>
      <c r="J6" s="82">
        <v>150000</v>
      </c>
      <c r="K6" s="82">
        <f>+J6*(1-F6)</f>
        <v>150000</v>
      </c>
      <c r="L6" s="83">
        <v>50000</v>
      </c>
      <c r="M6" s="83">
        <f t="shared" ref="M6:M15" si="5">L6*(1-F6)</f>
        <v>50000</v>
      </c>
      <c r="N6" s="83">
        <v>150000</v>
      </c>
      <c r="O6" s="83">
        <f>+N6*(1-F6)</f>
        <v>150000</v>
      </c>
      <c r="P6" s="89"/>
      <c r="Q6" s="88">
        <f t="shared" ref="Q6:Q10" si="6">P6*(1-F6)</f>
        <v>0</v>
      </c>
      <c r="R6" s="73" t="s">
        <v>181</v>
      </c>
    </row>
    <row r="7" spans="1:18" ht="36" customHeight="1">
      <c r="A7" s="194"/>
      <c r="B7" s="2">
        <v>3</v>
      </c>
      <c r="C7" s="10" t="s">
        <v>48</v>
      </c>
      <c r="D7" s="191"/>
      <c r="E7" s="2" t="s">
        <v>108</v>
      </c>
      <c r="F7" s="78">
        <v>5.0000000000000001E-3</v>
      </c>
      <c r="G7" s="202">
        <f t="shared" si="4"/>
        <v>350000</v>
      </c>
      <c r="H7" s="202">
        <f t="shared" ref="H7:H10" si="7">+K7+M7+O7+Q7</f>
        <v>348250</v>
      </c>
      <c r="I7" s="37"/>
      <c r="J7" s="82">
        <v>150000</v>
      </c>
      <c r="K7" s="82">
        <f t="shared" ref="K7:K15" si="8">+J7*(1-F7)</f>
        <v>149250</v>
      </c>
      <c r="L7" s="83">
        <v>50000</v>
      </c>
      <c r="M7" s="83">
        <f t="shared" si="5"/>
        <v>49750</v>
      </c>
      <c r="N7" s="83">
        <v>150000</v>
      </c>
      <c r="O7" s="83">
        <f t="shared" ref="O7:O15" si="9">+N7*(1-F7)</f>
        <v>149250</v>
      </c>
      <c r="P7" s="89"/>
      <c r="Q7" s="88">
        <f t="shared" si="6"/>
        <v>0</v>
      </c>
      <c r="R7" s="7" t="s">
        <v>172</v>
      </c>
    </row>
    <row r="8" spans="1:18" ht="36" customHeight="1">
      <c r="A8" s="194"/>
      <c r="B8" s="2">
        <v>4</v>
      </c>
      <c r="C8" s="10" t="s">
        <v>45</v>
      </c>
      <c r="D8" s="191"/>
      <c r="E8" s="2" t="s">
        <v>108</v>
      </c>
      <c r="F8" s="78">
        <v>2.5000000000000001E-3</v>
      </c>
      <c r="G8" s="202">
        <f t="shared" si="4"/>
        <v>350000</v>
      </c>
      <c r="H8" s="202">
        <f t="shared" si="7"/>
        <v>349125</v>
      </c>
      <c r="I8" s="37"/>
      <c r="J8" s="82">
        <v>150000</v>
      </c>
      <c r="K8" s="82">
        <f t="shared" si="8"/>
        <v>149625</v>
      </c>
      <c r="L8" s="83">
        <v>50000</v>
      </c>
      <c r="M8" s="83">
        <f t="shared" si="5"/>
        <v>49875</v>
      </c>
      <c r="N8" s="83">
        <v>150000</v>
      </c>
      <c r="O8" s="83">
        <f t="shared" si="9"/>
        <v>149625</v>
      </c>
      <c r="P8" s="89"/>
      <c r="Q8" s="88">
        <f t="shared" si="6"/>
        <v>0</v>
      </c>
      <c r="R8" s="73" t="s">
        <v>159</v>
      </c>
    </row>
    <row r="9" spans="1:18" ht="36" customHeight="1">
      <c r="A9" s="194"/>
      <c r="B9" s="2">
        <v>5</v>
      </c>
      <c r="C9" s="10" t="s">
        <v>49</v>
      </c>
      <c r="D9" s="191"/>
      <c r="E9" s="2" t="s">
        <v>108</v>
      </c>
      <c r="F9" s="78">
        <v>5.0000000000000001E-3</v>
      </c>
      <c r="G9" s="202">
        <f t="shared" si="4"/>
        <v>530000</v>
      </c>
      <c r="H9" s="202">
        <f t="shared" si="7"/>
        <v>527350</v>
      </c>
      <c r="I9" s="37"/>
      <c r="J9" s="82">
        <v>150000</v>
      </c>
      <c r="K9" s="82">
        <f t="shared" si="8"/>
        <v>149250</v>
      </c>
      <c r="L9" s="83">
        <v>50000</v>
      </c>
      <c r="M9" s="83">
        <f t="shared" si="5"/>
        <v>49750</v>
      </c>
      <c r="N9" s="83">
        <v>150000</v>
      </c>
      <c r="O9" s="83">
        <f t="shared" si="9"/>
        <v>149250</v>
      </c>
      <c r="P9" s="203">
        <v>180000</v>
      </c>
      <c r="Q9" s="204">
        <f t="shared" si="6"/>
        <v>179100</v>
      </c>
      <c r="R9" s="72" t="s">
        <v>195</v>
      </c>
    </row>
    <row r="10" spans="1:18" ht="36" customHeight="1">
      <c r="A10" s="194"/>
      <c r="B10" s="2">
        <v>6</v>
      </c>
      <c r="C10" s="10" t="s">
        <v>10</v>
      </c>
      <c r="D10" s="191"/>
      <c r="E10" s="2" t="s">
        <v>108</v>
      </c>
      <c r="F10" s="78"/>
      <c r="G10" s="202">
        <f t="shared" si="4"/>
        <v>480000</v>
      </c>
      <c r="H10" s="202">
        <f t="shared" si="7"/>
        <v>480000</v>
      </c>
      <c r="I10" s="37"/>
      <c r="J10" s="82">
        <v>150000</v>
      </c>
      <c r="K10" s="82">
        <f t="shared" si="8"/>
        <v>150000</v>
      </c>
      <c r="L10" s="31"/>
      <c r="M10" s="31">
        <f t="shared" si="5"/>
        <v>0</v>
      </c>
      <c r="N10" s="83">
        <v>150000</v>
      </c>
      <c r="O10" s="83">
        <f t="shared" si="9"/>
        <v>150000</v>
      </c>
      <c r="P10" s="203">
        <v>180000</v>
      </c>
      <c r="Q10" s="204">
        <f t="shared" si="6"/>
        <v>180000</v>
      </c>
      <c r="R10" s="72" t="s">
        <v>173</v>
      </c>
    </row>
    <row r="11" spans="1:18" ht="36" customHeight="1">
      <c r="A11" s="194"/>
      <c r="B11" s="2">
        <v>7</v>
      </c>
      <c r="C11" s="10" t="s">
        <v>107</v>
      </c>
      <c r="D11" s="191"/>
      <c r="E11" s="2" t="s">
        <v>108</v>
      </c>
      <c r="F11" s="78">
        <v>5.0000000000000001E-3</v>
      </c>
      <c r="G11" s="202">
        <f t="shared" si="4"/>
        <v>150000</v>
      </c>
      <c r="H11" s="202">
        <f t="shared" ref="H11:H15" si="10">+G11*(1-F11)</f>
        <v>149250</v>
      </c>
      <c r="I11" s="37"/>
      <c r="J11" s="31"/>
      <c r="K11" s="31">
        <f t="shared" ref="K11" si="11">J11*(1-D11)</f>
        <v>0</v>
      </c>
      <c r="L11" s="31"/>
      <c r="M11" s="31">
        <f t="shared" si="5"/>
        <v>0</v>
      </c>
      <c r="N11" s="83">
        <v>150000</v>
      </c>
      <c r="O11" s="83">
        <f t="shared" si="9"/>
        <v>149250</v>
      </c>
      <c r="P11" s="89"/>
      <c r="Q11" s="88"/>
      <c r="R11" s="72" t="s">
        <v>168</v>
      </c>
    </row>
    <row r="12" spans="1:18" ht="36" hidden="1" customHeight="1">
      <c r="A12" s="194"/>
      <c r="B12" s="2"/>
      <c r="C12" s="10"/>
      <c r="D12" s="191"/>
      <c r="E12" s="2"/>
      <c r="F12" s="78"/>
      <c r="G12" s="36">
        <f>+J12+N12+P12+L12</f>
        <v>0</v>
      </c>
      <c r="H12" s="273">
        <f t="shared" si="10"/>
        <v>0</v>
      </c>
      <c r="I12" s="37"/>
      <c r="J12" s="82"/>
      <c r="K12" s="82">
        <f t="shared" si="8"/>
        <v>0</v>
      </c>
      <c r="L12" s="31"/>
      <c r="M12" s="31">
        <f t="shared" si="5"/>
        <v>0</v>
      </c>
      <c r="N12" s="83"/>
      <c r="O12" s="83">
        <f t="shared" si="9"/>
        <v>0</v>
      </c>
      <c r="P12" s="89"/>
      <c r="Q12" s="88"/>
      <c r="R12" s="199"/>
    </row>
    <row r="13" spans="1:18" ht="36" hidden="1" customHeight="1">
      <c r="A13" s="194"/>
      <c r="B13" s="2"/>
      <c r="C13" s="10"/>
      <c r="D13" s="191"/>
      <c r="E13" s="2"/>
      <c r="F13" s="78"/>
      <c r="G13" s="36">
        <f>+J13+N13+P13+L13</f>
        <v>0</v>
      </c>
      <c r="H13" s="273">
        <f t="shared" si="10"/>
        <v>0</v>
      </c>
      <c r="I13" s="37"/>
      <c r="J13" s="38"/>
      <c r="K13" s="38">
        <f t="shared" si="8"/>
        <v>0</v>
      </c>
      <c r="L13" s="83"/>
      <c r="M13" s="83"/>
      <c r="N13" s="278"/>
      <c r="O13" s="278">
        <f t="shared" si="9"/>
        <v>0</v>
      </c>
      <c r="P13" s="89"/>
      <c r="Q13" s="88"/>
      <c r="R13" s="225"/>
    </row>
    <row r="14" spans="1:18" ht="36" hidden="1" customHeight="1">
      <c r="A14" s="194"/>
      <c r="B14" s="2"/>
      <c r="C14" s="10"/>
      <c r="D14" s="191"/>
      <c r="E14" s="2"/>
      <c r="F14" s="78"/>
      <c r="G14" s="36"/>
      <c r="H14" s="36"/>
      <c r="I14" s="37"/>
      <c r="J14" s="82"/>
      <c r="K14" s="82">
        <f t="shared" si="8"/>
        <v>0</v>
      </c>
      <c r="L14" s="83"/>
      <c r="M14" s="83">
        <f t="shared" si="5"/>
        <v>0</v>
      </c>
      <c r="N14" s="83"/>
      <c r="O14" s="83">
        <f t="shared" si="9"/>
        <v>0</v>
      </c>
      <c r="P14" s="89"/>
      <c r="Q14" s="88"/>
      <c r="R14" s="72"/>
    </row>
    <row r="15" spans="1:18" ht="36" hidden="1" customHeight="1">
      <c r="A15" s="195"/>
      <c r="B15" s="2"/>
      <c r="C15" s="10"/>
      <c r="D15" s="192"/>
      <c r="E15" s="2" t="s">
        <v>11</v>
      </c>
      <c r="F15" s="2"/>
      <c r="G15" s="45">
        <f t="shared" ref="G15" si="12">+J15+N15+P15</f>
        <v>0</v>
      </c>
      <c r="H15" s="20">
        <f t="shared" si="10"/>
        <v>0</v>
      </c>
      <c r="I15" s="24">
        <f>+G15-H15</f>
        <v>0</v>
      </c>
      <c r="J15" s="84"/>
      <c r="K15" s="82">
        <f t="shared" si="8"/>
        <v>0</v>
      </c>
      <c r="L15" s="81"/>
      <c r="M15" s="83">
        <f t="shared" si="5"/>
        <v>0</v>
      </c>
      <c r="N15" s="81"/>
      <c r="O15" s="83">
        <f t="shared" si="9"/>
        <v>0</v>
      </c>
      <c r="P15" s="89"/>
      <c r="Q15" s="88">
        <f t="shared" ref="Q15" si="13">P15*(1-F15)</f>
        <v>0</v>
      </c>
      <c r="R15" s="74"/>
    </row>
    <row r="16" spans="1:18" s="5" customFormat="1" ht="36" customHeight="1">
      <c r="A16" s="328" t="s">
        <v>70</v>
      </c>
      <c r="B16" s="329"/>
      <c r="C16" s="329"/>
      <c r="D16" s="329"/>
      <c r="E16" s="329"/>
      <c r="F16" s="291"/>
      <c r="G16" s="60">
        <f>+J16+N16+P16+L16</f>
        <v>2230000</v>
      </c>
      <c r="H16" s="57">
        <f>SUM(H5:H11)</f>
        <v>2223875</v>
      </c>
      <c r="I16" s="61">
        <f t="shared" ref="I16" si="14">SUM(I6:I15)</f>
        <v>0</v>
      </c>
      <c r="J16" s="62">
        <f t="shared" ref="J16:Q16" si="15">SUM(J5:J11)</f>
        <v>750000</v>
      </c>
      <c r="K16" s="62">
        <f t="shared" si="15"/>
        <v>748125</v>
      </c>
      <c r="L16" s="267">
        <f t="shared" si="15"/>
        <v>220000</v>
      </c>
      <c r="M16" s="267">
        <f t="shared" si="15"/>
        <v>219275</v>
      </c>
      <c r="N16" s="51">
        <f t="shared" si="15"/>
        <v>900000</v>
      </c>
      <c r="O16" s="51">
        <f t="shared" si="15"/>
        <v>897375</v>
      </c>
      <c r="P16" s="277">
        <f t="shared" si="15"/>
        <v>360000</v>
      </c>
      <c r="Q16" s="277">
        <f t="shared" si="15"/>
        <v>359100</v>
      </c>
      <c r="R16" s="52"/>
    </row>
    <row r="17" spans="1:25" ht="12.75" customHeight="1">
      <c r="A17" s="8"/>
      <c r="B17" s="6"/>
      <c r="C17" s="11"/>
      <c r="D17" s="6"/>
      <c r="E17" s="6"/>
      <c r="F17" s="6"/>
      <c r="G17" s="21"/>
      <c r="H17" s="21"/>
      <c r="I17" s="23"/>
      <c r="J17" s="11"/>
      <c r="K17" s="11"/>
      <c r="L17" s="11"/>
      <c r="M17" s="11"/>
      <c r="N17" s="227"/>
      <c r="O17" s="227"/>
      <c r="P17" s="229"/>
      <c r="Q17" s="230"/>
      <c r="R17" s="7"/>
    </row>
    <row r="18" spans="1:25" ht="36" customHeight="1">
      <c r="A18" s="193" t="s">
        <v>34</v>
      </c>
      <c r="B18" s="2">
        <v>1</v>
      </c>
      <c r="C18" s="309" t="s">
        <v>174</v>
      </c>
      <c r="D18" s="333" t="s">
        <v>135</v>
      </c>
      <c r="E18" s="308" t="s">
        <v>185</v>
      </c>
      <c r="F18" s="312">
        <v>2.5000000000000001E-3</v>
      </c>
      <c r="G18" s="20">
        <f t="shared" ref="G18:G23" si="16">+J18+N18+P18+L18</f>
        <v>250000</v>
      </c>
      <c r="H18" s="202">
        <f t="shared" ref="H18:H23" si="17">+K18+M18+O18+Q18</f>
        <v>249375</v>
      </c>
      <c r="I18" s="35"/>
      <c r="J18" s="39">
        <v>250000</v>
      </c>
      <c r="K18" s="39">
        <f t="shared" ref="K18:K26" si="18">+J18*(1-F18)</f>
        <v>249375</v>
      </c>
      <c r="L18" s="176"/>
      <c r="M18" s="176">
        <f t="shared" ref="M18:M23" si="19">L18*(1-F18)</f>
        <v>0</v>
      </c>
      <c r="N18" s="31"/>
      <c r="O18" s="31">
        <f t="shared" ref="O18:O23" si="20">+N18*(1-F18)</f>
        <v>0</v>
      </c>
      <c r="P18" s="176"/>
      <c r="Q18" s="176">
        <f t="shared" ref="Q18" si="21">P18*(1-J18)</f>
        <v>0</v>
      </c>
      <c r="R18" s="7" t="s">
        <v>184</v>
      </c>
    </row>
    <row r="19" spans="1:25" ht="36" customHeight="1">
      <c r="A19" s="194"/>
      <c r="B19" s="2">
        <v>2</v>
      </c>
      <c r="C19" s="309" t="s">
        <v>183</v>
      </c>
      <c r="D19" s="335" t="s">
        <v>135</v>
      </c>
      <c r="E19" s="308" t="s">
        <v>21</v>
      </c>
      <c r="F19" s="312">
        <v>5.0000000000000001E-3</v>
      </c>
      <c r="G19" s="20">
        <f t="shared" si="16"/>
        <v>250000</v>
      </c>
      <c r="H19" s="202">
        <f t="shared" si="17"/>
        <v>248750</v>
      </c>
      <c r="I19" s="35"/>
      <c r="J19" s="39">
        <v>250000</v>
      </c>
      <c r="K19" s="39">
        <f t="shared" si="18"/>
        <v>248750</v>
      </c>
      <c r="L19" s="176"/>
      <c r="M19" s="176">
        <f t="shared" si="19"/>
        <v>0</v>
      </c>
      <c r="N19" s="31"/>
      <c r="O19" s="31">
        <f t="shared" si="20"/>
        <v>0</v>
      </c>
      <c r="P19" s="176"/>
      <c r="Q19" s="176">
        <f t="shared" ref="Q19" si="22">P19*(1-J19)</f>
        <v>0</v>
      </c>
      <c r="R19" s="225" t="s">
        <v>165</v>
      </c>
      <c r="S19" s="248"/>
      <c r="T19" s="248"/>
      <c r="U19" s="248"/>
      <c r="V19" s="248"/>
      <c r="W19" s="248"/>
      <c r="X19" s="248"/>
      <c r="Y19" s="248"/>
    </row>
    <row r="20" spans="1:25" ht="36" customHeight="1">
      <c r="A20" s="194"/>
      <c r="B20" s="2">
        <v>3</v>
      </c>
      <c r="C20" s="10" t="s">
        <v>32</v>
      </c>
      <c r="D20" s="292"/>
      <c r="E20" s="2" t="s">
        <v>31</v>
      </c>
      <c r="F20" s="78">
        <v>5.0000000000000001E-3</v>
      </c>
      <c r="G20" s="196">
        <f t="shared" si="16"/>
        <v>850000</v>
      </c>
      <c r="H20" s="202">
        <f t="shared" si="17"/>
        <v>845750</v>
      </c>
      <c r="I20" s="35"/>
      <c r="J20" s="39">
        <v>350000</v>
      </c>
      <c r="K20" s="39">
        <f t="shared" si="18"/>
        <v>348250</v>
      </c>
      <c r="L20" s="81">
        <v>150000</v>
      </c>
      <c r="M20" s="81">
        <f t="shared" si="19"/>
        <v>149250</v>
      </c>
      <c r="N20" s="81">
        <v>350000</v>
      </c>
      <c r="O20" s="81">
        <f t="shared" si="20"/>
        <v>348250</v>
      </c>
      <c r="P20" s="176"/>
      <c r="Q20" s="176">
        <f t="shared" ref="Q20" si="23">P20*(1-J20)</f>
        <v>0</v>
      </c>
      <c r="R20" s="73" t="s">
        <v>167</v>
      </c>
      <c r="S20" s="248"/>
      <c r="T20" s="248"/>
      <c r="U20" s="249"/>
      <c r="V20" s="249"/>
      <c r="W20" s="249"/>
      <c r="X20" s="249"/>
      <c r="Y20" s="250"/>
    </row>
    <row r="21" spans="1:25" ht="36" customHeight="1">
      <c r="A21" s="194"/>
      <c r="B21" s="2">
        <v>4</v>
      </c>
      <c r="C21" s="10" t="s">
        <v>13</v>
      </c>
      <c r="D21" s="293"/>
      <c r="E21" s="2" t="s">
        <v>31</v>
      </c>
      <c r="F21" s="78">
        <v>5.0000000000000001E-3</v>
      </c>
      <c r="G21" s="196">
        <f t="shared" si="16"/>
        <v>850000</v>
      </c>
      <c r="H21" s="202">
        <f t="shared" si="17"/>
        <v>845750</v>
      </c>
      <c r="I21" s="35"/>
      <c r="J21" s="39">
        <v>350000</v>
      </c>
      <c r="K21" s="39">
        <f t="shared" si="18"/>
        <v>348250</v>
      </c>
      <c r="L21" s="268"/>
      <c r="M21" s="268">
        <f t="shared" si="19"/>
        <v>0</v>
      </c>
      <c r="N21" s="81">
        <v>350000</v>
      </c>
      <c r="O21" s="81">
        <f t="shared" si="20"/>
        <v>348250</v>
      </c>
      <c r="P21" s="81">
        <v>150000</v>
      </c>
      <c r="Q21" s="92">
        <f t="shared" ref="Q21:Q22" si="24">P21*(1-F21)</f>
        <v>149250</v>
      </c>
      <c r="R21" s="75" t="s">
        <v>162</v>
      </c>
      <c r="S21" s="248"/>
      <c r="T21" s="248"/>
      <c r="U21" s="248"/>
      <c r="V21" s="248"/>
      <c r="W21" s="248"/>
      <c r="X21" s="248"/>
      <c r="Y21" s="249"/>
    </row>
    <row r="22" spans="1:25" ht="36" customHeight="1">
      <c r="A22" s="194"/>
      <c r="B22" s="2">
        <v>6</v>
      </c>
      <c r="C22" s="10" t="s">
        <v>116</v>
      </c>
      <c r="D22" s="293"/>
      <c r="E22" s="2" t="s">
        <v>31</v>
      </c>
      <c r="F22" s="200">
        <v>2.5000000000000001E-3</v>
      </c>
      <c r="G22" s="201">
        <f t="shared" si="16"/>
        <v>1000000</v>
      </c>
      <c r="H22" s="202">
        <f t="shared" si="17"/>
        <v>997500</v>
      </c>
      <c r="I22" s="35"/>
      <c r="J22" s="39">
        <v>350000</v>
      </c>
      <c r="K22" s="39">
        <f t="shared" si="18"/>
        <v>349125</v>
      </c>
      <c r="L22" s="81">
        <v>150000</v>
      </c>
      <c r="M22" s="81">
        <f t="shared" si="19"/>
        <v>149625</v>
      </c>
      <c r="N22" s="83">
        <v>350000</v>
      </c>
      <c r="O22" s="83">
        <f t="shared" si="20"/>
        <v>349125</v>
      </c>
      <c r="P22" s="83">
        <v>150000</v>
      </c>
      <c r="Q22" s="93">
        <f t="shared" si="24"/>
        <v>149625</v>
      </c>
      <c r="R22" s="75"/>
      <c r="S22" s="248"/>
      <c r="T22" s="248"/>
      <c r="U22" s="251"/>
      <c r="V22" s="251"/>
      <c r="W22" s="251"/>
      <c r="X22" s="252"/>
      <c r="Y22" s="253"/>
    </row>
    <row r="23" spans="1:25" ht="36" customHeight="1">
      <c r="A23" s="194"/>
      <c r="B23" s="2">
        <v>7</v>
      </c>
      <c r="C23" s="10" t="s">
        <v>117</v>
      </c>
      <c r="D23" s="293"/>
      <c r="E23" s="2" t="s">
        <v>31</v>
      </c>
      <c r="F23" s="78">
        <v>2.5000000000000001E-3</v>
      </c>
      <c r="G23" s="196">
        <f t="shared" si="16"/>
        <v>700000</v>
      </c>
      <c r="H23" s="202">
        <f t="shared" si="17"/>
        <v>698250</v>
      </c>
      <c r="I23" s="35"/>
      <c r="J23" s="39">
        <v>350000</v>
      </c>
      <c r="K23" s="39">
        <f t="shared" si="18"/>
        <v>349125</v>
      </c>
      <c r="L23" s="268"/>
      <c r="M23" s="268">
        <f t="shared" si="19"/>
        <v>0</v>
      </c>
      <c r="N23" s="81">
        <v>350000</v>
      </c>
      <c r="O23" s="81">
        <f t="shared" si="20"/>
        <v>349125</v>
      </c>
      <c r="P23" s="31"/>
      <c r="Q23" s="279">
        <f>P23*(1-F23)</f>
        <v>0</v>
      </c>
      <c r="R23" s="73" t="s">
        <v>159</v>
      </c>
      <c r="S23" s="248"/>
      <c r="T23" s="248"/>
      <c r="U23" s="249"/>
      <c r="V23" s="249"/>
      <c r="W23" s="249"/>
      <c r="X23" s="249"/>
      <c r="Y23" s="250"/>
    </row>
    <row r="24" spans="1:25" ht="36" customHeight="1">
      <c r="A24" s="194"/>
      <c r="B24" s="2">
        <v>8</v>
      </c>
      <c r="C24" s="10" t="s">
        <v>180</v>
      </c>
      <c r="D24" s="294"/>
      <c r="E24" s="2" t="s">
        <v>31</v>
      </c>
      <c r="F24" s="78">
        <v>5.0000000000000001E-3</v>
      </c>
      <c r="G24" s="155">
        <f>+J24+N24+P24+L24</f>
        <v>350000</v>
      </c>
      <c r="H24" s="202">
        <f>+K24+M24+O24+Q24</f>
        <v>348250</v>
      </c>
      <c r="I24" s="35"/>
      <c r="J24" s="39">
        <v>350000</v>
      </c>
      <c r="K24" s="39">
        <f t="shared" si="18"/>
        <v>348250</v>
      </c>
      <c r="L24" s="268"/>
      <c r="M24" s="268">
        <f>L24*(1-F24)</f>
        <v>0</v>
      </c>
      <c r="N24" s="268"/>
      <c r="O24" s="268">
        <f>+N24*(1-F24)</f>
        <v>0</v>
      </c>
      <c r="P24" s="31"/>
      <c r="Q24" s="279">
        <f>P24*(1-F24)</f>
        <v>0</v>
      </c>
      <c r="R24" s="73" t="s">
        <v>194</v>
      </c>
      <c r="S24" s="248"/>
      <c r="T24" s="248"/>
      <c r="U24" s="248"/>
      <c r="V24" s="248"/>
      <c r="W24" s="248"/>
      <c r="X24" s="248"/>
      <c r="Y24" s="248"/>
    </row>
    <row r="25" spans="1:25" ht="36" hidden="1" customHeight="1">
      <c r="A25" s="194"/>
      <c r="B25" s="2"/>
      <c r="C25" s="10"/>
      <c r="D25" s="2"/>
      <c r="E25" s="2"/>
      <c r="F25" s="78"/>
      <c r="G25" s="186">
        <f>+J25+N25+P25+L25</f>
        <v>0</v>
      </c>
      <c r="H25" s="202">
        <f>+K25+M25+O25+Q25</f>
        <v>0</v>
      </c>
      <c r="I25" s="35"/>
      <c r="J25" s="39"/>
      <c r="K25" s="39">
        <f>+J25*(1-F25)</f>
        <v>0</v>
      </c>
      <c r="L25" s="268"/>
      <c r="M25" s="268">
        <f>L25*(1-F25)</f>
        <v>0</v>
      </c>
      <c r="N25" s="268"/>
      <c r="O25" s="268">
        <f>+N25*(1-F25)</f>
        <v>0</v>
      </c>
      <c r="P25" s="268"/>
      <c r="Q25" s="268">
        <f>P25*(1-F25)</f>
        <v>0</v>
      </c>
      <c r="R25" s="73"/>
      <c r="S25" s="248"/>
      <c r="T25" s="248"/>
      <c r="U25" s="249"/>
      <c r="V25" s="249"/>
      <c r="W25" s="249"/>
      <c r="X25" s="249"/>
      <c r="Y25" s="250"/>
    </row>
    <row r="26" spans="1:25" ht="36" hidden="1" customHeight="1">
      <c r="A26" s="195"/>
      <c r="B26" s="2"/>
      <c r="C26" s="10"/>
      <c r="D26" s="2"/>
      <c r="E26" s="2"/>
      <c r="F26" s="78"/>
      <c r="G26" s="155">
        <f>+J26+N26+P26+L26</f>
        <v>0</v>
      </c>
      <c r="H26" s="202">
        <f>+K26+M26+O26+Q26</f>
        <v>0</v>
      </c>
      <c r="I26" s="35"/>
      <c r="J26" s="39"/>
      <c r="K26" s="39">
        <f t="shared" si="18"/>
        <v>0</v>
      </c>
      <c r="L26" s="268"/>
      <c r="M26" s="268"/>
      <c r="N26" s="268"/>
      <c r="O26" s="268">
        <f>+N26*(1-F26)</f>
        <v>0</v>
      </c>
      <c r="P26" s="31"/>
      <c r="Q26" s="279"/>
      <c r="R26" s="73"/>
      <c r="S26" s="248"/>
      <c r="T26" s="248"/>
      <c r="U26" s="248"/>
      <c r="V26" s="248"/>
      <c r="W26" s="248"/>
      <c r="X26" s="248"/>
      <c r="Y26" s="248"/>
    </row>
    <row r="27" spans="1:25" s="5" customFormat="1" ht="36" customHeight="1">
      <c r="A27" s="328" t="s">
        <v>70</v>
      </c>
      <c r="B27" s="329"/>
      <c r="C27" s="329"/>
      <c r="D27" s="329"/>
      <c r="E27" s="329"/>
      <c r="F27" s="291"/>
      <c r="G27" s="56">
        <f t="shared" ref="G27:Q27" si="25">SUM(G18:G26)</f>
        <v>4250000</v>
      </c>
      <c r="H27" s="217">
        <f>SUM(H18:H26)</f>
        <v>4233625</v>
      </c>
      <c r="I27" s="58">
        <f t="shared" si="25"/>
        <v>0</v>
      </c>
      <c r="J27" s="59">
        <f t="shared" si="25"/>
        <v>2250000</v>
      </c>
      <c r="K27" s="59">
        <f t="shared" si="25"/>
        <v>2241125</v>
      </c>
      <c r="L27" s="97">
        <f t="shared" si="25"/>
        <v>300000</v>
      </c>
      <c r="M27" s="97">
        <f t="shared" si="25"/>
        <v>298875</v>
      </c>
      <c r="N27" s="51">
        <f t="shared" si="25"/>
        <v>1400000</v>
      </c>
      <c r="O27" s="51">
        <f t="shared" si="25"/>
        <v>1394750</v>
      </c>
      <c r="P27" s="51">
        <f t="shared" si="25"/>
        <v>300000</v>
      </c>
      <c r="Q27" s="51">
        <f t="shared" si="25"/>
        <v>298875</v>
      </c>
      <c r="R27" s="52"/>
      <c r="S27" s="254"/>
      <c r="T27" s="254"/>
      <c r="U27" s="251"/>
      <c r="V27" s="251"/>
      <c r="W27" s="251"/>
      <c r="X27" s="255"/>
      <c r="Y27" s="256"/>
    </row>
    <row r="28" spans="1:25" ht="12.75" customHeight="1">
      <c r="A28" s="8"/>
      <c r="B28" s="6"/>
      <c r="C28" s="11"/>
      <c r="D28" s="6"/>
      <c r="E28" s="6"/>
      <c r="F28" s="6"/>
      <c r="G28" s="21"/>
      <c r="H28" s="238"/>
      <c r="I28" s="23"/>
      <c r="J28" s="11"/>
      <c r="K28" s="11"/>
      <c r="L28" s="11"/>
      <c r="M28" s="11"/>
      <c r="N28" s="11"/>
      <c r="O28" s="11"/>
      <c r="P28" s="227"/>
      <c r="Q28" s="228"/>
      <c r="R28" s="7"/>
      <c r="S28" s="248"/>
      <c r="T28" s="248"/>
      <c r="U28" s="249"/>
      <c r="V28" s="249"/>
      <c r="W28" s="249"/>
      <c r="X28" s="249"/>
      <c r="Y28" s="257"/>
    </row>
    <row r="29" spans="1:25" ht="36" customHeight="1">
      <c r="A29" s="330" t="s">
        <v>33</v>
      </c>
      <c r="B29" s="2">
        <v>1</v>
      </c>
      <c r="C29" s="309" t="s">
        <v>186</v>
      </c>
      <c r="D29" s="2" t="s">
        <v>187</v>
      </c>
      <c r="E29" s="308" t="s">
        <v>188</v>
      </c>
      <c r="F29" s="312">
        <v>5.0000000000000001E-3</v>
      </c>
      <c r="G29" s="196">
        <f t="shared" ref="G29:G34" si="26">+J29+N29+P29+L29</f>
        <v>296000</v>
      </c>
      <c r="H29" s="202">
        <f t="shared" ref="H29:H34" si="27">+K29+M29+O29+Q29</f>
        <v>294520</v>
      </c>
      <c r="I29" s="35"/>
      <c r="J29" s="95">
        <v>296000</v>
      </c>
      <c r="K29" s="95">
        <f>+J29*(1-F29)</f>
        <v>294520</v>
      </c>
      <c r="L29" s="280"/>
      <c r="M29" s="280">
        <f t="shared" ref="M29:M34" si="28">L29*(1-F29)</f>
        <v>0</v>
      </c>
      <c r="N29" s="281"/>
      <c r="O29" s="281">
        <f>+N29*(1-F29)</f>
        <v>0</v>
      </c>
      <c r="P29" s="268"/>
      <c r="Q29" s="268">
        <f>+P29*(1-F29)</f>
        <v>0</v>
      </c>
      <c r="R29" s="7" t="s">
        <v>193</v>
      </c>
      <c r="S29" s="248"/>
      <c r="T29" s="248"/>
      <c r="U29" s="251"/>
      <c r="V29" s="251"/>
      <c r="W29" s="251"/>
      <c r="X29" s="258"/>
      <c r="Y29" s="256"/>
    </row>
    <row r="30" spans="1:25" ht="36" customHeight="1">
      <c r="A30" s="331"/>
      <c r="B30" s="2">
        <v>2</v>
      </c>
      <c r="C30" s="310" t="s">
        <v>189</v>
      </c>
      <c r="D30" s="292" t="s">
        <v>190</v>
      </c>
      <c r="E30" s="311" t="s">
        <v>21</v>
      </c>
      <c r="F30" s="313">
        <v>5.0000000000000001E-3</v>
      </c>
      <c r="G30" s="155">
        <f t="shared" si="26"/>
        <v>400000</v>
      </c>
      <c r="H30" s="307">
        <f t="shared" si="27"/>
        <v>398000</v>
      </c>
      <c r="I30" s="206"/>
      <c r="J30" s="95">
        <v>400000</v>
      </c>
      <c r="K30" s="95">
        <f>+J30*(1-F30)</f>
        <v>398000</v>
      </c>
      <c r="L30" s="280"/>
      <c r="M30" s="280">
        <f t="shared" si="28"/>
        <v>0</v>
      </c>
      <c r="N30" s="32"/>
      <c r="O30" s="32">
        <f t="shared" ref="O30:O34" si="29">+N30*(1-F30)</f>
        <v>0</v>
      </c>
      <c r="P30" s="268"/>
      <c r="Q30" s="268">
        <f>+P30*(1-F30)</f>
        <v>0</v>
      </c>
      <c r="R30" s="73" t="s">
        <v>164</v>
      </c>
      <c r="S30" s="248"/>
      <c r="T30" s="248"/>
      <c r="U30" s="249"/>
      <c r="V30" s="249"/>
      <c r="W30" s="249"/>
      <c r="X30" s="249"/>
      <c r="Y30" s="259"/>
    </row>
    <row r="31" spans="1:25" ht="36" customHeight="1">
      <c r="A31" s="331"/>
      <c r="B31" s="2">
        <v>3</v>
      </c>
      <c r="C31" s="310" t="s">
        <v>200</v>
      </c>
      <c r="D31" s="295" t="s">
        <v>20</v>
      </c>
      <c r="E31" s="311" t="s">
        <v>201</v>
      </c>
      <c r="F31" s="313">
        <v>5.0000000000000001E-3</v>
      </c>
      <c r="G31" s="155">
        <f t="shared" ref="G31" si="30">+J31+N31+P31+L31</f>
        <v>270000</v>
      </c>
      <c r="H31" s="307">
        <f t="shared" ref="H31" si="31">+K31+M31+O31+Q31</f>
        <v>268650</v>
      </c>
      <c r="I31" s="206"/>
      <c r="J31" s="95">
        <v>270000</v>
      </c>
      <c r="K31" s="95">
        <f>+J31*(1-F31)</f>
        <v>268650</v>
      </c>
      <c r="L31" s="280"/>
      <c r="M31" s="280"/>
      <c r="N31" s="32"/>
      <c r="O31" s="32"/>
      <c r="P31" s="268"/>
      <c r="Q31" s="268"/>
      <c r="R31" s="73"/>
      <c r="S31" s="248"/>
      <c r="T31" s="248"/>
      <c r="U31" s="249"/>
      <c r="V31" s="249"/>
      <c r="W31" s="249"/>
      <c r="X31" s="249"/>
      <c r="Y31" s="259"/>
    </row>
    <row r="32" spans="1:25" ht="36" customHeight="1">
      <c r="A32" s="331"/>
      <c r="B32" s="2">
        <v>4</v>
      </c>
      <c r="C32" s="10" t="s">
        <v>19</v>
      </c>
      <c r="D32" s="2" t="s">
        <v>20</v>
      </c>
      <c r="E32" s="2" t="s">
        <v>191</v>
      </c>
      <c r="F32" s="78">
        <v>2.5000000000000001E-3</v>
      </c>
      <c r="G32" s="155">
        <f t="shared" si="26"/>
        <v>400000</v>
      </c>
      <c r="H32" s="202">
        <f t="shared" si="27"/>
        <v>399000</v>
      </c>
      <c r="I32" s="35"/>
      <c r="J32" s="95">
        <v>400000</v>
      </c>
      <c r="K32" s="95">
        <f t="shared" ref="K32:K34" si="32">+J32*(1-F32)</f>
        <v>399000</v>
      </c>
      <c r="L32" s="280"/>
      <c r="M32" s="280">
        <f t="shared" si="28"/>
        <v>0</v>
      </c>
      <c r="N32" s="32"/>
      <c r="O32" s="32">
        <f t="shared" si="29"/>
        <v>0</v>
      </c>
      <c r="P32" s="282"/>
      <c r="Q32" s="282">
        <f>+P32*(1-F32)</f>
        <v>0</v>
      </c>
      <c r="R32" s="73" t="s">
        <v>159</v>
      </c>
      <c r="S32" s="248"/>
      <c r="T32" s="248"/>
      <c r="U32" s="260"/>
      <c r="V32" s="260"/>
      <c r="W32" s="260"/>
      <c r="X32" s="261"/>
      <c r="Y32" s="256"/>
    </row>
    <row r="33" spans="1:25" ht="36" customHeight="1">
      <c r="A33" s="331"/>
      <c r="B33" s="2">
        <v>5</v>
      </c>
      <c r="C33" s="14" t="s">
        <v>22</v>
      </c>
      <c r="D33" s="292" t="s">
        <v>23</v>
      </c>
      <c r="E33" s="292" t="s">
        <v>192</v>
      </c>
      <c r="F33" s="79">
        <v>5.0000000000000001E-3</v>
      </c>
      <c r="G33" s="198">
        <f t="shared" si="26"/>
        <v>600000</v>
      </c>
      <c r="H33" s="218">
        <f t="shared" si="27"/>
        <v>597000</v>
      </c>
      <c r="I33" s="156"/>
      <c r="J33" s="99">
        <v>600000</v>
      </c>
      <c r="K33" s="99">
        <f t="shared" si="32"/>
        <v>597000</v>
      </c>
      <c r="L33" s="283"/>
      <c r="M33" s="283">
        <f t="shared" si="28"/>
        <v>0</v>
      </c>
      <c r="N33" s="284"/>
      <c r="O33" s="284">
        <f t="shared" si="29"/>
        <v>0</v>
      </c>
      <c r="P33" s="285"/>
      <c r="Q33" s="282">
        <f>+P33*(1-F33)</f>
        <v>0</v>
      </c>
      <c r="R33" s="7" t="s">
        <v>168</v>
      </c>
      <c r="S33" s="248"/>
      <c r="T33" s="248"/>
      <c r="U33" s="262"/>
      <c r="V33" s="262"/>
      <c r="W33" s="263"/>
      <c r="X33" s="264"/>
      <c r="Y33" s="256"/>
    </row>
    <row r="34" spans="1:25" ht="36" customHeight="1">
      <c r="A34" s="331"/>
      <c r="B34" s="2"/>
      <c r="C34" s="14"/>
      <c r="D34" s="292"/>
      <c r="E34" s="292"/>
      <c r="F34" s="79"/>
      <c r="G34" s="22">
        <f t="shared" si="26"/>
        <v>0</v>
      </c>
      <c r="H34" s="218">
        <f t="shared" si="27"/>
        <v>0</v>
      </c>
      <c r="I34" s="156"/>
      <c r="J34" s="175"/>
      <c r="K34" s="99">
        <f t="shared" si="32"/>
        <v>0</v>
      </c>
      <c r="L34" s="283"/>
      <c r="M34" s="283">
        <f t="shared" si="28"/>
        <v>0</v>
      </c>
      <c r="N34" s="286"/>
      <c r="O34" s="286">
        <f t="shared" si="29"/>
        <v>0</v>
      </c>
      <c r="P34" s="285"/>
      <c r="Q34" s="282">
        <f>+P34*(1-F34)</f>
        <v>0</v>
      </c>
      <c r="R34" s="205"/>
      <c r="S34" s="248"/>
      <c r="T34" s="248"/>
      <c r="U34" s="249"/>
      <c r="V34" s="249"/>
      <c r="W34" s="249"/>
      <c r="X34" s="249"/>
      <c r="Y34" s="265"/>
    </row>
    <row r="35" spans="1:25" s="5" customFormat="1" ht="36" customHeight="1" thickBot="1">
      <c r="A35" s="326" t="s">
        <v>90</v>
      </c>
      <c r="B35" s="326"/>
      <c r="C35" s="326"/>
      <c r="D35" s="326"/>
      <c r="E35" s="327"/>
      <c r="F35" s="290"/>
      <c r="G35" s="65">
        <f t="shared" ref="G35:Q35" si="33">SUM(G29:G34)</f>
        <v>1966000</v>
      </c>
      <c r="H35" s="66">
        <f t="shared" si="33"/>
        <v>1957170</v>
      </c>
      <c r="I35" s="66">
        <f t="shared" si="33"/>
        <v>0</v>
      </c>
      <c r="J35" s="101">
        <f t="shared" si="33"/>
        <v>1966000</v>
      </c>
      <c r="K35" s="101">
        <f t="shared" si="33"/>
        <v>1957170</v>
      </c>
      <c r="L35" s="101">
        <f t="shared" si="33"/>
        <v>0</v>
      </c>
      <c r="M35" s="101">
        <f t="shared" si="33"/>
        <v>0</v>
      </c>
      <c r="N35" s="102">
        <f t="shared" si="33"/>
        <v>0</v>
      </c>
      <c r="O35" s="102">
        <f t="shared" si="33"/>
        <v>0</v>
      </c>
      <c r="P35" s="102">
        <f t="shared" si="33"/>
        <v>0</v>
      </c>
      <c r="Q35" s="103">
        <f t="shared" si="33"/>
        <v>0</v>
      </c>
      <c r="R35" s="85"/>
      <c r="S35" s="254"/>
      <c r="T35" s="254"/>
      <c r="U35" s="266"/>
      <c r="V35" s="266"/>
      <c r="W35" s="266"/>
      <c r="X35" s="266"/>
      <c r="Y35" s="256"/>
    </row>
    <row r="36" spans="1:25" s="5" customFormat="1" ht="36" customHeight="1" thickTop="1" thickBot="1">
      <c r="A36" s="345" t="s">
        <v>88</v>
      </c>
      <c r="B36" s="346"/>
      <c r="C36" s="346"/>
      <c r="D36" s="346"/>
      <c r="E36" s="346"/>
      <c r="F36" s="347"/>
      <c r="G36" s="157">
        <f t="shared" ref="G36:Q36" si="34">+G35+G27+G16</f>
        <v>8446000</v>
      </c>
      <c r="H36" s="158">
        <f t="shared" si="34"/>
        <v>8414670</v>
      </c>
      <c r="I36" s="158">
        <f t="shared" si="34"/>
        <v>0</v>
      </c>
      <c r="J36" s="159">
        <f t="shared" si="34"/>
        <v>4966000</v>
      </c>
      <c r="K36" s="159">
        <f t="shared" si="34"/>
        <v>4946420</v>
      </c>
      <c r="L36" s="159">
        <f t="shared" si="34"/>
        <v>520000</v>
      </c>
      <c r="M36" s="159">
        <f t="shared" si="34"/>
        <v>518150</v>
      </c>
      <c r="N36" s="161">
        <f t="shared" si="34"/>
        <v>2300000</v>
      </c>
      <c r="O36" s="161">
        <f t="shared" si="34"/>
        <v>2292125</v>
      </c>
      <c r="P36" s="161">
        <f t="shared" si="34"/>
        <v>660000</v>
      </c>
      <c r="Q36" s="161">
        <f t="shared" si="34"/>
        <v>657975</v>
      </c>
      <c r="R36" s="162"/>
      <c r="S36" s="254"/>
      <c r="T36" s="254"/>
      <c r="U36" s="249"/>
      <c r="V36" s="249"/>
      <c r="W36" s="249"/>
      <c r="X36" s="249"/>
      <c r="Y36" s="256"/>
    </row>
    <row r="37" spans="1:25" ht="17.25" thickTop="1">
      <c r="S37" s="248"/>
      <c r="T37" s="248"/>
      <c r="U37" s="248"/>
      <c r="V37" s="248"/>
      <c r="W37" s="248"/>
      <c r="X37" s="248"/>
      <c r="Y37" s="248"/>
    </row>
    <row r="38" spans="1:25" ht="27" thickBot="1">
      <c r="A38" s="9"/>
      <c r="S38" s="248"/>
      <c r="T38" s="248"/>
      <c r="U38" s="248"/>
      <c r="V38" s="248"/>
      <c r="W38" s="248"/>
      <c r="X38" s="248"/>
      <c r="Y38" s="248"/>
    </row>
    <row r="39" spans="1:25" ht="50.25" customHeight="1" thickTop="1">
      <c r="J39" s="113" t="s">
        <v>84</v>
      </c>
      <c r="K39" s="114" t="s">
        <v>76</v>
      </c>
      <c r="L39" s="140" t="s">
        <v>81</v>
      </c>
      <c r="M39" s="147" t="s">
        <v>82</v>
      </c>
      <c r="N39" s="137">
        <v>3.3000000000000002E-2</v>
      </c>
      <c r="S39" s="248"/>
      <c r="T39" s="248"/>
      <c r="U39" s="248"/>
      <c r="V39" s="248"/>
      <c r="W39" s="248"/>
      <c r="X39" s="248"/>
      <c r="Y39" s="248"/>
    </row>
    <row r="40" spans="1:25" ht="50.25" customHeight="1">
      <c r="J40" s="117">
        <f>+J27+J16+90000+200000+135000</f>
        <v>3425000</v>
      </c>
      <c r="K40" s="3">
        <f>+K27+K16+89775+199000+134325</f>
        <v>3412350</v>
      </c>
      <c r="L40" s="141">
        <f>+K40*0.4</f>
        <v>1364940</v>
      </c>
      <c r="M40" s="4">
        <f>+K40-L40</f>
        <v>2047410</v>
      </c>
      <c r="N40" s="148">
        <f>+M40*(1-N39)</f>
        <v>1979845.47</v>
      </c>
      <c r="R40" t="s">
        <v>178</v>
      </c>
      <c r="S40" t="s">
        <v>196</v>
      </c>
      <c r="V40" t="s">
        <v>200</v>
      </c>
    </row>
    <row r="41" spans="1:25" ht="50.25" customHeight="1">
      <c r="J41" s="1" t="s">
        <v>83</v>
      </c>
      <c r="K41" s="2" t="s">
        <v>75</v>
      </c>
      <c r="L41" s="142" t="s">
        <v>80</v>
      </c>
      <c r="M41" s="149" t="s">
        <v>86</v>
      </c>
      <c r="N41" s="139"/>
      <c r="R41" t="s">
        <v>210</v>
      </c>
      <c r="S41" t="s">
        <v>197</v>
      </c>
      <c r="V41" t="s">
        <v>207</v>
      </c>
    </row>
    <row r="42" spans="1:25" ht="50.25" customHeight="1">
      <c r="J42" s="117">
        <f>+L27+N27+P27+L16+N16</f>
        <v>3120000</v>
      </c>
      <c r="K42" s="3">
        <f>+M27+O27+Q27+O16+M16</f>
        <v>3109150</v>
      </c>
      <c r="L42" s="141">
        <f>+K42*0.4</f>
        <v>1243660</v>
      </c>
      <c r="M42" s="4">
        <f>+K42-L42</f>
        <v>1865490</v>
      </c>
      <c r="N42" s="150">
        <f>+M42*(1-N39)</f>
        <v>1803928.8299999998</v>
      </c>
      <c r="Q42" s="303" t="s">
        <v>212</v>
      </c>
      <c r="R42" t="s">
        <v>211</v>
      </c>
      <c r="S42" t="s">
        <v>198</v>
      </c>
      <c r="V42" t="s">
        <v>208</v>
      </c>
    </row>
    <row r="43" spans="1:25" ht="50.25" customHeight="1">
      <c r="J43" s="1" t="s">
        <v>83</v>
      </c>
      <c r="K43" s="2" t="s">
        <v>75</v>
      </c>
      <c r="L43" s="142" t="s">
        <v>80</v>
      </c>
      <c r="M43" s="151" t="s">
        <v>85</v>
      </c>
      <c r="N43" s="139"/>
      <c r="R43" s="287" t="s">
        <v>179</v>
      </c>
      <c r="S43" s="287" t="s">
        <v>199</v>
      </c>
      <c r="V43" s="287" t="s">
        <v>209</v>
      </c>
    </row>
    <row r="44" spans="1:25" ht="50.25" customHeight="1">
      <c r="J44" s="117">
        <f>1901000</f>
        <v>1901000</v>
      </c>
      <c r="K44" s="3">
        <v>1893170</v>
      </c>
      <c r="L44" s="141">
        <f>+K44*0.5</f>
        <v>946585</v>
      </c>
      <c r="M44" s="4">
        <f>+K44-L44</f>
        <v>946585</v>
      </c>
      <c r="N44" s="152">
        <f>+M44*(1-N39)</f>
        <v>915347.69499999995</v>
      </c>
    </row>
    <row r="45" spans="1:25" ht="50.25" hidden="1" customHeight="1">
      <c r="J45" s="115" t="s">
        <v>83</v>
      </c>
      <c r="K45" s="116" t="s">
        <v>75</v>
      </c>
      <c r="L45" s="143" t="s">
        <v>80</v>
      </c>
      <c r="M45" s="153" t="s">
        <v>87</v>
      </c>
      <c r="N45" s="139"/>
    </row>
    <row r="46" spans="1:25" ht="50.25" hidden="1" customHeight="1">
      <c r="J46" s="188">
        <f>+A48</f>
        <v>0</v>
      </c>
      <c r="K46" s="189">
        <f>+B48</f>
        <v>0</v>
      </c>
      <c r="L46" s="144">
        <f>+K46*0.6</f>
        <v>0</v>
      </c>
      <c r="M46" s="190">
        <f>+K46-L46</f>
        <v>0</v>
      </c>
      <c r="N46" s="139">
        <f>+M46*(1-N41)</f>
        <v>0</v>
      </c>
    </row>
    <row r="47" spans="1:25" ht="50.25" hidden="1" customHeight="1">
      <c r="J47" s="117">
        <f>+C48</f>
        <v>0</v>
      </c>
      <c r="K47" s="3">
        <f>+D48</f>
        <v>0</v>
      </c>
      <c r="L47" s="141">
        <f>+J47*0.6</f>
        <v>0</v>
      </c>
      <c r="M47" s="4">
        <f>+K47-L47</f>
        <v>0</v>
      </c>
      <c r="N47" s="154">
        <f>+M47*(1-N39)</f>
        <v>0</v>
      </c>
    </row>
    <row r="48" spans="1:25" ht="50.25" customHeight="1">
      <c r="J48" s="121" t="s">
        <v>83</v>
      </c>
      <c r="K48" s="122" t="s">
        <v>75</v>
      </c>
      <c r="L48" s="145" t="s">
        <v>80</v>
      </c>
      <c r="M48" s="123" t="s">
        <v>88</v>
      </c>
      <c r="N48" s="139"/>
    </row>
    <row r="49" spans="10:14" ht="50.25" customHeight="1" thickBot="1">
      <c r="J49" s="118">
        <f>+J46+J44+J42+J40</f>
        <v>8446000</v>
      </c>
      <c r="K49" s="119">
        <f>+K46+K44+K42+K40</f>
        <v>8414670</v>
      </c>
      <c r="L49" s="146">
        <f>+L46+L44+L42+L40</f>
        <v>3555185</v>
      </c>
      <c r="M49" s="120">
        <f>+M46+M44+M42+M40</f>
        <v>4859485</v>
      </c>
      <c r="N49" s="139">
        <f>+M49*(1-N39)</f>
        <v>4699121.9950000001</v>
      </c>
    </row>
    <row r="50" spans="10:14" ht="50.25" customHeight="1" thickTop="1"/>
  </sheetData>
  <mergeCells count="14">
    <mergeCell ref="A36:F36"/>
    <mergeCell ref="A1:R1"/>
    <mergeCell ref="A3:A4"/>
    <mergeCell ref="B3:B4"/>
    <mergeCell ref="C3:C4"/>
    <mergeCell ref="D3:D4"/>
    <mergeCell ref="E3:E4"/>
    <mergeCell ref="J3:P3"/>
    <mergeCell ref="R3:R4"/>
    <mergeCell ref="A16:E16"/>
    <mergeCell ref="D18:D19"/>
    <mergeCell ref="A27:E27"/>
    <mergeCell ref="A29:A34"/>
    <mergeCell ref="A35:E35"/>
  </mergeCells>
  <phoneticPr fontId="1" type="noConversion"/>
  <printOptions horizontalCentered="1" verticalCentered="1"/>
  <pageMargins left="0.70866141732283472" right="0.70866141732283472" top="0" bottom="0" header="0.31496062992125984" footer="0.31496062992125984"/>
  <pageSetup paperSize="9" scale="62" orientation="landscape" verticalDpi="0" r:id="rId1"/>
  <ignoredErrors>
    <ignoredError sqref="K11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69"/>
  <sheetViews>
    <sheetView tabSelected="1" topLeftCell="A2" zoomScale="75" zoomScaleNormal="75" workbookViewId="0">
      <pane xSplit="5" ySplit="3" topLeftCell="F49" activePane="bottomRight" state="frozen"/>
      <selection activeCell="A2" sqref="A2"/>
      <selection pane="topRight" activeCell="F2" sqref="F2"/>
      <selection pane="bottomLeft" activeCell="A5" sqref="A5"/>
      <selection pane="bottomRight" activeCell="Q63" sqref="Q63"/>
    </sheetView>
  </sheetViews>
  <sheetFormatPr defaultRowHeight="16.5"/>
  <cols>
    <col min="1" max="1" width="8" customWidth="1"/>
    <col min="2" max="2" width="5.875" customWidth="1"/>
    <col min="7" max="8" width="12.5" customWidth="1"/>
    <col min="9" max="9" width="12.5" hidden="1" customWidth="1"/>
    <col min="10" max="17" width="14.625" customWidth="1"/>
    <col min="18" max="18" width="38.5" customWidth="1"/>
    <col min="21" max="22" width="16.5" customWidth="1"/>
    <col min="23" max="27" width="18.25" customWidth="1"/>
  </cols>
  <sheetData>
    <row r="1" spans="1:18" ht="33.75">
      <c r="A1" s="336" t="s">
        <v>214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  <c r="O1" s="336"/>
      <c r="P1" s="336"/>
      <c r="Q1" s="336"/>
      <c r="R1" s="336"/>
    </row>
    <row r="2" spans="1:18" ht="30.75" customHeight="1" thickBot="1">
      <c r="R2" s="46" t="s">
        <v>213</v>
      </c>
    </row>
    <row r="3" spans="1:18" ht="21.75" customHeight="1" thickTop="1">
      <c r="A3" s="337" t="s">
        <v>37</v>
      </c>
      <c r="B3" s="338" t="s">
        <v>36</v>
      </c>
      <c r="C3" s="338" t="s">
        <v>0</v>
      </c>
      <c r="D3" s="338" t="s">
        <v>2</v>
      </c>
      <c r="E3" s="338" t="s">
        <v>3</v>
      </c>
      <c r="F3" s="296" t="s">
        <v>205</v>
      </c>
      <c r="G3" s="296" t="s">
        <v>202</v>
      </c>
      <c r="H3" s="296" t="s">
        <v>77</v>
      </c>
      <c r="I3" s="296"/>
      <c r="J3" s="340" t="s">
        <v>39</v>
      </c>
      <c r="K3" s="340"/>
      <c r="L3" s="340"/>
      <c r="M3" s="340"/>
      <c r="N3" s="340"/>
      <c r="O3" s="340"/>
      <c r="P3" s="340"/>
      <c r="Q3" s="296"/>
      <c r="R3" s="343" t="s">
        <v>38</v>
      </c>
    </row>
    <row r="4" spans="1:18" ht="21.75" customHeight="1">
      <c r="A4" s="332"/>
      <c r="B4" s="339"/>
      <c r="C4" s="339"/>
      <c r="D4" s="339"/>
      <c r="E4" s="339"/>
      <c r="F4" s="297" t="s">
        <v>206</v>
      </c>
      <c r="G4" s="297" t="s">
        <v>73</v>
      </c>
      <c r="H4" s="297" t="s">
        <v>78</v>
      </c>
      <c r="I4" s="297" t="s">
        <v>94</v>
      </c>
      <c r="J4" s="13" t="s">
        <v>40</v>
      </c>
      <c r="K4" s="13" t="s">
        <v>79</v>
      </c>
      <c r="L4" s="13" t="s">
        <v>102</v>
      </c>
      <c r="M4" s="13" t="s">
        <v>79</v>
      </c>
      <c r="N4" s="13" t="s">
        <v>41</v>
      </c>
      <c r="O4" s="13" t="s">
        <v>79</v>
      </c>
      <c r="P4" s="13" t="s">
        <v>42</v>
      </c>
      <c r="Q4" s="13" t="s">
        <v>79</v>
      </c>
      <c r="R4" s="344"/>
    </row>
    <row r="5" spans="1:18" ht="36" customHeight="1">
      <c r="A5" s="193"/>
      <c r="B5" s="2">
        <v>1</v>
      </c>
      <c r="C5" s="309" t="s">
        <v>203</v>
      </c>
      <c r="D5" s="300" t="s">
        <v>28</v>
      </c>
      <c r="E5" s="308" t="s">
        <v>11</v>
      </c>
      <c r="F5" s="78">
        <v>5.0000000000000001E-3</v>
      </c>
      <c r="G5" s="202">
        <f>+J5+N5+P5+L5</f>
        <v>50000</v>
      </c>
      <c r="H5" s="202">
        <f t="shared" ref="H5" si="0">+G5*(1-F5)</f>
        <v>49750</v>
      </c>
      <c r="I5" s="37"/>
      <c r="J5" s="38"/>
      <c r="K5" s="38">
        <f t="shared" ref="K5" si="1">+J5*(1-F5)</f>
        <v>0</v>
      </c>
      <c r="L5" s="83">
        <v>50000</v>
      </c>
      <c r="M5" s="83">
        <f t="shared" ref="M5:M15" si="2">L5*(1-F5)</f>
        <v>49750</v>
      </c>
      <c r="N5" s="31"/>
      <c r="O5" s="31">
        <f t="shared" ref="O5" si="3">+N5*(1-F5)</f>
        <v>0</v>
      </c>
      <c r="P5" s="89"/>
      <c r="Q5" s="88"/>
      <c r="R5" s="199"/>
    </row>
    <row r="6" spans="1:18" ht="36" customHeight="1">
      <c r="A6" s="194" t="s">
        <v>35</v>
      </c>
      <c r="B6" s="2">
        <v>2</v>
      </c>
      <c r="C6" s="10" t="s">
        <v>27</v>
      </c>
      <c r="D6" s="301"/>
      <c r="E6" s="2" t="s">
        <v>109</v>
      </c>
      <c r="F6" s="78"/>
      <c r="G6" s="202">
        <f t="shared" ref="G6:G11" si="4">+J6+N6+P6+L6</f>
        <v>350000</v>
      </c>
      <c r="H6" s="202">
        <f>+K6+M6+O6+Q6</f>
        <v>350000</v>
      </c>
      <c r="I6" s="35"/>
      <c r="J6" s="82">
        <v>150000</v>
      </c>
      <c r="K6" s="82">
        <f>+J6*(1-F6)</f>
        <v>150000</v>
      </c>
      <c r="L6" s="83">
        <v>50000</v>
      </c>
      <c r="M6" s="83">
        <f t="shared" si="2"/>
        <v>50000</v>
      </c>
      <c r="N6" s="83">
        <v>150000</v>
      </c>
      <c r="O6" s="83">
        <f>+N6*(1-F6)</f>
        <v>150000</v>
      </c>
      <c r="P6" s="89"/>
      <c r="Q6" s="88">
        <f t="shared" ref="Q6:Q10" si="5">P6*(1-F6)</f>
        <v>0</v>
      </c>
      <c r="R6" s="73" t="s">
        <v>173</v>
      </c>
    </row>
    <row r="7" spans="1:18" ht="36" customHeight="1">
      <c r="A7" s="194"/>
      <c r="B7" s="2">
        <v>3</v>
      </c>
      <c r="C7" s="10" t="s">
        <v>48</v>
      </c>
      <c r="D7" s="191"/>
      <c r="E7" s="2" t="s">
        <v>108</v>
      </c>
      <c r="F7" s="78">
        <v>5.0000000000000001E-3</v>
      </c>
      <c r="G7" s="202">
        <f t="shared" si="4"/>
        <v>350000</v>
      </c>
      <c r="H7" s="202">
        <f t="shared" ref="H7:H10" si="6">+K7+M7+O7+Q7</f>
        <v>348250</v>
      </c>
      <c r="I7" s="37"/>
      <c r="J7" s="82">
        <v>150000</v>
      </c>
      <c r="K7" s="82">
        <f t="shared" ref="K7:K15" si="7">+J7*(1-F7)</f>
        <v>149250</v>
      </c>
      <c r="L7" s="83">
        <v>50000</v>
      </c>
      <c r="M7" s="83">
        <f t="shared" si="2"/>
        <v>49750</v>
      </c>
      <c r="N7" s="83">
        <v>150000</v>
      </c>
      <c r="O7" s="83">
        <f t="shared" ref="O7:O15" si="8">+N7*(1-F7)</f>
        <v>149250</v>
      </c>
      <c r="P7" s="89"/>
      <c r="Q7" s="88">
        <f t="shared" si="5"/>
        <v>0</v>
      </c>
      <c r="R7" s="7" t="s">
        <v>162</v>
      </c>
    </row>
    <row r="8" spans="1:18" ht="36" customHeight="1">
      <c r="A8" s="194"/>
      <c r="B8" s="2">
        <v>4</v>
      </c>
      <c r="C8" s="10" t="s">
        <v>45</v>
      </c>
      <c r="D8" s="191"/>
      <c r="E8" s="2" t="s">
        <v>108</v>
      </c>
      <c r="F8" s="78">
        <v>5.0000000000000001E-3</v>
      </c>
      <c r="G8" s="202">
        <f t="shared" si="4"/>
        <v>350000</v>
      </c>
      <c r="H8" s="202">
        <f t="shared" si="6"/>
        <v>348250</v>
      </c>
      <c r="I8" s="37"/>
      <c r="J8" s="82">
        <v>150000</v>
      </c>
      <c r="K8" s="82">
        <f t="shared" si="7"/>
        <v>149250</v>
      </c>
      <c r="L8" s="83">
        <v>50000</v>
      </c>
      <c r="M8" s="83">
        <f t="shared" si="2"/>
        <v>49750</v>
      </c>
      <c r="N8" s="83">
        <v>150000</v>
      </c>
      <c r="O8" s="83">
        <f t="shared" si="8"/>
        <v>149250</v>
      </c>
      <c r="P8" s="89"/>
      <c r="Q8" s="88">
        <f t="shared" si="5"/>
        <v>0</v>
      </c>
      <c r="R8" s="73" t="s">
        <v>159</v>
      </c>
    </row>
    <row r="9" spans="1:18" ht="36" customHeight="1">
      <c r="A9" s="194"/>
      <c r="B9" s="2">
        <v>5</v>
      </c>
      <c r="C9" s="10" t="s">
        <v>49</v>
      </c>
      <c r="D9" s="191"/>
      <c r="E9" s="2" t="s">
        <v>108</v>
      </c>
      <c r="F9" s="78">
        <v>5.0000000000000001E-3</v>
      </c>
      <c r="G9" s="202">
        <f t="shared" si="4"/>
        <v>530000</v>
      </c>
      <c r="H9" s="202">
        <f t="shared" si="6"/>
        <v>527350</v>
      </c>
      <c r="I9" s="37"/>
      <c r="J9" s="82">
        <v>150000</v>
      </c>
      <c r="K9" s="82">
        <f t="shared" si="7"/>
        <v>149250</v>
      </c>
      <c r="L9" s="83">
        <v>50000</v>
      </c>
      <c r="M9" s="83">
        <f t="shared" si="2"/>
        <v>49750</v>
      </c>
      <c r="N9" s="83">
        <v>150000</v>
      </c>
      <c r="O9" s="83">
        <f t="shared" si="8"/>
        <v>149250</v>
      </c>
      <c r="P9" s="203">
        <v>180000</v>
      </c>
      <c r="Q9" s="204">
        <f t="shared" si="5"/>
        <v>179100</v>
      </c>
      <c r="R9" s="72" t="s">
        <v>195</v>
      </c>
    </row>
    <row r="10" spans="1:18" ht="36" customHeight="1">
      <c r="A10" s="194"/>
      <c r="B10" s="2">
        <v>6</v>
      </c>
      <c r="C10" s="10" t="s">
        <v>10</v>
      </c>
      <c r="D10" s="191"/>
      <c r="E10" s="2" t="s">
        <v>108</v>
      </c>
      <c r="F10" s="78"/>
      <c r="G10" s="202">
        <f t="shared" si="4"/>
        <v>480000</v>
      </c>
      <c r="H10" s="202">
        <f t="shared" si="6"/>
        <v>480000</v>
      </c>
      <c r="I10" s="37"/>
      <c r="J10" s="82">
        <v>150000</v>
      </c>
      <c r="K10" s="82">
        <f t="shared" si="7"/>
        <v>150000</v>
      </c>
      <c r="L10" s="31"/>
      <c r="M10" s="31">
        <f t="shared" si="2"/>
        <v>0</v>
      </c>
      <c r="N10" s="83">
        <v>150000</v>
      </c>
      <c r="O10" s="83">
        <f t="shared" si="8"/>
        <v>150000</v>
      </c>
      <c r="P10" s="203">
        <v>180000</v>
      </c>
      <c r="Q10" s="204">
        <f t="shared" si="5"/>
        <v>180000</v>
      </c>
      <c r="R10" s="72" t="s">
        <v>173</v>
      </c>
    </row>
    <row r="11" spans="1:18" ht="36" customHeight="1">
      <c r="A11" s="194"/>
      <c r="B11" s="2">
        <v>7</v>
      </c>
      <c r="C11" s="10" t="s">
        <v>107</v>
      </c>
      <c r="D11" s="191"/>
      <c r="E11" s="2" t="s">
        <v>108</v>
      </c>
      <c r="F11" s="78">
        <v>5.0000000000000001E-3</v>
      </c>
      <c r="G11" s="202">
        <f t="shared" si="4"/>
        <v>150000</v>
      </c>
      <c r="H11" s="202">
        <f t="shared" ref="H11:H15" si="9">+G11*(1-F11)</f>
        <v>149250</v>
      </c>
      <c r="I11" s="37"/>
      <c r="J11" s="31"/>
      <c r="K11" s="31">
        <f t="shared" ref="K11" si="10">J11*(1-D11)</f>
        <v>0</v>
      </c>
      <c r="L11" s="31"/>
      <c r="M11" s="31">
        <f t="shared" si="2"/>
        <v>0</v>
      </c>
      <c r="N11" s="83">
        <v>150000</v>
      </c>
      <c r="O11" s="83">
        <f t="shared" si="8"/>
        <v>149250</v>
      </c>
      <c r="P11" s="89"/>
      <c r="Q11" s="88"/>
      <c r="R11" s="72" t="s">
        <v>168</v>
      </c>
    </row>
    <row r="12" spans="1:18" ht="36" hidden="1" customHeight="1">
      <c r="A12" s="194"/>
      <c r="B12" s="2"/>
      <c r="C12" s="10"/>
      <c r="D12" s="191"/>
      <c r="E12" s="2"/>
      <c r="F12" s="78"/>
      <c r="G12" s="36">
        <f>+J12+N12+P12+L12</f>
        <v>0</v>
      </c>
      <c r="H12" s="273">
        <f t="shared" si="9"/>
        <v>0</v>
      </c>
      <c r="I12" s="37"/>
      <c r="J12" s="82"/>
      <c r="K12" s="82">
        <f t="shared" si="7"/>
        <v>0</v>
      </c>
      <c r="L12" s="31"/>
      <c r="M12" s="31">
        <f t="shared" si="2"/>
        <v>0</v>
      </c>
      <c r="N12" s="83"/>
      <c r="O12" s="83">
        <f t="shared" si="8"/>
        <v>0</v>
      </c>
      <c r="P12" s="89"/>
      <c r="Q12" s="88"/>
      <c r="R12" s="199"/>
    </row>
    <row r="13" spans="1:18" ht="36" hidden="1" customHeight="1">
      <c r="A13" s="194"/>
      <c r="B13" s="2"/>
      <c r="C13" s="10"/>
      <c r="D13" s="191"/>
      <c r="E13" s="2"/>
      <c r="F13" s="78"/>
      <c r="G13" s="36">
        <f>+J13+N13+P13+L13</f>
        <v>0</v>
      </c>
      <c r="H13" s="273">
        <f t="shared" si="9"/>
        <v>0</v>
      </c>
      <c r="I13" s="37"/>
      <c r="J13" s="38"/>
      <c r="K13" s="38">
        <f t="shared" si="7"/>
        <v>0</v>
      </c>
      <c r="L13" s="83"/>
      <c r="M13" s="83"/>
      <c r="N13" s="278"/>
      <c r="O13" s="278">
        <f t="shared" si="8"/>
        <v>0</v>
      </c>
      <c r="P13" s="89"/>
      <c r="Q13" s="88"/>
      <c r="R13" s="225"/>
    </row>
    <row r="14" spans="1:18" ht="36" hidden="1" customHeight="1">
      <c r="A14" s="194"/>
      <c r="B14" s="2"/>
      <c r="C14" s="10"/>
      <c r="D14" s="191"/>
      <c r="E14" s="2"/>
      <c r="F14" s="78"/>
      <c r="G14" s="36"/>
      <c r="H14" s="36"/>
      <c r="I14" s="37"/>
      <c r="J14" s="82"/>
      <c r="K14" s="82">
        <f t="shared" si="7"/>
        <v>0</v>
      </c>
      <c r="L14" s="83"/>
      <c r="M14" s="83">
        <f t="shared" si="2"/>
        <v>0</v>
      </c>
      <c r="N14" s="83"/>
      <c r="O14" s="83">
        <f t="shared" si="8"/>
        <v>0</v>
      </c>
      <c r="P14" s="89"/>
      <c r="Q14" s="88"/>
      <c r="R14" s="72"/>
    </row>
    <row r="15" spans="1:18" ht="36" hidden="1" customHeight="1">
      <c r="A15" s="195"/>
      <c r="B15" s="2"/>
      <c r="C15" s="10"/>
      <c r="D15" s="192"/>
      <c r="E15" s="2" t="s">
        <v>11</v>
      </c>
      <c r="F15" s="2"/>
      <c r="G15" s="45">
        <f t="shared" ref="G15" si="11">+J15+N15+P15</f>
        <v>0</v>
      </c>
      <c r="H15" s="20">
        <f t="shared" si="9"/>
        <v>0</v>
      </c>
      <c r="I15" s="24">
        <f>+G15-H15</f>
        <v>0</v>
      </c>
      <c r="J15" s="84"/>
      <c r="K15" s="82">
        <f t="shared" si="7"/>
        <v>0</v>
      </c>
      <c r="L15" s="81"/>
      <c r="M15" s="83">
        <f t="shared" si="2"/>
        <v>0</v>
      </c>
      <c r="N15" s="81"/>
      <c r="O15" s="83">
        <f t="shared" si="8"/>
        <v>0</v>
      </c>
      <c r="P15" s="89"/>
      <c r="Q15" s="88">
        <f t="shared" ref="Q15" si="12">P15*(1-F15)</f>
        <v>0</v>
      </c>
      <c r="R15" s="74"/>
    </row>
    <row r="16" spans="1:18" s="5" customFormat="1" ht="36" customHeight="1">
      <c r="A16" s="328" t="s">
        <v>70</v>
      </c>
      <c r="B16" s="329"/>
      <c r="C16" s="329"/>
      <c r="D16" s="329"/>
      <c r="E16" s="329"/>
      <c r="F16" s="299"/>
      <c r="G16" s="60">
        <f>+J16+N16+P16+L16</f>
        <v>2260000</v>
      </c>
      <c r="H16" s="57">
        <f>SUM(H5:H11)</f>
        <v>2252850</v>
      </c>
      <c r="I16" s="61">
        <f t="shared" ref="I16" si="13">SUM(I6:I15)</f>
        <v>0</v>
      </c>
      <c r="J16" s="62">
        <f t="shared" ref="J16:Q16" si="14">SUM(J5:J11)</f>
        <v>750000</v>
      </c>
      <c r="K16" s="62">
        <f t="shared" si="14"/>
        <v>747750</v>
      </c>
      <c r="L16" s="267">
        <f t="shared" si="14"/>
        <v>250000</v>
      </c>
      <c r="M16" s="267">
        <f t="shared" si="14"/>
        <v>249000</v>
      </c>
      <c r="N16" s="51">
        <f t="shared" si="14"/>
        <v>900000</v>
      </c>
      <c r="O16" s="51">
        <f t="shared" si="14"/>
        <v>897000</v>
      </c>
      <c r="P16" s="277">
        <f t="shared" si="14"/>
        <v>360000</v>
      </c>
      <c r="Q16" s="277">
        <f t="shared" si="14"/>
        <v>359100</v>
      </c>
      <c r="R16" s="52"/>
    </row>
    <row r="17" spans="1:25" ht="12.75" customHeight="1">
      <c r="A17" s="8"/>
      <c r="B17" s="6"/>
      <c r="C17" s="11"/>
      <c r="D17" s="6"/>
      <c r="E17" s="6"/>
      <c r="F17" s="6"/>
      <c r="G17" s="21"/>
      <c r="H17" s="21"/>
      <c r="I17" s="23"/>
      <c r="J17" s="11"/>
      <c r="K17" s="11"/>
      <c r="L17" s="11"/>
      <c r="M17" s="11"/>
      <c r="N17" s="227"/>
      <c r="O17" s="227"/>
      <c r="P17" s="229"/>
      <c r="Q17" s="230"/>
      <c r="R17" s="7"/>
    </row>
    <row r="18" spans="1:25" ht="36" customHeight="1">
      <c r="A18" s="193" t="s">
        <v>34</v>
      </c>
      <c r="B18" s="308">
        <v>1</v>
      </c>
      <c r="C18" s="309" t="s">
        <v>174</v>
      </c>
      <c r="D18" s="300" t="s">
        <v>135</v>
      </c>
      <c r="E18" s="308" t="s">
        <v>185</v>
      </c>
      <c r="F18" s="78">
        <v>5.0000000000000001E-3</v>
      </c>
      <c r="G18" s="20">
        <f t="shared" ref="G18:G24" si="15">+J18+N18+P18+L18</f>
        <v>250000</v>
      </c>
      <c r="H18" s="202">
        <f t="shared" ref="H18:H24" si="16">+K18+M18+O18+Q18</f>
        <v>248750</v>
      </c>
      <c r="I18" s="35"/>
      <c r="J18" s="39">
        <v>250000</v>
      </c>
      <c r="K18" s="39">
        <f t="shared" ref="K18:K27" si="17">+J18*(1-F18)</f>
        <v>248750</v>
      </c>
      <c r="L18" s="176"/>
      <c r="M18" s="176">
        <f t="shared" ref="M18:M24" si="18">L18*(1-F18)</f>
        <v>0</v>
      </c>
      <c r="N18" s="31"/>
      <c r="O18" s="31">
        <f t="shared" ref="O18:O24" si="19">+N18*(1-F18)</f>
        <v>0</v>
      </c>
      <c r="P18" s="176"/>
      <c r="Q18" s="176">
        <f t="shared" ref="Q18:Q21" si="20">P18*(1-J18)</f>
        <v>0</v>
      </c>
      <c r="R18" s="7" t="s">
        <v>184</v>
      </c>
    </row>
    <row r="19" spans="1:25" ht="36" customHeight="1">
      <c r="A19" s="194"/>
      <c r="B19" s="308">
        <v>2</v>
      </c>
      <c r="C19" s="309" t="s">
        <v>183</v>
      </c>
      <c r="D19" s="191"/>
      <c r="E19" s="308" t="s">
        <v>21</v>
      </c>
      <c r="F19" s="78">
        <v>5.0000000000000001E-3</v>
      </c>
      <c r="G19" s="20">
        <f t="shared" si="15"/>
        <v>250000</v>
      </c>
      <c r="H19" s="202">
        <f t="shared" si="16"/>
        <v>248750</v>
      </c>
      <c r="I19" s="35"/>
      <c r="J19" s="39">
        <v>250000</v>
      </c>
      <c r="K19" s="39">
        <f t="shared" si="17"/>
        <v>248750</v>
      </c>
      <c r="L19" s="176"/>
      <c r="M19" s="176">
        <f t="shared" si="18"/>
        <v>0</v>
      </c>
      <c r="N19" s="31"/>
      <c r="O19" s="31">
        <f t="shared" si="19"/>
        <v>0</v>
      </c>
      <c r="P19" s="176"/>
      <c r="Q19" s="176">
        <f t="shared" si="20"/>
        <v>0</v>
      </c>
      <c r="R19" s="225" t="s">
        <v>165</v>
      </c>
      <c r="S19" s="248"/>
      <c r="T19" s="248"/>
      <c r="U19" s="248"/>
      <c r="V19" s="248"/>
      <c r="W19" s="248"/>
      <c r="X19" s="248"/>
      <c r="Y19" s="248"/>
    </row>
    <row r="20" spans="1:25" ht="36" customHeight="1">
      <c r="A20" s="194"/>
      <c r="B20" s="308">
        <v>3</v>
      </c>
      <c r="C20" s="309" t="s">
        <v>215</v>
      </c>
      <c r="D20" s="301"/>
      <c r="E20" s="308" t="s">
        <v>216</v>
      </c>
      <c r="F20" s="78"/>
      <c r="G20" s="20">
        <f t="shared" ref="G20" si="21">+J20+N20+P20+L20</f>
        <v>500000</v>
      </c>
      <c r="H20" s="202">
        <f t="shared" ref="H20" si="22">+K20+M20+O20+Q20</f>
        <v>500000</v>
      </c>
      <c r="I20" s="35"/>
      <c r="J20" s="39">
        <v>250000</v>
      </c>
      <c r="K20" s="39">
        <f t="shared" si="17"/>
        <v>250000</v>
      </c>
      <c r="L20" s="84">
        <v>250000</v>
      </c>
      <c r="M20" s="84">
        <f t="shared" si="18"/>
        <v>250000</v>
      </c>
      <c r="N20" s="31"/>
      <c r="O20" s="31"/>
      <c r="P20" s="176"/>
      <c r="Q20" s="176"/>
      <c r="R20" s="225"/>
      <c r="S20" s="248"/>
      <c r="T20" s="248"/>
      <c r="U20" s="248"/>
      <c r="V20" s="248"/>
      <c r="W20" s="248"/>
      <c r="X20" s="248"/>
      <c r="Y20" s="248"/>
    </row>
    <row r="21" spans="1:25" ht="36" customHeight="1">
      <c r="A21" s="194"/>
      <c r="B21" s="2">
        <v>4</v>
      </c>
      <c r="C21" s="10" t="s">
        <v>32</v>
      </c>
      <c r="D21" s="301"/>
      <c r="E21" s="2" t="s">
        <v>31</v>
      </c>
      <c r="F21" s="78">
        <v>5.0000000000000001E-3</v>
      </c>
      <c r="G21" s="196">
        <f t="shared" si="15"/>
        <v>850000</v>
      </c>
      <c r="H21" s="202">
        <f t="shared" si="16"/>
        <v>845750</v>
      </c>
      <c r="I21" s="35"/>
      <c r="J21" s="39">
        <v>350000</v>
      </c>
      <c r="K21" s="39">
        <f t="shared" si="17"/>
        <v>348250</v>
      </c>
      <c r="L21" s="81">
        <v>150000</v>
      </c>
      <c r="M21" s="81">
        <f t="shared" si="18"/>
        <v>149250</v>
      </c>
      <c r="N21" s="81">
        <v>350000</v>
      </c>
      <c r="O21" s="81">
        <f t="shared" si="19"/>
        <v>348250</v>
      </c>
      <c r="P21" s="176"/>
      <c r="Q21" s="176">
        <f t="shared" si="20"/>
        <v>0</v>
      </c>
      <c r="R21" s="73" t="s">
        <v>167</v>
      </c>
      <c r="S21" s="248"/>
      <c r="T21" s="248"/>
      <c r="U21" s="249"/>
      <c r="V21" s="249"/>
      <c r="W21" s="249"/>
      <c r="X21" s="249"/>
      <c r="Y21" s="250"/>
    </row>
    <row r="22" spans="1:25" ht="36" customHeight="1">
      <c r="A22" s="194"/>
      <c r="B22" s="2">
        <v>5</v>
      </c>
      <c r="C22" s="10" t="s">
        <v>13</v>
      </c>
      <c r="D22" s="301"/>
      <c r="E22" s="2" t="s">
        <v>31</v>
      </c>
      <c r="F22" s="78">
        <v>5.0000000000000001E-3</v>
      </c>
      <c r="G22" s="196">
        <f t="shared" si="15"/>
        <v>850000</v>
      </c>
      <c r="H22" s="202">
        <f t="shared" si="16"/>
        <v>845750</v>
      </c>
      <c r="I22" s="35"/>
      <c r="J22" s="39">
        <v>350000</v>
      </c>
      <c r="K22" s="39">
        <f t="shared" si="17"/>
        <v>348250</v>
      </c>
      <c r="L22" s="268"/>
      <c r="M22" s="268">
        <f t="shared" si="18"/>
        <v>0</v>
      </c>
      <c r="N22" s="81">
        <v>350000</v>
      </c>
      <c r="O22" s="81">
        <f t="shared" si="19"/>
        <v>348250</v>
      </c>
      <c r="P22" s="81">
        <v>150000</v>
      </c>
      <c r="Q22" s="92">
        <f t="shared" ref="Q22:Q23" si="23">P22*(1-F22)</f>
        <v>149250</v>
      </c>
      <c r="R22" s="75" t="s">
        <v>162</v>
      </c>
      <c r="S22" s="248"/>
      <c r="T22" s="248"/>
      <c r="U22" s="248"/>
      <c r="V22" s="248"/>
      <c r="W22" s="248"/>
      <c r="X22" s="248"/>
      <c r="Y22" s="249"/>
    </row>
    <row r="23" spans="1:25" ht="36" customHeight="1">
      <c r="A23" s="194"/>
      <c r="B23" s="2">
        <v>6</v>
      </c>
      <c r="C23" s="10" t="s">
        <v>116</v>
      </c>
      <c r="D23" s="301"/>
      <c r="E23" s="2" t="s">
        <v>31</v>
      </c>
      <c r="F23" s="200">
        <v>5.0000000000000001E-3</v>
      </c>
      <c r="G23" s="201">
        <f t="shared" si="15"/>
        <v>1000000</v>
      </c>
      <c r="H23" s="202">
        <f t="shared" si="16"/>
        <v>995000</v>
      </c>
      <c r="I23" s="35"/>
      <c r="J23" s="39">
        <v>350000</v>
      </c>
      <c r="K23" s="39">
        <f t="shared" si="17"/>
        <v>348250</v>
      </c>
      <c r="L23" s="81">
        <v>150000</v>
      </c>
      <c r="M23" s="81">
        <f t="shared" si="18"/>
        <v>149250</v>
      </c>
      <c r="N23" s="83">
        <v>350000</v>
      </c>
      <c r="O23" s="83">
        <f t="shared" si="19"/>
        <v>348250</v>
      </c>
      <c r="P23" s="83">
        <v>150000</v>
      </c>
      <c r="Q23" s="93">
        <f t="shared" si="23"/>
        <v>149250</v>
      </c>
      <c r="R23" s="75"/>
      <c r="S23" s="248"/>
      <c r="T23" s="248"/>
      <c r="U23" s="251"/>
      <c r="V23" s="251"/>
      <c r="W23" s="251"/>
      <c r="X23" s="252"/>
      <c r="Y23" s="253"/>
    </row>
    <row r="24" spans="1:25" ht="36" customHeight="1">
      <c r="A24" s="194"/>
      <c r="B24" s="2">
        <v>7</v>
      </c>
      <c r="C24" s="10" t="s">
        <v>117</v>
      </c>
      <c r="D24" s="301"/>
      <c r="E24" s="2" t="s">
        <v>31</v>
      </c>
      <c r="F24" s="78">
        <v>5.0000000000000001E-3</v>
      </c>
      <c r="G24" s="196">
        <f t="shared" si="15"/>
        <v>700000</v>
      </c>
      <c r="H24" s="202">
        <f t="shared" si="16"/>
        <v>696500</v>
      </c>
      <c r="I24" s="35"/>
      <c r="J24" s="39">
        <v>350000</v>
      </c>
      <c r="K24" s="39">
        <f t="shared" si="17"/>
        <v>348250</v>
      </c>
      <c r="L24" s="268"/>
      <c r="M24" s="268">
        <f t="shared" si="18"/>
        <v>0</v>
      </c>
      <c r="N24" s="81">
        <v>350000</v>
      </c>
      <c r="O24" s="81">
        <f t="shared" si="19"/>
        <v>348250</v>
      </c>
      <c r="P24" s="31"/>
      <c r="Q24" s="279">
        <f>P24*(1-F24)</f>
        <v>0</v>
      </c>
      <c r="R24" s="73" t="s">
        <v>159</v>
      </c>
      <c r="S24" s="248"/>
      <c r="T24" s="248"/>
      <c r="U24" s="249"/>
      <c r="V24" s="249"/>
      <c r="W24" s="249"/>
      <c r="X24" s="249"/>
      <c r="Y24" s="250"/>
    </row>
    <row r="25" spans="1:25" ht="36" customHeight="1">
      <c r="A25" s="194"/>
      <c r="B25" s="2">
        <v>8</v>
      </c>
      <c r="C25" s="10" t="s">
        <v>180</v>
      </c>
      <c r="D25" s="302"/>
      <c r="E25" s="2" t="s">
        <v>31</v>
      </c>
      <c r="F25" s="78">
        <v>5.0000000000000001E-3</v>
      </c>
      <c r="G25" s="155">
        <f>+J25+N25+P25+L25</f>
        <v>350000</v>
      </c>
      <c r="H25" s="202">
        <f>+K25+M25+O25+Q25</f>
        <v>348250</v>
      </c>
      <c r="I25" s="35"/>
      <c r="J25" s="39">
        <v>350000</v>
      </c>
      <c r="K25" s="39">
        <f t="shared" si="17"/>
        <v>348250</v>
      </c>
      <c r="L25" s="268"/>
      <c r="M25" s="268">
        <f>L25*(1-F25)</f>
        <v>0</v>
      </c>
      <c r="N25" s="268"/>
      <c r="O25" s="268">
        <f>+N25*(1-F25)</f>
        <v>0</v>
      </c>
      <c r="P25" s="31"/>
      <c r="Q25" s="279">
        <f>P25*(1-F25)</f>
        <v>0</v>
      </c>
      <c r="R25" s="73" t="s">
        <v>194</v>
      </c>
      <c r="S25" s="248"/>
      <c r="T25" s="248"/>
      <c r="U25" s="248"/>
      <c r="V25" s="248"/>
      <c r="W25" s="248"/>
      <c r="X25" s="248"/>
      <c r="Y25" s="248"/>
    </row>
    <row r="26" spans="1:25" ht="36" hidden="1" customHeight="1">
      <c r="A26" s="194"/>
      <c r="B26" s="2"/>
      <c r="C26" s="10"/>
      <c r="D26" s="2"/>
      <c r="E26" s="2"/>
      <c r="F26" s="78"/>
      <c r="G26" s="186">
        <f>+J26+N26+P26+L26</f>
        <v>0</v>
      </c>
      <c r="H26" s="202">
        <f>+K26+M26+O26+Q26</f>
        <v>0</v>
      </c>
      <c r="I26" s="35"/>
      <c r="J26" s="39"/>
      <c r="K26" s="39">
        <f>+J26*(1-F26)</f>
        <v>0</v>
      </c>
      <c r="L26" s="268"/>
      <c r="M26" s="268">
        <f>L26*(1-F26)</f>
        <v>0</v>
      </c>
      <c r="N26" s="268"/>
      <c r="O26" s="268">
        <f>+N26*(1-F26)</f>
        <v>0</v>
      </c>
      <c r="P26" s="268"/>
      <c r="Q26" s="268">
        <f>P26*(1-F26)</f>
        <v>0</v>
      </c>
      <c r="R26" s="73"/>
      <c r="S26" s="248"/>
      <c r="T26" s="248"/>
      <c r="U26" s="249"/>
      <c r="V26" s="249"/>
      <c r="W26" s="249"/>
      <c r="X26" s="249"/>
      <c r="Y26" s="250"/>
    </row>
    <row r="27" spans="1:25" ht="36" hidden="1" customHeight="1">
      <c r="A27" s="195"/>
      <c r="B27" s="2"/>
      <c r="C27" s="10"/>
      <c r="D27" s="2"/>
      <c r="E27" s="2"/>
      <c r="F27" s="78"/>
      <c r="G27" s="155">
        <f>+J27+N27+P27+L27</f>
        <v>0</v>
      </c>
      <c r="H27" s="202">
        <f>+K27+M27+O27+Q27</f>
        <v>0</v>
      </c>
      <c r="I27" s="35"/>
      <c r="J27" s="39"/>
      <c r="K27" s="39">
        <f t="shared" si="17"/>
        <v>0</v>
      </c>
      <c r="L27" s="268"/>
      <c r="M27" s="268"/>
      <c r="N27" s="268"/>
      <c r="O27" s="268">
        <f>+N27*(1-F27)</f>
        <v>0</v>
      </c>
      <c r="P27" s="31"/>
      <c r="Q27" s="279"/>
      <c r="R27" s="73"/>
      <c r="S27" s="248"/>
      <c r="T27" s="248"/>
      <c r="U27" s="248"/>
      <c r="V27" s="248"/>
      <c r="W27" s="248"/>
      <c r="X27" s="248"/>
      <c r="Y27" s="248"/>
    </row>
    <row r="28" spans="1:25" s="5" customFormat="1" ht="36" customHeight="1">
      <c r="A28" s="328" t="s">
        <v>70</v>
      </c>
      <c r="B28" s="329"/>
      <c r="C28" s="329"/>
      <c r="D28" s="329"/>
      <c r="E28" s="329"/>
      <c r="F28" s="299"/>
      <c r="G28" s="56">
        <f t="shared" ref="G28:Q28" si="24">SUM(G18:G27)</f>
        <v>4750000</v>
      </c>
      <c r="H28" s="217">
        <f>SUM(H18:H27)</f>
        <v>4728750</v>
      </c>
      <c r="I28" s="58">
        <f t="shared" si="24"/>
        <v>0</v>
      </c>
      <c r="J28" s="59">
        <f t="shared" si="24"/>
        <v>2500000</v>
      </c>
      <c r="K28" s="59">
        <f t="shared" si="24"/>
        <v>2488750</v>
      </c>
      <c r="L28" s="97">
        <f t="shared" si="24"/>
        <v>550000</v>
      </c>
      <c r="M28" s="97">
        <f t="shared" si="24"/>
        <v>548500</v>
      </c>
      <c r="N28" s="51">
        <f t="shared" si="24"/>
        <v>1400000</v>
      </c>
      <c r="O28" s="51">
        <f t="shared" si="24"/>
        <v>1393000</v>
      </c>
      <c r="P28" s="51">
        <f t="shared" si="24"/>
        <v>300000</v>
      </c>
      <c r="Q28" s="51">
        <f t="shared" si="24"/>
        <v>298500</v>
      </c>
      <c r="R28" s="52"/>
      <c r="S28" s="254"/>
      <c r="T28" s="254"/>
      <c r="U28" s="251"/>
      <c r="V28" s="251"/>
      <c r="W28" s="251"/>
      <c r="X28" s="255"/>
      <c r="Y28" s="256"/>
    </row>
    <row r="29" spans="1:25" ht="12.75" customHeight="1">
      <c r="A29" s="8"/>
      <c r="B29" s="6"/>
      <c r="C29" s="11"/>
      <c r="D29" s="6"/>
      <c r="E29" s="6"/>
      <c r="F29" s="6"/>
      <c r="G29" s="21"/>
      <c r="H29" s="238"/>
      <c r="I29" s="23"/>
      <c r="J29" s="11"/>
      <c r="K29" s="11"/>
      <c r="L29" s="11"/>
      <c r="M29" s="11"/>
      <c r="N29" s="11"/>
      <c r="O29" s="11"/>
      <c r="P29" s="227"/>
      <c r="Q29" s="228"/>
      <c r="R29" s="7"/>
      <c r="S29" s="248"/>
      <c r="T29" s="248"/>
      <c r="U29" s="249"/>
      <c r="V29" s="249"/>
      <c r="W29" s="249"/>
      <c r="X29" s="249"/>
      <c r="Y29" s="257"/>
    </row>
    <row r="30" spans="1:25" ht="36" customHeight="1">
      <c r="A30" s="330" t="s">
        <v>33</v>
      </c>
      <c r="B30" s="2">
        <v>1</v>
      </c>
      <c r="C30" s="309" t="s">
        <v>186</v>
      </c>
      <c r="D30" s="10" t="s">
        <v>187</v>
      </c>
      <c r="E30" s="308" t="s">
        <v>188</v>
      </c>
      <c r="F30" s="78">
        <v>5.0000000000000001E-3</v>
      </c>
      <c r="G30" s="196">
        <f t="shared" ref="G30:G35" si="25">+J30+N30+P30+L30</f>
        <v>380000</v>
      </c>
      <c r="H30" s="202">
        <f t="shared" ref="H30:H35" si="26">+K30+M30+O30+Q30</f>
        <v>378100</v>
      </c>
      <c r="I30" s="35"/>
      <c r="J30" s="95">
        <v>380000</v>
      </c>
      <c r="K30" s="95">
        <f>+J30*(1-F30)</f>
        <v>378100</v>
      </c>
      <c r="L30" s="280"/>
      <c r="M30" s="280">
        <f t="shared" ref="M30:M35" si="27">L30*(1-F30)</f>
        <v>0</v>
      </c>
      <c r="N30" s="281"/>
      <c r="O30" s="281">
        <f>+N30*(1-F30)</f>
        <v>0</v>
      </c>
      <c r="P30" s="268"/>
      <c r="Q30" s="268">
        <f>+P30*(1-F30)</f>
        <v>0</v>
      </c>
      <c r="R30" s="7" t="s">
        <v>193</v>
      </c>
      <c r="S30" s="248"/>
      <c r="T30" s="248"/>
      <c r="U30" s="251"/>
      <c r="V30" s="251"/>
      <c r="W30" s="251"/>
      <c r="X30" s="258"/>
      <c r="Y30" s="256"/>
    </row>
    <row r="31" spans="1:25" ht="36" customHeight="1">
      <c r="A31" s="331"/>
      <c r="B31" s="2">
        <v>2</v>
      </c>
      <c r="C31" s="310" t="s">
        <v>189</v>
      </c>
      <c r="D31" s="300" t="s">
        <v>190</v>
      </c>
      <c r="E31" s="311" t="s">
        <v>21</v>
      </c>
      <c r="F31" s="79">
        <v>5.0000000000000001E-3</v>
      </c>
      <c r="G31" s="155">
        <f t="shared" si="25"/>
        <v>400000</v>
      </c>
      <c r="H31" s="307">
        <f t="shared" si="26"/>
        <v>398000</v>
      </c>
      <c r="I31" s="206"/>
      <c r="J31" s="95">
        <v>400000</v>
      </c>
      <c r="K31" s="95">
        <f>+J31*(1-F31)</f>
        <v>398000</v>
      </c>
      <c r="L31" s="280"/>
      <c r="M31" s="280">
        <f t="shared" si="27"/>
        <v>0</v>
      </c>
      <c r="N31" s="32"/>
      <c r="O31" s="32">
        <f t="shared" ref="O31:O35" si="28">+N31*(1-F31)</f>
        <v>0</v>
      </c>
      <c r="P31" s="268"/>
      <c r="Q31" s="268">
        <f>+P31*(1-F31)</f>
        <v>0</v>
      </c>
      <c r="R31" s="73" t="s">
        <v>164</v>
      </c>
      <c r="S31" s="248"/>
      <c r="T31" s="248"/>
      <c r="U31" s="249"/>
      <c r="V31" s="249"/>
      <c r="W31" s="249"/>
      <c r="X31" s="249"/>
      <c r="Y31" s="259"/>
    </row>
    <row r="32" spans="1:25" ht="36" customHeight="1">
      <c r="A32" s="331"/>
      <c r="B32" s="2">
        <v>3</v>
      </c>
      <c r="C32" s="310" t="s">
        <v>200</v>
      </c>
      <c r="D32" s="300" t="s">
        <v>20</v>
      </c>
      <c r="E32" s="311" t="s">
        <v>9</v>
      </c>
      <c r="F32" s="79">
        <v>5.0000000000000001E-3</v>
      </c>
      <c r="G32" s="155">
        <f t="shared" si="25"/>
        <v>400000</v>
      </c>
      <c r="H32" s="307">
        <f t="shared" si="26"/>
        <v>398000</v>
      </c>
      <c r="I32" s="206"/>
      <c r="J32" s="95">
        <v>400000</v>
      </c>
      <c r="K32" s="95">
        <f>+J32*(1-F32)</f>
        <v>398000</v>
      </c>
      <c r="L32" s="280"/>
      <c r="M32" s="280"/>
      <c r="N32" s="32"/>
      <c r="O32" s="32"/>
      <c r="P32" s="268"/>
      <c r="Q32" s="268"/>
      <c r="R32" s="73"/>
      <c r="S32" s="248"/>
      <c r="T32" s="248"/>
      <c r="U32" s="249"/>
      <c r="V32" s="249"/>
      <c r="W32" s="249"/>
      <c r="X32" s="249"/>
      <c r="Y32" s="259"/>
    </row>
    <row r="33" spans="1:25" ht="36" customHeight="1">
      <c r="A33" s="331"/>
      <c r="B33" s="2">
        <v>4</v>
      </c>
      <c r="C33" s="10" t="s">
        <v>19</v>
      </c>
      <c r="D33" s="2" t="s">
        <v>20</v>
      </c>
      <c r="E33" s="2" t="s">
        <v>191</v>
      </c>
      <c r="F33" s="78">
        <v>5.0000000000000001E-3</v>
      </c>
      <c r="G33" s="155">
        <f t="shared" si="25"/>
        <v>400000</v>
      </c>
      <c r="H33" s="202">
        <f t="shared" si="26"/>
        <v>398000</v>
      </c>
      <c r="I33" s="35"/>
      <c r="J33" s="95">
        <v>400000</v>
      </c>
      <c r="K33" s="95">
        <f t="shared" ref="K33:K35" si="29">+J33*(1-F33)</f>
        <v>398000</v>
      </c>
      <c r="L33" s="280"/>
      <c r="M33" s="280">
        <f t="shared" si="27"/>
        <v>0</v>
      </c>
      <c r="N33" s="32"/>
      <c r="O33" s="32">
        <f t="shared" si="28"/>
        <v>0</v>
      </c>
      <c r="P33" s="282"/>
      <c r="Q33" s="282">
        <f>+P33*(1-F33)</f>
        <v>0</v>
      </c>
      <c r="R33" s="73" t="s">
        <v>159</v>
      </c>
      <c r="S33" s="248"/>
      <c r="T33" s="248"/>
      <c r="U33" s="260"/>
      <c r="V33" s="260"/>
      <c r="W33" s="260"/>
      <c r="X33" s="261"/>
      <c r="Y33" s="256"/>
    </row>
    <row r="34" spans="1:25" ht="36" customHeight="1">
      <c r="A34" s="331"/>
      <c r="B34" s="2">
        <v>5</v>
      </c>
      <c r="C34" s="14" t="s">
        <v>22</v>
      </c>
      <c r="D34" s="300" t="s">
        <v>23</v>
      </c>
      <c r="E34" s="300" t="s">
        <v>192</v>
      </c>
      <c r="F34" s="79">
        <v>5.0000000000000001E-3</v>
      </c>
      <c r="G34" s="198">
        <f t="shared" si="25"/>
        <v>400000</v>
      </c>
      <c r="H34" s="218">
        <f t="shared" si="26"/>
        <v>398000</v>
      </c>
      <c r="I34" s="156"/>
      <c r="J34" s="99">
        <v>400000</v>
      </c>
      <c r="K34" s="99">
        <f t="shared" si="29"/>
        <v>398000</v>
      </c>
      <c r="L34" s="283"/>
      <c r="M34" s="283">
        <f t="shared" si="27"/>
        <v>0</v>
      </c>
      <c r="N34" s="284"/>
      <c r="O34" s="284">
        <f t="shared" si="28"/>
        <v>0</v>
      </c>
      <c r="P34" s="285"/>
      <c r="Q34" s="282">
        <f>+P34*(1-F34)</f>
        <v>0</v>
      </c>
      <c r="R34" s="7" t="s">
        <v>168</v>
      </c>
      <c r="S34" s="248"/>
      <c r="T34" s="248"/>
      <c r="U34" s="262"/>
      <c r="V34" s="262"/>
      <c r="W34" s="263"/>
      <c r="X34" s="264"/>
      <c r="Y34" s="256"/>
    </row>
    <row r="35" spans="1:25" ht="36" hidden="1" customHeight="1">
      <c r="A35" s="331"/>
      <c r="B35" s="2"/>
      <c r="C35" s="14"/>
      <c r="D35" s="300"/>
      <c r="E35" s="300"/>
      <c r="F35" s="79"/>
      <c r="G35" s="22">
        <f t="shared" si="25"/>
        <v>0</v>
      </c>
      <c r="H35" s="218">
        <f t="shared" si="26"/>
        <v>0</v>
      </c>
      <c r="I35" s="156"/>
      <c r="J35" s="175"/>
      <c r="K35" s="99">
        <f t="shared" si="29"/>
        <v>0</v>
      </c>
      <c r="L35" s="283"/>
      <c r="M35" s="283">
        <f t="shared" si="27"/>
        <v>0</v>
      </c>
      <c r="N35" s="286"/>
      <c r="O35" s="286">
        <f t="shared" si="28"/>
        <v>0</v>
      </c>
      <c r="P35" s="285"/>
      <c r="Q35" s="282">
        <f>+P35*(1-F35)</f>
        <v>0</v>
      </c>
      <c r="R35" s="205"/>
      <c r="S35" s="248"/>
      <c r="T35" s="248"/>
      <c r="U35" s="249"/>
      <c r="V35" s="249"/>
      <c r="W35" s="249"/>
      <c r="X35" s="249"/>
      <c r="Y35" s="265"/>
    </row>
    <row r="36" spans="1:25" s="5" customFormat="1" ht="36" customHeight="1" thickBot="1">
      <c r="A36" s="326" t="s">
        <v>90</v>
      </c>
      <c r="B36" s="326"/>
      <c r="C36" s="326"/>
      <c r="D36" s="326"/>
      <c r="E36" s="327"/>
      <c r="F36" s="298"/>
      <c r="G36" s="65">
        <f t="shared" ref="G36:Q36" si="30">SUM(G30:G35)</f>
        <v>1980000</v>
      </c>
      <c r="H36" s="66">
        <f t="shared" si="30"/>
        <v>1970100</v>
      </c>
      <c r="I36" s="66">
        <f t="shared" si="30"/>
        <v>0</v>
      </c>
      <c r="J36" s="101">
        <f t="shared" si="30"/>
        <v>1980000</v>
      </c>
      <c r="K36" s="101">
        <f t="shared" si="30"/>
        <v>1970100</v>
      </c>
      <c r="L36" s="101">
        <f t="shared" si="30"/>
        <v>0</v>
      </c>
      <c r="M36" s="101">
        <f t="shared" si="30"/>
        <v>0</v>
      </c>
      <c r="N36" s="102">
        <f t="shared" si="30"/>
        <v>0</v>
      </c>
      <c r="O36" s="102">
        <f t="shared" si="30"/>
        <v>0</v>
      </c>
      <c r="P36" s="102">
        <f t="shared" si="30"/>
        <v>0</v>
      </c>
      <c r="Q36" s="103">
        <f t="shared" si="30"/>
        <v>0</v>
      </c>
      <c r="R36" s="85"/>
      <c r="S36" s="254"/>
      <c r="T36" s="254"/>
      <c r="U36" s="266"/>
      <c r="V36" s="266"/>
      <c r="W36" s="266"/>
      <c r="X36" s="266"/>
      <c r="Y36" s="256"/>
    </row>
    <row r="37" spans="1:25" s="5" customFormat="1" ht="36" customHeight="1" thickTop="1" thickBot="1">
      <c r="A37" s="345" t="s">
        <v>88</v>
      </c>
      <c r="B37" s="346"/>
      <c r="C37" s="346"/>
      <c r="D37" s="346"/>
      <c r="E37" s="346"/>
      <c r="F37" s="347"/>
      <c r="G37" s="157">
        <f t="shared" ref="G37:Q37" si="31">+G36+G28+G16</f>
        <v>8990000</v>
      </c>
      <c r="H37" s="158">
        <f t="shared" si="31"/>
        <v>8951700</v>
      </c>
      <c r="I37" s="158">
        <f t="shared" si="31"/>
        <v>0</v>
      </c>
      <c r="J37" s="159">
        <f t="shared" si="31"/>
        <v>5230000</v>
      </c>
      <c r="K37" s="159">
        <f t="shared" si="31"/>
        <v>5206600</v>
      </c>
      <c r="L37" s="159">
        <f t="shared" si="31"/>
        <v>800000</v>
      </c>
      <c r="M37" s="159">
        <f t="shared" si="31"/>
        <v>797500</v>
      </c>
      <c r="N37" s="161">
        <f t="shared" si="31"/>
        <v>2300000</v>
      </c>
      <c r="O37" s="161">
        <f t="shared" si="31"/>
        <v>2290000</v>
      </c>
      <c r="P37" s="161">
        <f t="shared" si="31"/>
        <v>660000</v>
      </c>
      <c r="Q37" s="161">
        <f t="shared" si="31"/>
        <v>657600</v>
      </c>
      <c r="R37" s="162"/>
      <c r="S37" s="254"/>
      <c r="T37" s="254"/>
      <c r="U37" s="249"/>
      <c r="V37" s="249"/>
      <c r="W37" s="249"/>
      <c r="X37" s="249"/>
      <c r="Y37" s="256"/>
    </row>
    <row r="38" spans="1:25" ht="17.25" thickTop="1">
      <c r="S38" s="248"/>
      <c r="T38" s="248"/>
      <c r="U38" s="248"/>
      <c r="V38" s="248"/>
      <c r="W38" s="248"/>
      <c r="X38" s="248"/>
      <c r="Y38" s="248"/>
    </row>
    <row r="39" spans="1:25" ht="27" thickBot="1">
      <c r="A39" s="9"/>
      <c r="S39" s="248"/>
      <c r="T39" s="248"/>
      <c r="U39" s="248"/>
      <c r="V39" s="248"/>
      <c r="W39" s="248"/>
      <c r="X39" s="248"/>
      <c r="Y39" s="248"/>
    </row>
    <row r="40" spans="1:25" ht="50.25" customHeight="1" thickTop="1">
      <c r="J40" s="113" t="s">
        <v>84</v>
      </c>
      <c r="K40" s="114" t="s">
        <v>76</v>
      </c>
      <c r="L40" s="140" t="s">
        <v>81</v>
      </c>
      <c r="M40" s="147" t="s">
        <v>82</v>
      </c>
      <c r="N40" s="137">
        <v>3.3000000000000002E-2</v>
      </c>
      <c r="S40" s="248"/>
      <c r="T40" s="248"/>
      <c r="U40" s="248"/>
      <c r="V40" s="248"/>
      <c r="W40" s="248"/>
      <c r="X40" s="248"/>
      <c r="Y40" s="248"/>
    </row>
    <row r="41" spans="1:25" ht="50.25" customHeight="1">
      <c r="J41" s="117">
        <v>3770000</v>
      </c>
      <c r="K41" s="3">
        <f>+K28+K16+89775+199000+134325</f>
        <v>3659600</v>
      </c>
      <c r="L41" s="141">
        <f>+K41*0.4</f>
        <v>1463840</v>
      </c>
      <c r="M41" s="4">
        <f>+K41-L41</f>
        <v>2195760</v>
      </c>
      <c r="N41" s="148">
        <f>+M41*(1-N40)</f>
        <v>2123299.92</v>
      </c>
      <c r="R41" t="s">
        <v>178</v>
      </c>
      <c r="S41" t="s">
        <v>196</v>
      </c>
      <c r="V41" t="s">
        <v>200</v>
      </c>
    </row>
    <row r="42" spans="1:25" ht="50.25" customHeight="1">
      <c r="J42" s="1" t="s">
        <v>83</v>
      </c>
      <c r="K42" s="2" t="s">
        <v>75</v>
      </c>
      <c r="L42" s="142" t="s">
        <v>80</v>
      </c>
      <c r="M42" s="149" t="s">
        <v>86</v>
      </c>
      <c r="N42" s="139"/>
      <c r="R42" t="s">
        <v>217</v>
      </c>
      <c r="S42" t="s">
        <v>220</v>
      </c>
      <c r="V42" t="s">
        <v>220</v>
      </c>
    </row>
    <row r="43" spans="1:25" ht="50.25" customHeight="1">
      <c r="J43" s="117">
        <f>+L28+N28+P28+L16+N16</f>
        <v>3400000</v>
      </c>
      <c r="K43" s="3">
        <f>+M28+O28+Q28+O16+M16</f>
        <v>3386000</v>
      </c>
      <c r="L43" s="141">
        <f>+K43*0.4</f>
        <v>1354400</v>
      </c>
      <c r="M43" s="4">
        <f>+K43-L43</f>
        <v>2031600</v>
      </c>
      <c r="N43" s="150">
        <f>+M43*(1-N40)</f>
        <v>1964557.2</v>
      </c>
      <c r="Q43" s="303"/>
      <c r="R43" t="s">
        <v>218</v>
      </c>
      <c r="S43" t="s">
        <v>221</v>
      </c>
      <c r="V43" t="s">
        <v>222</v>
      </c>
    </row>
    <row r="44" spans="1:25" ht="50.25" customHeight="1">
      <c r="J44" s="1" t="s">
        <v>83</v>
      </c>
      <c r="K44" s="2" t="s">
        <v>75</v>
      </c>
      <c r="L44" s="142" t="s">
        <v>80</v>
      </c>
      <c r="M44" s="151" t="s">
        <v>85</v>
      </c>
      <c r="N44" s="139"/>
      <c r="R44" s="287" t="s">
        <v>219</v>
      </c>
      <c r="S44" s="287" t="s">
        <v>224</v>
      </c>
      <c r="V44" s="287" t="s">
        <v>223</v>
      </c>
    </row>
    <row r="45" spans="1:25" ht="50.25" customHeight="1">
      <c r="J45" s="117">
        <v>1820000</v>
      </c>
      <c r="K45" s="3">
        <v>1893170</v>
      </c>
      <c r="L45" s="141">
        <f>+K45*0.5</f>
        <v>946585</v>
      </c>
      <c r="M45" s="4">
        <f>+K45-L45</f>
        <v>946585</v>
      </c>
      <c r="N45" s="152">
        <f>+M45*(1-N40)</f>
        <v>915347.69499999995</v>
      </c>
    </row>
    <row r="46" spans="1:25" ht="50.25" hidden="1" customHeight="1">
      <c r="J46" s="115" t="s">
        <v>83</v>
      </c>
      <c r="K46" s="116" t="s">
        <v>75</v>
      </c>
      <c r="L46" s="143" t="s">
        <v>80</v>
      </c>
      <c r="M46" s="153" t="s">
        <v>87</v>
      </c>
      <c r="N46" s="139"/>
    </row>
    <row r="47" spans="1:25" ht="50.25" hidden="1" customHeight="1">
      <c r="J47" s="188">
        <f>+A49</f>
        <v>0</v>
      </c>
      <c r="K47" s="189">
        <f>+B49</f>
        <v>0</v>
      </c>
      <c r="L47" s="144">
        <f>+K47*0.6</f>
        <v>0</v>
      </c>
      <c r="M47" s="190">
        <f>+K47-L47</f>
        <v>0</v>
      </c>
      <c r="N47" s="139">
        <f>+M47*(1-N42)</f>
        <v>0</v>
      </c>
    </row>
    <row r="48" spans="1:25" ht="50.25" hidden="1" customHeight="1">
      <c r="J48" s="117">
        <f>+C49</f>
        <v>0</v>
      </c>
      <c r="K48" s="3">
        <f>+D49</f>
        <v>0</v>
      </c>
      <c r="L48" s="141">
        <f>+J48*0.6</f>
        <v>0</v>
      </c>
      <c r="M48" s="4">
        <f>+K48-L48</f>
        <v>0</v>
      </c>
      <c r="N48" s="154">
        <f>+M48*(1-N40)</f>
        <v>0</v>
      </c>
    </row>
    <row r="49" spans="1:18" ht="50.25" customHeight="1">
      <c r="J49" s="121" t="s">
        <v>83</v>
      </c>
      <c r="K49" s="122" t="s">
        <v>75</v>
      </c>
      <c r="L49" s="145" t="s">
        <v>80</v>
      </c>
      <c r="M49" s="123" t="s">
        <v>88</v>
      </c>
      <c r="N49" s="139"/>
    </row>
    <row r="50" spans="1:18" ht="50.25" customHeight="1" thickBot="1">
      <c r="J50" s="118">
        <f>+J47+J45+J43+J41</f>
        <v>8990000</v>
      </c>
      <c r="K50" s="119">
        <f>+K47+K45+K43+K41</f>
        <v>8938770</v>
      </c>
      <c r="L50" s="146">
        <f>+L47+L45+L43+L41</f>
        <v>3764825</v>
      </c>
      <c r="M50" s="120">
        <f>+M47+M45+M43+M41</f>
        <v>5173945</v>
      </c>
      <c r="N50" s="139">
        <f>+M50*(1-N40)</f>
        <v>5003204.8149999995</v>
      </c>
    </row>
    <row r="51" spans="1:18" ht="50.25" customHeight="1" thickTop="1"/>
    <row r="52" spans="1:18" ht="50.25" customHeight="1"/>
    <row r="53" spans="1:18" ht="50.25" customHeight="1">
      <c r="A53" s="336" t="s">
        <v>225</v>
      </c>
      <c r="B53" s="336"/>
      <c r="C53" s="336"/>
      <c r="D53" s="336"/>
      <c r="E53" s="336"/>
      <c r="F53" s="336"/>
      <c r="G53" s="336"/>
      <c r="H53" s="336"/>
      <c r="I53" s="336"/>
      <c r="J53" s="336"/>
      <c r="K53" s="336"/>
      <c r="L53" s="336"/>
      <c r="M53" s="336"/>
      <c r="N53" s="336"/>
      <c r="O53" s="336"/>
      <c r="P53" s="336"/>
      <c r="Q53" s="336"/>
      <c r="R53" s="336"/>
    </row>
    <row r="54" spans="1:18" ht="34.5" customHeight="1" thickBot="1"/>
    <row r="55" spans="1:18" ht="28.5" customHeight="1" thickTop="1">
      <c r="A55" s="337" t="s">
        <v>37</v>
      </c>
      <c r="B55" s="338" t="s">
        <v>36</v>
      </c>
      <c r="C55" s="338" t="s">
        <v>0</v>
      </c>
      <c r="D55" s="338" t="s">
        <v>228</v>
      </c>
      <c r="E55" s="338" t="s">
        <v>229</v>
      </c>
      <c r="F55" s="305" t="s">
        <v>205</v>
      </c>
      <c r="G55" s="305" t="s">
        <v>230</v>
      </c>
      <c r="H55" s="305" t="s">
        <v>77</v>
      </c>
      <c r="I55" s="305"/>
      <c r="J55" s="340" t="s">
        <v>39</v>
      </c>
      <c r="K55" s="340"/>
      <c r="L55" s="340"/>
      <c r="M55" s="340"/>
      <c r="N55" s="340"/>
      <c r="O55" s="340"/>
      <c r="P55" s="340"/>
      <c r="Q55" s="305"/>
      <c r="R55" s="343" t="s">
        <v>38</v>
      </c>
    </row>
    <row r="56" spans="1:18" ht="28.5" customHeight="1">
      <c r="A56" s="332"/>
      <c r="B56" s="339"/>
      <c r="C56" s="339"/>
      <c r="D56" s="339"/>
      <c r="E56" s="339"/>
      <c r="F56" s="306" t="s">
        <v>206</v>
      </c>
      <c r="G56" s="306" t="s">
        <v>73</v>
      </c>
      <c r="H56" s="306" t="s">
        <v>78</v>
      </c>
      <c r="I56" s="306" t="s">
        <v>94</v>
      </c>
      <c r="J56" s="13" t="s">
        <v>226</v>
      </c>
      <c r="K56" s="13" t="s">
        <v>79</v>
      </c>
      <c r="L56" s="13" t="s">
        <v>227</v>
      </c>
      <c r="M56" s="13" t="s">
        <v>79</v>
      </c>
      <c r="N56" s="13"/>
      <c r="O56" s="13" t="s">
        <v>79</v>
      </c>
      <c r="P56" s="13"/>
      <c r="Q56" s="13" t="s">
        <v>79</v>
      </c>
      <c r="R56" s="344"/>
    </row>
    <row r="57" spans="1:18" ht="28.5" customHeight="1">
      <c r="A57" s="193"/>
      <c r="B57" s="2">
        <v>1</v>
      </c>
      <c r="C57" s="319" t="s">
        <v>231</v>
      </c>
      <c r="D57" s="320" t="s">
        <v>243</v>
      </c>
      <c r="E57" s="321" t="s">
        <v>232</v>
      </c>
      <c r="F57" s="200">
        <v>5.0000000000000001E-3</v>
      </c>
      <c r="G57" s="202">
        <f>+J57+N57+P57+L57</f>
        <v>200000</v>
      </c>
      <c r="H57" s="202">
        <f t="shared" ref="H57" si="32">+G57*(1-F57)</f>
        <v>199000</v>
      </c>
      <c r="I57" s="37"/>
      <c r="J57" s="82">
        <v>200000</v>
      </c>
      <c r="K57" s="82">
        <f t="shared" ref="K57" si="33">+J57*(1-F57)</f>
        <v>199000</v>
      </c>
      <c r="L57" s="83"/>
      <c r="M57" s="83">
        <f t="shared" ref="M57:M64" si="34">L57*(1-F57)</f>
        <v>0</v>
      </c>
      <c r="N57" s="83"/>
      <c r="O57" s="83">
        <f t="shared" ref="O57" si="35">+N57*(1-F57)</f>
        <v>0</v>
      </c>
      <c r="P57" s="324"/>
      <c r="Q57" s="325"/>
      <c r="R57" s="199"/>
    </row>
    <row r="58" spans="1:18" ht="28.5" customHeight="1">
      <c r="A58" s="194"/>
      <c r="B58" s="2">
        <v>2</v>
      </c>
      <c r="C58" s="319" t="s">
        <v>237</v>
      </c>
      <c r="D58" s="322" t="s">
        <v>244</v>
      </c>
      <c r="E58" s="321" t="s">
        <v>242</v>
      </c>
      <c r="F58" s="200">
        <v>5.0000000000000001E-3</v>
      </c>
      <c r="G58" s="202">
        <f t="shared" ref="G58:G63" si="36">+J58+N58+P58+L58</f>
        <v>200000</v>
      </c>
      <c r="H58" s="202">
        <f>+K58+M58+O58+Q58</f>
        <v>199000</v>
      </c>
      <c r="I58" s="35"/>
      <c r="J58" s="82">
        <v>200000</v>
      </c>
      <c r="K58" s="82">
        <f>+J58*(1-F58)</f>
        <v>199000</v>
      </c>
      <c r="L58" s="83"/>
      <c r="M58" s="83">
        <f t="shared" si="34"/>
        <v>0</v>
      </c>
      <c r="N58" s="83"/>
      <c r="O58" s="83">
        <f>+N58*(1-F58)</f>
        <v>0</v>
      </c>
      <c r="P58" s="324"/>
      <c r="Q58" s="325">
        <f t="shared" ref="Q58:Q62" si="37">P58*(1-F58)</f>
        <v>0</v>
      </c>
      <c r="R58" s="73"/>
    </row>
    <row r="59" spans="1:18" ht="28.5" customHeight="1">
      <c r="A59" s="194"/>
      <c r="B59" s="2">
        <v>3</v>
      </c>
      <c r="C59" s="319" t="s">
        <v>233</v>
      </c>
      <c r="D59" s="322" t="s">
        <v>245</v>
      </c>
      <c r="E59" s="321" t="s">
        <v>232</v>
      </c>
      <c r="F59" s="200">
        <v>5.0000000000000001E-3</v>
      </c>
      <c r="G59" s="202">
        <f t="shared" si="36"/>
        <v>200000</v>
      </c>
      <c r="H59" s="202">
        <f t="shared" ref="H59:H62" si="38">+K59+M59+O59+Q59</f>
        <v>199000</v>
      </c>
      <c r="I59" s="37"/>
      <c r="J59" s="82">
        <v>200000</v>
      </c>
      <c r="K59" s="82">
        <f t="shared" ref="K59:K63" si="39">+J59*(1-F59)</f>
        <v>199000</v>
      </c>
      <c r="L59" s="83"/>
      <c r="M59" s="83">
        <f t="shared" si="34"/>
        <v>0</v>
      </c>
      <c r="N59" s="83"/>
      <c r="O59" s="83">
        <f t="shared" ref="O59:O67" si="40">+N59*(1-F59)</f>
        <v>0</v>
      </c>
      <c r="P59" s="324"/>
      <c r="Q59" s="325">
        <f t="shared" si="37"/>
        <v>0</v>
      </c>
      <c r="R59" s="7"/>
    </row>
    <row r="60" spans="1:18" ht="28.5" customHeight="1">
      <c r="A60" s="194"/>
      <c r="B60" s="2">
        <v>4</v>
      </c>
      <c r="C60" s="319" t="s">
        <v>239</v>
      </c>
      <c r="D60" s="322" t="s">
        <v>246</v>
      </c>
      <c r="E60" s="321" t="s">
        <v>232</v>
      </c>
      <c r="F60" s="200">
        <v>5.0000000000000001E-3</v>
      </c>
      <c r="G60" s="202">
        <f t="shared" si="36"/>
        <v>300000</v>
      </c>
      <c r="H60" s="202">
        <f t="shared" si="38"/>
        <v>298500</v>
      </c>
      <c r="I60" s="37"/>
      <c r="J60" s="82">
        <v>300000</v>
      </c>
      <c r="K60" s="82">
        <f t="shared" si="39"/>
        <v>298500</v>
      </c>
      <c r="L60" s="83"/>
      <c r="M60" s="83">
        <f t="shared" si="34"/>
        <v>0</v>
      </c>
      <c r="N60" s="83"/>
      <c r="O60" s="83">
        <f t="shared" si="40"/>
        <v>0</v>
      </c>
      <c r="P60" s="324"/>
      <c r="Q60" s="325">
        <f t="shared" si="37"/>
        <v>0</v>
      </c>
      <c r="R60" s="73"/>
    </row>
    <row r="61" spans="1:18" ht="28.5" customHeight="1">
      <c r="A61" s="194"/>
      <c r="B61" s="2"/>
      <c r="C61" s="319"/>
      <c r="D61" s="322"/>
      <c r="E61" s="321"/>
      <c r="F61" s="200"/>
      <c r="G61" s="202">
        <f t="shared" si="36"/>
        <v>0</v>
      </c>
      <c r="H61" s="202">
        <f t="shared" si="38"/>
        <v>0</v>
      </c>
      <c r="I61" s="37"/>
      <c r="J61" s="82"/>
      <c r="K61" s="82">
        <f t="shared" si="39"/>
        <v>0</v>
      </c>
      <c r="L61" s="83"/>
      <c r="M61" s="83">
        <f t="shared" si="34"/>
        <v>0</v>
      </c>
      <c r="N61" s="83"/>
      <c r="O61" s="83">
        <f t="shared" si="40"/>
        <v>0</v>
      </c>
      <c r="P61" s="203"/>
      <c r="Q61" s="204">
        <f t="shared" si="37"/>
        <v>0</v>
      </c>
      <c r="R61" s="72"/>
    </row>
    <row r="62" spans="1:18" ht="28.5" customHeight="1">
      <c r="A62" s="194"/>
      <c r="B62" s="2">
        <v>5</v>
      </c>
      <c r="C62" s="319" t="s">
        <v>234</v>
      </c>
      <c r="D62" s="322" t="s">
        <v>238</v>
      </c>
      <c r="E62" s="321" t="s">
        <v>240</v>
      </c>
      <c r="F62" s="200">
        <v>5.0000000000000001E-3</v>
      </c>
      <c r="G62" s="202">
        <f t="shared" si="36"/>
        <v>200000</v>
      </c>
      <c r="H62" s="202">
        <f t="shared" si="38"/>
        <v>199000</v>
      </c>
      <c r="I62" s="37"/>
      <c r="J62" s="82"/>
      <c r="K62" s="82">
        <f t="shared" si="39"/>
        <v>0</v>
      </c>
      <c r="L62" s="83">
        <v>200000</v>
      </c>
      <c r="M62" s="83">
        <f t="shared" si="34"/>
        <v>199000</v>
      </c>
      <c r="N62" s="83"/>
      <c r="O62" s="83">
        <f t="shared" si="40"/>
        <v>0</v>
      </c>
      <c r="P62" s="203"/>
      <c r="Q62" s="204">
        <f t="shared" si="37"/>
        <v>0</v>
      </c>
      <c r="R62" s="72"/>
    </row>
    <row r="63" spans="1:18" ht="28.5" customHeight="1">
      <c r="A63" s="194"/>
      <c r="B63" s="2">
        <v>6</v>
      </c>
      <c r="C63" s="319" t="s">
        <v>235</v>
      </c>
      <c r="D63" s="322" t="s">
        <v>238</v>
      </c>
      <c r="E63" s="321" t="s">
        <v>241</v>
      </c>
      <c r="F63" s="200">
        <v>5.0000000000000001E-3</v>
      </c>
      <c r="G63" s="202">
        <f t="shared" si="36"/>
        <v>200000</v>
      </c>
      <c r="H63" s="202">
        <f t="shared" ref="H63:H65" si="41">+G63*(1-F63)</f>
        <v>199000</v>
      </c>
      <c r="I63" s="37"/>
      <c r="J63" s="83"/>
      <c r="K63" s="82">
        <f t="shared" si="39"/>
        <v>0</v>
      </c>
      <c r="L63" s="83">
        <v>200000</v>
      </c>
      <c r="M63" s="83">
        <f t="shared" si="34"/>
        <v>199000</v>
      </c>
      <c r="N63" s="83"/>
      <c r="O63" s="83">
        <f t="shared" si="40"/>
        <v>0</v>
      </c>
      <c r="P63" s="324"/>
      <c r="Q63" s="325"/>
      <c r="R63" s="72"/>
    </row>
    <row r="64" spans="1:18" ht="28.5" customHeight="1">
      <c r="A64" s="194"/>
      <c r="B64" s="2">
        <v>7</v>
      </c>
      <c r="C64" s="319" t="s">
        <v>236</v>
      </c>
      <c r="D64" s="322" t="s">
        <v>238</v>
      </c>
      <c r="E64" s="321" t="s">
        <v>241</v>
      </c>
      <c r="F64" s="200">
        <v>5.0000000000000001E-3</v>
      </c>
      <c r="G64" s="202">
        <f>+J64+N64+P64+L64</f>
        <v>200000</v>
      </c>
      <c r="H64" s="202">
        <f t="shared" si="41"/>
        <v>199000</v>
      </c>
      <c r="I64" s="37"/>
      <c r="J64" s="82"/>
      <c r="K64" s="82">
        <f t="shared" ref="K64:K67" si="42">+J64*(1-F64)</f>
        <v>0</v>
      </c>
      <c r="L64" s="83">
        <v>200000</v>
      </c>
      <c r="M64" s="83">
        <f t="shared" si="34"/>
        <v>199000</v>
      </c>
      <c r="N64" s="83"/>
      <c r="O64" s="83">
        <f t="shared" si="40"/>
        <v>0</v>
      </c>
      <c r="P64" s="324"/>
      <c r="Q64" s="325"/>
      <c r="R64" s="199"/>
    </row>
    <row r="65" spans="1:18" ht="28.5" customHeight="1">
      <c r="A65" s="194"/>
      <c r="B65" s="2"/>
      <c r="C65" s="319"/>
      <c r="D65" s="323"/>
      <c r="E65" s="321"/>
      <c r="F65" s="200"/>
      <c r="G65" s="202">
        <f>+J65+N65+P65+L65</f>
        <v>0</v>
      </c>
      <c r="H65" s="202">
        <f t="shared" si="41"/>
        <v>0</v>
      </c>
      <c r="I65" s="37"/>
      <c r="J65" s="82"/>
      <c r="K65" s="82">
        <f t="shared" si="42"/>
        <v>0</v>
      </c>
      <c r="L65" s="83"/>
      <c r="M65" s="83"/>
      <c r="N65" s="83"/>
      <c r="O65" s="83">
        <f t="shared" si="40"/>
        <v>0</v>
      </c>
      <c r="P65" s="324"/>
      <c r="Q65" s="325"/>
      <c r="R65" s="225"/>
    </row>
    <row r="66" spans="1:18" ht="28.5" customHeight="1">
      <c r="A66" s="194"/>
      <c r="B66" s="2"/>
      <c r="C66" s="319"/>
      <c r="D66" s="323"/>
      <c r="E66" s="321"/>
      <c r="F66" s="200"/>
      <c r="G66" s="202"/>
      <c r="H66" s="202"/>
      <c r="I66" s="37"/>
      <c r="J66" s="82"/>
      <c r="K66" s="82">
        <f t="shared" si="42"/>
        <v>0</v>
      </c>
      <c r="L66" s="83"/>
      <c r="M66" s="83">
        <f t="shared" ref="M66:M67" si="43">L66*(1-F66)</f>
        <v>0</v>
      </c>
      <c r="N66" s="83"/>
      <c r="O66" s="83">
        <f t="shared" si="40"/>
        <v>0</v>
      </c>
      <c r="P66" s="324"/>
      <c r="Q66" s="325"/>
      <c r="R66" s="72"/>
    </row>
    <row r="67" spans="1:18" ht="28.5" customHeight="1">
      <c r="A67" s="195"/>
      <c r="B67" s="2"/>
      <c r="C67" s="10"/>
      <c r="D67" s="192"/>
      <c r="E67" s="2"/>
      <c r="F67" s="2"/>
      <c r="G67" s="45">
        <f t="shared" ref="G67" si="44">+J67+N67+P67</f>
        <v>0</v>
      </c>
      <c r="H67" s="20">
        <f t="shared" ref="H67" si="45">+G67*(1-F67)</f>
        <v>0</v>
      </c>
      <c r="I67" s="24">
        <f>+G67-H67</f>
        <v>0</v>
      </c>
      <c r="J67" s="84"/>
      <c r="K67" s="82">
        <f t="shared" si="42"/>
        <v>0</v>
      </c>
      <c r="L67" s="81"/>
      <c r="M67" s="83">
        <f t="shared" si="43"/>
        <v>0</v>
      </c>
      <c r="N67" s="81"/>
      <c r="O67" s="83">
        <f t="shared" si="40"/>
        <v>0</v>
      </c>
      <c r="P67" s="324"/>
      <c r="Q67" s="325">
        <f t="shared" ref="Q67" si="46">P67*(1-F67)</f>
        <v>0</v>
      </c>
      <c r="R67" s="74"/>
    </row>
    <row r="68" spans="1:18" ht="28.5" customHeight="1" thickBot="1">
      <c r="A68" s="349" t="s">
        <v>70</v>
      </c>
      <c r="B68" s="326"/>
      <c r="C68" s="326"/>
      <c r="D68" s="326"/>
      <c r="E68" s="326"/>
      <c r="F68" s="304"/>
      <c r="G68" s="314">
        <f>+J68+N68+P68+L68</f>
        <v>1300000</v>
      </c>
      <c r="H68" s="66">
        <f>SUM(H57:H63)</f>
        <v>1293500</v>
      </c>
      <c r="I68" s="315">
        <f t="shared" ref="I68" si="47">SUM(I58:I67)</f>
        <v>0</v>
      </c>
      <c r="J68" s="316">
        <f>SUM(J57:J64)</f>
        <v>900000</v>
      </c>
      <c r="K68" s="316">
        <f t="shared" ref="K68:Q68" si="48">SUM(K57:K63)</f>
        <v>895500</v>
      </c>
      <c r="L68" s="317">
        <f t="shared" si="48"/>
        <v>400000</v>
      </c>
      <c r="M68" s="317">
        <f t="shared" si="48"/>
        <v>398000</v>
      </c>
      <c r="N68" s="70">
        <f t="shared" si="48"/>
        <v>0</v>
      </c>
      <c r="O68" s="70">
        <f t="shared" si="48"/>
        <v>0</v>
      </c>
      <c r="P68" s="318">
        <f t="shared" si="48"/>
        <v>0</v>
      </c>
      <c r="Q68" s="318">
        <f t="shared" si="48"/>
        <v>0</v>
      </c>
      <c r="R68" s="85"/>
    </row>
    <row r="69" spans="1:18" ht="17.25" thickTop="1"/>
  </sheetData>
  <mergeCells count="22">
    <mergeCell ref="A16:E16"/>
    <mergeCell ref="A28:E28"/>
    <mergeCell ref="A30:A35"/>
    <mergeCell ref="A36:E36"/>
    <mergeCell ref="A37:F37"/>
    <mergeCell ref="A1:R1"/>
    <mergeCell ref="A3:A4"/>
    <mergeCell ref="B3:B4"/>
    <mergeCell ref="C3:C4"/>
    <mergeCell ref="D3:D4"/>
    <mergeCell ref="E3:E4"/>
    <mergeCell ref="J3:P3"/>
    <mergeCell ref="R3:R4"/>
    <mergeCell ref="J55:P55"/>
    <mergeCell ref="R55:R56"/>
    <mergeCell ref="A68:E68"/>
    <mergeCell ref="A53:R53"/>
    <mergeCell ref="A55:A56"/>
    <mergeCell ref="B55:B56"/>
    <mergeCell ref="C55:C56"/>
    <mergeCell ref="D55:D56"/>
    <mergeCell ref="E55:E56"/>
  </mergeCells>
  <phoneticPr fontId="1" type="noConversion"/>
  <printOptions horizontalCentered="1" verticalCentered="1"/>
  <pageMargins left="0.70866141732283472" right="0.70866141732283472" top="0" bottom="0" header="0.31496062992125984" footer="0.31496062992125984"/>
  <pageSetup paperSize="9" scale="62" orientation="landscape" verticalDpi="0" r:id="rId1"/>
  <ignoredErrors>
    <ignoredError sqref="K1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수업료현황</vt:lpstr>
      <vt:lpstr>total</vt:lpstr>
      <vt:lpstr>11월정산</vt:lpstr>
      <vt:lpstr>12월정산</vt:lpstr>
      <vt:lpstr>23.01</vt:lpstr>
      <vt:lpstr>23.02</vt:lpstr>
      <vt:lpstr>23.03</vt:lpstr>
      <vt:lpstr>23.04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2022-11-29T09:54:13Z</cp:lastPrinted>
  <dcterms:created xsi:type="dcterms:W3CDTF">2022-11-14T06:08:27Z</dcterms:created>
  <dcterms:modified xsi:type="dcterms:W3CDTF">2023-03-29T10:20:54Z</dcterms:modified>
</cp:coreProperties>
</file>