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fall" sheetId="1" r:id="rId4"/>
    <sheet state="visible" name="Retainer Breakdown" sheetId="2" r:id="rId5"/>
    <sheet state="visible" name="For Estimate Doc" sheetId="3" r:id="rId6"/>
  </sheets>
  <definedNames/>
  <calcPr/>
</workbook>
</file>

<file path=xl/sharedStrings.xml><?xml version="1.0" encoding="utf-8"?>
<sst xmlns="http://schemas.openxmlformats.org/spreadsheetml/2006/main" count="70" uniqueCount="51">
  <si>
    <t xml:space="preserve">Cost Breakdown Calculator: </t>
  </si>
  <si>
    <t xml:space="preserve">Total Price: </t>
  </si>
  <si>
    <t>Developer Cost:</t>
  </si>
  <si>
    <t>RETAINER?</t>
  </si>
  <si>
    <t xml:space="preserve">MONTHS </t>
  </si>
  <si>
    <t>Company Profit:</t>
  </si>
  <si>
    <t>Price Calculator</t>
  </si>
  <si>
    <t>Payment Term Percents</t>
  </si>
  <si>
    <t>Service</t>
  </si>
  <si>
    <t>Cost</t>
  </si>
  <si>
    <t>Price</t>
  </si>
  <si>
    <t>Profit</t>
  </si>
  <si>
    <t>Markup</t>
  </si>
  <si>
    <t>Margin</t>
  </si>
  <si>
    <t>&gt;          &gt;      Edit &gt; Here &gt; Only &gt;     &gt;          &gt;</t>
  </si>
  <si>
    <t>Client</t>
  </si>
  <si>
    <t>Dev</t>
  </si>
  <si>
    <t>Company</t>
  </si>
  <si>
    <t xml:space="preserve">Comm 1 </t>
  </si>
  <si>
    <t xml:space="preserve">Comm 2 </t>
  </si>
  <si>
    <t xml:space="preserve">Comm 3 </t>
  </si>
  <si>
    <t>Totals</t>
  </si>
  <si>
    <t>Markup % Calculator</t>
  </si>
  <si>
    <r>
      <rPr>
        <rFont val="Montserrat"/>
        <b/>
        <color theme="1"/>
        <sz val="14.0"/>
      </rPr>
      <t>Payment Term Amounts (</t>
    </r>
    <r>
      <rPr>
        <rFont val="Montserrat"/>
        <b/>
        <i/>
        <color theme="1"/>
        <sz val="14.0"/>
      </rPr>
      <t>total</t>
    </r>
    <r>
      <rPr>
        <rFont val="Montserrat"/>
        <b/>
        <color theme="1"/>
        <sz val="14.0"/>
      </rPr>
      <t>)</t>
    </r>
  </si>
  <si>
    <t xml:space="preserve">Monthly Price: </t>
  </si>
  <si>
    <t>Monthly Dev Cost:</t>
  </si>
  <si>
    <t>Monthly Comp Prof:</t>
  </si>
  <si>
    <t>Retainer Breakdown (by month)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</si>
  <si>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</si>
  <si>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</si>
  <si>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</si>
  <si>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</si>
  <si>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</si>
  <si>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</si>
  <si>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</si>
  <si>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</si>
  <si>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</si>
  <si>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</si>
  <si>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</si>
  <si>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</si>
  <si>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</si>
  <si>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</si>
  <si>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</si>
  <si>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</si>
  <si>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(Running Price)</t>
  </si>
  <si>
    <t>Dev Cost</t>
  </si>
  <si>
    <t>(Running Dev Cost)</t>
  </si>
  <si>
    <t>(Running Profit)</t>
  </si>
  <si>
    <t>Month</t>
  </si>
  <si>
    <t>Total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</si>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</sst>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9">
    <font>
      <sz val="10.0"/>
      <color rgb="FF000000"/>
      <name val="Arial"/>
      <scheme val="minor"/>
    </font>
    <font>
      <color theme="1"/>
      <name val="Montserrat"/>
    </font>
    <font>
      <b/>
      <sz val="16.0"/>
      <color rgb="FFFFFFFF"/>
      <name val="Montserrat"/>
    </font>
    <font/>
    <font>
      <sz val="16.0"/>
      <color theme="1"/>
      <name val="Montserrat"/>
    </font>
    <font>
      <b/>
      <sz val="12.0"/>
      <color rgb="FFFFFFFF"/>
      <name val="Montserrat"/>
    </font>
    <font>
      <b/>
      <sz val="16.0"/>
      <color rgb="FF666666"/>
      <name val="Montserrat"/>
    </font>
    <font>
      <b/>
      <sz val="18.0"/>
      <color theme="1"/>
      <name val="Montserrat"/>
    </font>
    <font>
      <b/>
      <sz val="14.0"/>
      <color theme="1"/>
      <name val="Montserrat"/>
    </font>
    <font>
      <b/>
      <color theme="1"/>
      <name val="Montserrat"/>
    </font>
    <font>
      <b/>
      <sz val="12.0"/>
      <color theme="1"/>
      <name val="Montserrat"/>
    </font>
    <font>
      <color theme="1"/>
      <name val="Arial"/>
    </font>
    <font>
      <b/>
      <sz val="11.0"/>
      <color theme="1"/>
      <name val="Montserrat"/>
    </font>
    <font>
      <sz val="14.0"/>
      <color theme="1"/>
      <name val="Montserrat"/>
    </font>
    <font>
      <b/>
      <i/>
      <sz val="16.0"/>
      <color rgb="FFFFFFFF"/>
      <name val="Montserrat"/>
    </font>
    <font>
      <sz val="10.0"/>
      <color theme="1"/>
      <name val="Montserrat"/>
    </font>
    <font>
      <sz val="10.0"/>
      <color rgb="FF999999"/>
      <name val="Montserrat"/>
    </font>
    <font>
      <color theme="1"/>
      <name val="Arial"/>
      <scheme val="minor"/>
    </font>
    <font>
      <color rgb="FF666666"/>
      <name val="Montserrat"/>
    </font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7FBFF"/>
        <bgColor rgb="FFF7FBFF"/>
      </patternFill>
    </fill>
    <fill>
      <patternFill patternType="solid">
        <fgColor rgb="FFFFFFFF"/>
        <bgColor rgb="FFFFFFFF"/>
      </patternFill>
    </fill>
    <fill>
      <patternFill patternType="solid">
        <fgColor rgb="FFFEFEFF"/>
        <bgColor rgb="FFFEFEFF"/>
      </patternFill>
    </fill>
    <fill>
      <patternFill patternType="solid">
        <fgColor rgb="FF434343"/>
        <bgColor rgb="FF434343"/>
      </patternFill>
    </fill>
  </fills>
  <borders count="132">
    <border/>
    <border>
      <left style="medium">
        <color rgb="FFF7FBFF"/>
      </left>
      <top style="medium">
        <color rgb="FFF7FBFF"/>
      </top>
      <bottom style="medium">
        <color rgb="FFF7FBFF"/>
      </bottom>
    </border>
    <border>
      <top style="medium">
        <color rgb="FFF7FBFF"/>
      </top>
      <bottom style="medium">
        <color rgb="FFF7FBFF"/>
      </bottom>
    </border>
    <border>
      <right style="thick">
        <color rgb="FFF7FBFF"/>
      </right>
      <top style="medium">
        <color rgb="FFF7FBFF"/>
      </top>
      <bottom style="medium">
        <color rgb="FFF7FBFF"/>
      </bottom>
    </border>
    <border>
      <right style="medium">
        <color rgb="FFF7FBFF"/>
      </right>
      <top style="medium">
        <color rgb="FFF7FBFF"/>
      </top>
      <bottom style="medium">
        <color rgb="FFF7FBFF"/>
      </bottom>
    </border>
    <border>
      <left style="medium">
        <color rgb="FFF7FBFF"/>
      </left>
      <top style="medium">
        <color rgb="FFF7FBFF"/>
      </top>
    </border>
    <border>
      <top style="medium">
        <color rgb="FFF7FBFF"/>
      </top>
    </border>
    <border>
      <right style="medium">
        <color rgb="FFF7FBFF"/>
      </right>
      <top style="medium">
        <color rgb="FFF7FBFF"/>
      </top>
    </border>
    <border>
      <left style="thick">
        <color rgb="FFF7FBFF"/>
      </left>
      <top style="thick">
        <color rgb="FFF7FBFF"/>
      </top>
      <bottom style="thick">
        <color rgb="FFF7FBFF"/>
      </bottom>
    </border>
    <border>
      <top style="thick">
        <color rgb="FFF7FBFF"/>
      </top>
      <bottom style="thick">
        <color rgb="FFF7FBFF"/>
      </bottom>
    </border>
    <border>
      <right style="thick">
        <color rgb="FFF7FBFF"/>
      </right>
      <top style="thick">
        <color rgb="FFF7FBFF"/>
      </top>
      <bottom style="thick">
        <color rgb="FFF7FBFF"/>
      </bottom>
    </border>
    <border>
      <left style="medium">
        <color rgb="FFF7FBFF"/>
      </left>
      <right style="medium">
        <color rgb="FFF7FBFF"/>
      </right>
      <top style="medium">
        <color rgb="FFF7FBFF"/>
      </top>
      <bottom style="medium">
        <color rgb="FFF7FBFF"/>
      </bottom>
    </border>
    <border>
      <left style="medium">
        <color rgb="FFF7FBFF"/>
      </left>
      <right style="thin">
        <color rgb="FFF7FBFF"/>
      </right>
      <top style="medium">
        <color rgb="FFF7FBFF"/>
      </top>
      <bottom style="thin">
        <color rgb="FFF7FBFF"/>
      </bottom>
    </border>
    <border>
      <left style="thin">
        <color rgb="FFF7FBFF"/>
      </left>
      <right style="medium">
        <color rgb="FFF7FBFF"/>
      </right>
      <top style="medium">
        <color rgb="FFF7FBFF"/>
      </top>
      <bottom style="thin">
        <color rgb="FFF7FBFF"/>
      </bottom>
    </border>
    <border>
      <left style="medium">
        <color rgb="FFF7FBFF"/>
      </left>
      <top style="medium">
        <color rgb="FFF7FBFF"/>
      </top>
      <bottom style="thick">
        <color rgb="FF666666"/>
      </bottom>
    </border>
    <border>
      <top style="medium">
        <color rgb="FFF7FBFF"/>
      </top>
      <bottom style="thick">
        <color rgb="FF666666"/>
      </bottom>
    </border>
    <border>
      <right style="medium">
        <color rgb="FFF7FBFF"/>
      </right>
      <top style="medium">
        <color rgb="FFF7FBFF"/>
      </top>
      <bottom style="thick">
        <color rgb="FF666666"/>
      </bottom>
    </border>
    <border>
      <left style="medium">
        <color rgb="FFF7FBFF"/>
      </left>
      <right style="medium">
        <color rgb="FFF7FBFF"/>
      </right>
      <top style="medium">
        <color rgb="FFF7FBFF"/>
      </top>
      <bottom style="thick">
        <color rgb="FF666666"/>
      </bottom>
    </border>
    <border>
      <left style="medium">
        <color rgb="FFF7FBFF"/>
      </left>
      <right style="thin">
        <color rgb="FFF7FBFF"/>
      </right>
      <top style="thin">
        <color rgb="FFF7FBFF"/>
      </top>
      <bottom style="thin">
        <color rgb="FFF7FBFF"/>
      </bottom>
    </border>
    <border>
      <left style="thin">
        <color rgb="FFF7FBFF"/>
      </left>
      <right style="medium">
        <color rgb="FFF7FBFF"/>
      </right>
      <top style="thin">
        <color rgb="FFF7FBFF"/>
      </top>
      <bottom style="thin">
        <color rgb="FFF7FBFF"/>
      </bottom>
    </border>
    <border>
      <left style="medium">
        <color rgb="FFF7FBFF"/>
      </left>
      <right style="medium">
        <color rgb="FFF7FBFF"/>
      </right>
    </border>
    <border>
      <left style="thin">
        <color rgb="FFF7FBFF"/>
      </left>
      <top style="thin">
        <color rgb="FFF7FBFF"/>
      </top>
      <bottom style="thin">
        <color rgb="FFF7FBFF"/>
      </bottom>
    </border>
    <border>
      <left style="thick">
        <color rgb="FF434343"/>
      </left>
      <top style="thick">
        <color rgb="FF434343"/>
      </top>
      <bottom style="medium">
        <color rgb="FF666666"/>
      </bottom>
    </border>
    <border>
      <top style="thick">
        <color rgb="FF434343"/>
      </top>
      <bottom style="medium">
        <color rgb="FF666666"/>
      </bottom>
    </border>
    <border>
      <right style="thick">
        <color rgb="FF434343"/>
      </right>
      <top style="thick">
        <color rgb="FF434343"/>
      </top>
      <bottom style="medium">
        <color rgb="FF666666"/>
      </bottom>
    </border>
    <border>
      <left style="thick">
        <color rgb="FF666666"/>
      </left>
      <top style="medium">
        <color rgb="FFF7FBFF"/>
      </top>
      <bottom style="medium">
        <color rgb="FFF7FBFF"/>
      </bottom>
    </border>
    <border>
      <left style="thick">
        <color rgb="FF434343"/>
      </left>
      <right style="medium">
        <color rgb="FF666666"/>
      </right>
      <bottom style="medium">
        <color rgb="FF666666"/>
      </bottom>
    </border>
    <border>
      <left style="medium">
        <color rgb="FF666666"/>
      </left>
      <right style="medium">
        <color rgb="FF666666"/>
      </right>
      <bottom style="medium">
        <color rgb="FF666666"/>
      </bottom>
    </border>
    <border>
      <left style="medium">
        <color rgb="FF666666"/>
      </left>
      <right style="thick">
        <color rgb="FF434343"/>
      </right>
      <bottom style="medium">
        <color rgb="FF666666"/>
      </bottom>
    </border>
    <border>
      <left style="thick">
        <color rgb="FF434343"/>
      </left>
      <bottom style="medium">
        <color rgb="FFF7FBFF"/>
      </bottom>
    </border>
    <border>
      <left style="medium">
        <color rgb="FFF7FBFF"/>
      </left>
      <bottom style="medium">
        <color rgb="FFF7FBFF"/>
      </bottom>
    </border>
    <border>
      <left style="medium">
        <color rgb="FFF7FBFF"/>
      </left>
      <right style="medium">
        <color rgb="FFF7FBFF"/>
      </right>
      <bottom style="medium">
        <color rgb="FFF7FBFF"/>
      </bottom>
    </border>
    <border>
      <left style="medium">
        <color rgb="FFF7FBFF"/>
      </left>
    </border>
    <border>
      <left style="medium">
        <color rgb="FFF7FBFF"/>
      </left>
      <bottom style="thin">
        <color rgb="FFF7FBFF"/>
      </bottom>
    </border>
    <border>
      <left style="medium">
        <color rgb="FFF7FBFF"/>
      </left>
      <right style="thick">
        <color rgb="FF434343"/>
      </right>
      <bottom style="medium">
        <color rgb="FFF7FBFF"/>
      </bottom>
    </border>
    <border>
      <left style="medium">
        <color rgb="FFF7FBFF"/>
      </left>
      <right style="thin">
        <color rgb="FFF7FBFF"/>
      </right>
      <top style="thin">
        <color rgb="FFF7FBFF"/>
      </top>
    </border>
    <border>
      <left style="thick">
        <color rgb="FF434343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ck">
        <color rgb="FF434343"/>
      </right>
      <bottom style="thin">
        <color rgb="FFD9D9D9"/>
      </bottom>
    </border>
    <border>
      <left style="thick">
        <color rgb="FF434343"/>
      </left>
      <top style="medium">
        <color rgb="FFF7FBFF"/>
      </top>
      <bottom style="medium">
        <color rgb="FFF7FBFF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top style="medium">
        <color rgb="FF666666"/>
      </top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F7FBFF"/>
      </top>
      <bottom style="medium">
        <color rgb="FFF7FBFF"/>
      </bottom>
    </border>
    <border>
      <top style="thin">
        <color rgb="FFF7FBFF"/>
      </top>
      <bottom style="thin">
        <color rgb="FFF7FBFF"/>
      </bottom>
    </border>
    <border>
      <right style="thick">
        <color rgb="FF434343"/>
      </right>
      <top style="medium">
        <color rgb="FFF7FBFF"/>
      </top>
      <bottom style="medium">
        <color rgb="FFF7FBFF"/>
      </bottom>
    </border>
    <border>
      <left style="medium">
        <color rgb="FFF7FBFF"/>
      </left>
      <right style="thin">
        <color rgb="FFF7FBFF"/>
      </right>
    </border>
    <border>
      <left style="thick">
        <color rgb="FF434343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ck">
        <color rgb="FF434343"/>
      </right>
      <top style="thin">
        <color rgb="FFD9D9D9"/>
      </top>
      <bottom style="thin">
        <color rgb="FFD9D9D9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 style="thin">
        <color rgb="FFD9D9D9"/>
      </bottom>
    </border>
    <border>
      <right style="medium">
        <color rgb="FF666666"/>
      </right>
      <top style="medium">
        <color rgb="FFF7FBFF"/>
      </top>
      <bottom style="medium">
        <color rgb="FFF7FBFF"/>
      </bottom>
    </border>
    <border>
      <right style="medium">
        <color rgb="FF666666"/>
      </right>
      <top style="medium">
        <color rgb="FF666666"/>
      </top>
      <bottom style="thin">
        <color rgb="FFD9D9D9"/>
      </bottom>
    </border>
    <border>
      <left style="medium">
        <color rgb="FF666666"/>
      </left>
    </border>
    <border>
      <left style="medium">
        <color rgb="FF666666"/>
      </left>
      <right style="medium">
        <color rgb="FF666666"/>
      </right>
      <bottom style="thin">
        <color rgb="FFD9D9D9"/>
      </bottom>
    </border>
    <border>
      <right style="medium">
        <color rgb="FF666666"/>
      </right>
      <bottom style="medium">
        <color rgb="FFF7FBFF"/>
      </bottom>
    </border>
    <border>
      <right style="medium">
        <color rgb="FF666666"/>
      </right>
      <bottom style="thin">
        <color rgb="FFD9D9D9"/>
      </bottom>
    </border>
    <border>
      <left style="medium">
        <color rgb="FFF7FBFF"/>
      </left>
      <top style="medium">
        <color rgb="FF666666"/>
      </top>
    </border>
    <border>
      <left style="medium">
        <color rgb="FFF7FBFF"/>
      </left>
      <right style="medium">
        <color rgb="FFF7FBFF"/>
      </right>
      <top style="medium">
        <color rgb="FF666666"/>
      </top>
      <bottom style="medium">
        <color rgb="FFF7FBFF"/>
      </bottom>
    </border>
    <border>
      <right style="thin">
        <color rgb="FFF7FBFF"/>
      </right>
      <top style="thin">
        <color rgb="FFF7FBFF"/>
      </top>
    </border>
    <border>
      <left style="thin">
        <color rgb="FFF7FBFF"/>
      </left>
      <right style="thin">
        <color rgb="FFF7FBFF"/>
      </right>
    </border>
    <border>
      <left style="thin">
        <color rgb="FFF7FBFF"/>
      </left>
      <right style="thick">
        <color rgb="FF434343"/>
      </right>
      <top style="medium">
        <color rgb="FFF7FBFF"/>
      </top>
      <bottom style="medium">
        <color rgb="FFF7FBFF"/>
      </bottom>
    </border>
    <border>
      <right style="thick">
        <color rgb="FFF7FBFF"/>
      </right>
      <bottom style="thick">
        <color rgb="FFF7FBFF"/>
      </bottom>
    </border>
    <border>
      <left style="thick">
        <color rgb="FFF7FBFF"/>
      </left>
      <bottom style="thick">
        <color rgb="FFF7FBFF"/>
      </bottom>
    </border>
    <border>
      <left style="thin">
        <color rgb="FFF7FBFF"/>
      </left>
      <right style="thin">
        <color rgb="FFF7FBFF"/>
      </right>
      <top style="thin">
        <color rgb="FFF7FBFF"/>
      </top>
      <bottom style="thin">
        <color rgb="FFF7FBFF"/>
      </bottom>
    </border>
    <border>
      <left style="medium">
        <color rgb="FF666666"/>
      </left>
      <right style="medium">
        <color rgb="FF666666"/>
      </right>
      <bottom style="medium">
        <color rgb="FF434343"/>
      </bottom>
    </border>
    <border>
      <right style="medium">
        <color rgb="FF666666"/>
      </right>
      <bottom style="medium">
        <color rgb="FF434343"/>
      </bottom>
    </border>
    <border>
      <left style="medium">
        <color rgb="FFF7FBFF"/>
      </left>
      <right style="thin">
        <color rgb="FFF7FBFF"/>
      </right>
      <bottom style="thin">
        <color rgb="FFF7FBFF"/>
      </bottom>
    </border>
    <border>
      <left style="thick">
        <color rgb="FF434343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ck">
        <color rgb="FF434343"/>
      </right>
      <top style="thin">
        <color rgb="FFD9D9D9"/>
      </top>
    </border>
    <border>
      <left style="thick">
        <color rgb="FF434343"/>
      </left>
      <top style="medium">
        <color rgb="FFF7FBFF"/>
      </top>
      <bottom style="thick">
        <color rgb="FF434343"/>
      </bottom>
    </border>
    <border>
      <left style="medium">
        <color rgb="FFF7FBFF"/>
      </left>
      <bottom style="thick">
        <color rgb="FF434343"/>
      </bottom>
    </border>
    <border>
      <left style="medium">
        <color rgb="FFF7FBFF"/>
      </left>
      <right style="medium">
        <color rgb="FFF7FBFF"/>
      </right>
      <top style="medium">
        <color rgb="FFF7FBFF"/>
      </top>
      <bottom style="thick">
        <color rgb="FF434343"/>
      </bottom>
    </border>
    <border>
      <left style="medium">
        <color rgb="FFF7FBFF"/>
      </left>
      <right style="medium">
        <color rgb="FFF7FBFF"/>
      </right>
      <bottom style="thick">
        <color rgb="FF434343"/>
      </bottom>
    </border>
    <border>
      <left style="medium">
        <color rgb="FFF7FBFF"/>
      </left>
      <right style="thick">
        <color rgb="FF434343"/>
      </right>
      <top style="medium">
        <color rgb="FFF7FBFF"/>
      </top>
      <bottom style="thick">
        <color rgb="FF434343"/>
      </bottom>
    </border>
    <border>
      <left style="thick">
        <color rgb="FF434343"/>
      </left>
      <right style="medium">
        <color rgb="FFF7FBFF"/>
      </right>
      <top style="medium">
        <color rgb="FF666666"/>
      </top>
    </border>
    <border>
      <left style="medium">
        <color rgb="FFF7FBFF"/>
      </left>
      <right style="thick">
        <color rgb="FF434343"/>
      </right>
      <top style="medium">
        <color rgb="FF666666"/>
      </top>
      <bottom style="medium">
        <color rgb="FFF7FBFF"/>
      </bottom>
    </border>
    <border>
      <left style="thick">
        <color rgb="FF666666"/>
      </left>
      <right style="medium">
        <color rgb="FFF7FBFF"/>
      </right>
      <top style="medium">
        <color rgb="FFF7FBFF"/>
      </top>
      <bottom style="medium">
        <color rgb="FFF7FBFF"/>
      </bottom>
    </border>
    <border>
      <right style="medium">
        <color rgb="FFF7FBFF"/>
      </right>
      <bottom style="medium">
        <color rgb="FFF7FBFF"/>
      </bottom>
    </border>
    <border>
      <left style="thick">
        <color rgb="FF434343"/>
      </left>
      <right style="medium">
        <color rgb="FFF7FBFF"/>
      </right>
    </border>
    <border>
      <left style="medium">
        <color rgb="FF666666"/>
      </left>
      <top style="medium">
        <color rgb="FFF7FBFF"/>
      </top>
      <bottom style="medium">
        <color rgb="FFF7FBFF"/>
      </bottom>
    </border>
    <border>
      <left style="medium">
        <color rgb="FFF7FBFF"/>
      </left>
      <right style="thick">
        <color rgb="FF434343"/>
      </right>
      <top style="medium">
        <color rgb="FFF7FBFF"/>
      </top>
      <bottom style="medium">
        <color rgb="FFF7FBFF"/>
      </bottom>
    </border>
    <border>
      <left style="thick">
        <color rgb="FF434343"/>
      </left>
      <right style="medium">
        <color rgb="FFF7FBFF"/>
      </right>
      <bottom style="thick">
        <color rgb="FF434343"/>
      </bottom>
    </border>
    <border>
      <left style="medium">
        <color rgb="FFF7FBFF"/>
      </left>
      <right style="medium">
        <color rgb="FFF7FBFF"/>
      </right>
      <top style="medium">
        <color rgb="FFF7FBFF"/>
      </top>
    </border>
    <border>
      <left style="thick">
        <color rgb="FF434343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thick">
        <color rgb="FF434343"/>
      </right>
      <top style="medium">
        <color rgb="FF666666"/>
      </top>
      <bottom style="medium">
        <color rgb="FF666666"/>
      </bottom>
    </border>
    <border>
      <left style="medium">
        <color rgb="FFF7FBFF"/>
      </left>
      <top style="thin">
        <color rgb="FFF7FBFF"/>
      </top>
      <bottom style="thick">
        <color rgb="FF434343"/>
      </bottom>
    </border>
    <border>
      <left style="medium">
        <color rgb="FFF7FBFF"/>
      </left>
      <right style="thin">
        <color rgb="FFF7FBFF"/>
      </right>
      <top style="thin">
        <color rgb="FFF7FBFF"/>
      </top>
      <bottom style="medium">
        <color rgb="FFF7FBFF"/>
      </bottom>
    </border>
    <border>
      <left style="thin">
        <color rgb="FFF7FBFF"/>
      </left>
      <right style="medium">
        <color rgb="FFF7FBFF"/>
      </right>
      <top style="thin">
        <color rgb="FFF7FBFF"/>
      </top>
      <bottom style="medium">
        <color rgb="FFF7FBFF"/>
      </bottom>
    </border>
    <border>
      <right style="thick">
        <color rgb="FFF7FBFF"/>
      </right>
      <top style="medium">
        <color rgb="FFF7FBFF"/>
      </top>
    </border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top style="thick">
        <color rgb="FFFFFFFF"/>
      </top>
      <bottom style="medium">
        <color rgb="FFFFFFFF"/>
      </bottom>
    </border>
    <border>
      <right style="thick">
        <color rgb="FFFFFFFF"/>
      </right>
      <top style="thick">
        <color rgb="FFFFFFFF"/>
      </top>
      <bottom style="medium">
        <color rgb="FFFFFFFF"/>
      </bottom>
    </border>
    <border>
      <left style="thick">
        <color rgb="FFFFFFFF"/>
      </left>
      <top style="thick">
        <color rgb="FFFFFFFF"/>
      </top>
      <bottom style="medium">
        <color rgb="FFF7FBFF"/>
      </bottom>
    </border>
    <border>
      <top style="thick">
        <color rgb="FFFFFFFF"/>
      </top>
      <bottom style="medium">
        <color rgb="FFF7FBFF"/>
      </bottom>
    </border>
    <border>
      <right style="thick">
        <color rgb="FFFFFFFF"/>
      </right>
      <top style="thick">
        <color rgb="FFFFFFFF"/>
      </top>
      <bottom style="medium">
        <color rgb="FFF7FBFF"/>
      </bottom>
    </border>
    <border>
      <right style="thick">
        <color rgb="FFF7FBFF"/>
      </right>
    </border>
    <border>
      <left style="thick">
        <color rgb="FFFFFFFF"/>
      </lef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thick">
        <color rgb="FFFFFFFF"/>
      </right>
      <top style="medium">
        <color rgb="FFFFFFFF"/>
      </top>
      <bottom style="medium">
        <color rgb="FFFFFFFF"/>
      </bottom>
    </border>
    <border>
      <left style="thick">
        <color rgb="FFFFFFFF"/>
      </left>
      <top style="medium">
        <color rgb="FFF7FBFF"/>
      </top>
      <bottom style="medium">
        <color rgb="FFFFFFFF"/>
      </bottom>
    </border>
    <border>
      <top style="medium">
        <color rgb="FFF7FBFF"/>
      </top>
      <bottom style="medium">
        <color rgb="FFFFFFFF"/>
      </bottom>
    </border>
    <border>
      <right style="thick">
        <color rgb="FFFFFFFF"/>
      </right>
      <top style="medium">
        <color rgb="FFF7FBFF"/>
      </top>
      <bottom style="medium">
        <color rgb="FFFFFFFF"/>
      </bottom>
    </border>
    <border>
      <bottom style="medium">
        <color rgb="FFF7FBFF"/>
      </bottom>
    </border>
    <border>
      <right style="thick">
        <color rgb="FFF7FBFF"/>
      </right>
      <bottom style="medium">
        <color rgb="FFF7FBFF"/>
      </bottom>
    </border>
    <border>
      <left style="thick">
        <color rgb="FFFFFFFF"/>
      </left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medium">
        <color rgb="FFF7FBFF"/>
      </left>
      <bottom style="thick">
        <color rgb="FF666666"/>
      </bottom>
    </border>
    <border>
      <bottom style="thick">
        <color rgb="FF666666"/>
      </bottom>
    </border>
    <border>
      <right style="medium">
        <color rgb="FFF7FBFF"/>
      </right>
      <bottom style="thick">
        <color rgb="FF666666"/>
      </bottom>
    </border>
    <border>
      <left style="thick">
        <color rgb="FF666666"/>
      </left>
      <right style="thin">
        <color rgb="FFFFFFFF"/>
      </right>
      <top style="thick">
        <color rgb="FF666666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ck">
        <color rgb="FF666666"/>
      </top>
    </border>
    <border>
      <left style="thin">
        <color rgb="FFFFFFFF"/>
      </left>
      <right style="thick">
        <color rgb="FF666666"/>
      </right>
      <top style="thick">
        <color rgb="FF666666"/>
      </top>
      <bottom style="thin">
        <color rgb="FFFFFFFF"/>
      </bottom>
    </border>
    <border>
      <left style="thick">
        <color rgb="FF666666"/>
      </left>
      <top style="thin">
        <color rgb="FFFFFFFF"/>
      </top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right style="thick">
        <color rgb="FF666666"/>
      </right>
      <top style="thin">
        <color rgb="FFFFFFFF"/>
      </top>
      <bottom style="thin">
        <color rgb="FFFFFFFF"/>
      </bottom>
    </border>
    <border>
      <left style="thick">
        <color rgb="FF434343"/>
      </left>
      <top style="medium">
        <color rgb="FFFFFFFF"/>
      </top>
      <bottom style="medium">
        <color rgb="FFFFFFFF"/>
      </bottom>
    </border>
    <border>
      <bottom style="medium">
        <color rgb="FF434343"/>
      </bottom>
    </border>
    <border>
      <left style="thick">
        <color rgb="FF434343"/>
      </left>
      <right style="thick">
        <color rgb="FF434343"/>
      </right>
      <bottom style="medium">
        <color rgb="FF434343"/>
      </bottom>
    </border>
    <border>
      <left style="thick">
        <color rgb="FF434343"/>
      </left>
      <bottom style="medium">
        <color rgb="FF434343"/>
      </bottom>
    </border>
    <border>
      <left style="thick">
        <color rgb="FF434343"/>
      </left>
      <right style="thick">
        <color rgb="FF434343"/>
      </right>
    </border>
    <border>
      <left style="thick">
        <color rgb="FF434343"/>
      </left>
    </border>
    <border>
      <left style="thick">
        <color rgb="FF434343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thick">
        <color rgb="FF666666"/>
      </right>
      <top style="thin">
        <color rgb="FFFFFFFF"/>
      </top>
      <bottom style="thin">
        <color rgb="FFFFFFFF"/>
      </bottom>
    </border>
    <border>
      <left style="thick">
        <color rgb="FF666666"/>
      </left>
      <bottom style="thin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ck">
        <color rgb="FF666666"/>
      </left>
      <top style="thin">
        <color rgb="FFFFFFFF"/>
      </top>
      <bottom style="thin">
        <color rgb="FFFFFFFF"/>
      </bottom>
    </border>
    <border>
      <left style="thick">
        <color rgb="FF666666"/>
      </left>
      <right style="thin">
        <color rgb="FFFFFFFF"/>
      </right>
      <top style="thin">
        <color rgb="FFFFFFFF"/>
      </top>
      <bottom style="thick">
        <color rgb="FF666666"/>
      </bottom>
    </border>
    <border>
      <left style="thin">
        <color rgb="FFFFFFFF"/>
      </left>
      <right style="thin">
        <color rgb="FFFFFFFF"/>
      </right>
      <bottom style="thick">
        <color rgb="FF666666"/>
      </bottom>
    </border>
    <border>
      <left style="thin">
        <color rgb="FFFFFFFF"/>
      </left>
      <right style="thick">
        <color rgb="FF666666"/>
      </right>
      <top style="thin">
        <color rgb="FFFFFFFF"/>
      </top>
      <bottom style="thick">
        <color rgb="FF666666"/>
      </bottom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2" fontId="2" numFmtId="0" xfId="0" applyAlignment="1" applyFont="1">
      <alignment readingOrder="0"/>
    </xf>
    <xf borderId="0" fillId="2" fontId="4" numFmtId="0" xfId="0" applyFont="1"/>
    <xf borderId="1" fillId="3" fontId="5" numFmtId="0" xfId="0" applyAlignment="1" applyBorder="1" applyFont="1">
      <alignment horizontal="right" readingOrder="0"/>
    </xf>
    <xf borderId="2" fillId="3" fontId="5" numFmtId="164" xfId="0" applyAlignment="1" applyBorder="1" applyFont="1" applyNumberFormat="1">
      <alignment horizontal="right" readingOrder="0"/>
    </xf>
    <xf borderId="4" fillId="0" fontId="3" numFmtId="0" xfId="0" applyBorder="1" applyFont="1"/>
    <xf borderId="5" fillId="3" fontId="5" numFmtId="0" xfId="0" applyAlignment="1" applyBorder="1" applyFont="1">
      <alignment horizontal="right" readingOrder="0"/>
    </xf>
    <xf borderId="6" fillId="0" fontId="3" numFmtId="0" xfId="0" applyBorder="1" applyFont="1"/>
    <xf borderId="6" fillId="3" fontId="5" numFmtId="164" xfId="0" applyAlignment="1" applyBorder="1" applyFont="1" applyNumberFormat="1">
      <alignment horizontal="right" readingOrder="0"/>
    </xf>
    <xf borderId="7" fillId="0" fontId="3" numFmtId="0" xfId="0" applyBorder="1" applyFont="1"/>
    <xf borderId="0" fillId="2" fontId="6" numFmtId="0" xfId="0" applyAlignment="1" applyFont="1">
      <alignment horizontal="right" readingOrder="0"/>
    </xf>
    <xf borderId="0" fillId="2" fontId="6" numFmtId="0" xfId="0" applyAlignment="1" applyFont="1">
      <alignment horizontal="center" readingOrder="0"/>
    </xf>
    <xf borderId="8" fillId="3" fontId="5" numFmtId="0" xfId="0" applyAlignment="1" applyBorder="1" applyFont="1">
      <alignment horizontal="right" readingOrder="0"/>
    </xf>
    <xf borderId="9" fillId="0" fontId="3" numFmtId="0" xfId="0" applyBorder="1" applyFont="1"/>
    <xf borderId="9" fillId="3" fontId="5" numFmtId="164" xfId="0" applyAlignment="1" applyBorder="1" applyFont="1" applyNumberFormat="1">
      <alignment horizontal="right" readingOrder="0"/>
    </xf>
    <xf borderId="10" fillId="0" fontId="3" numFmtId="0" xfId="0" applyBorder="1" applyFont="1"/>
    <xf borderId="11" fillId="4" fontId="1" numFmtId="0" xfId="0" applyBorder="1" applyFill="1" applyFont="1"/>
    <xf borderId="12" fillId="4" fontId="1" numFmtId="0" xfId="0" applyBorder="1" applyFont="1"/>
    <xf borderId="13" fillId="4" fontId="7" numFmtId="0" xfId="0" applyAlignment="1" applyBorder="1" applyFont="1">
      <alignment readingOrder="0"/>
    </xf>
    <xf borderId="14" fillId="4" fontId="7" numFmtId="0" xfId="0" applyAlignment="1" applyBorder="1" applyFont="1">
      <alignment readingOrder="0"/>
    </xf>
    <xf borderId="15" fillId="0" fontId="3" numFmtId="0" xfId="0" applyBorder="1" applyFont="1"/>
    <xf borderId="16" fillId="0" fontId="3" numFmtId="0" xfId="0" applyBorder="1" applyFont="1"/>
    <xf borderId="17" fillId="4" fontId="1" numFmtId="0" xfId="0" applyBorder="1" applyFont="1"/>
    <xf borderId="18" fillId="4" fontId="1" numFmtId="0" xfId="0" applyBorder="1" applyFont="1"/>
    <xf borderId="19" fillId="4" fontId="1" numFmtId="0" xfId="0" applyBorder="1" applyFont="1"/>
    <xf borderId="20" fillId="4" fontId="1" numFmtId="0" xfId="0" applyBorder="1" applyFont="1"/>
    <xf borderId="21" fillId="4" fontId="8" numFmtId="0" xfId="0" applyAlignment="1" applyBorder="1" applyFont="1">
      <alignment readingOrder="0"/>
    </xf>
    <xf borderId="22" fillId="4" fontId="8" numFmtId="0" xfId="0" applyAlignment="1" applyBorder="1" applyFont="1">
      <alignment readingOrder="0"/>
    </xf>
    <xf borderId="23" fillId="0" fontId="3" numFmtId="0" xfId="0" applyBorder="1" applyFont="1"/>
    <xf borderId="24" fillId="0" fontId="3" numFmtId="0" xfId="0" applyBorder="1" applyFont="1"/>
    <xf borderId="2" fillId="4" fontId="1" numFmtId="0" xfId="0" applyBorder="1" applyFont="1"/>
    <xf borderId="25" fillId="4" fontId="1" numFmtId="0" xfId="0" applyBorder="1" applyFont="1"/>
    <xf borderId="22" fillId="0" fontId="8" numFmtId="0" xfId="0" applyAlignment="1" applyBorder="1" applyFont="1">
      <alignment readingOrder="0"/>
    </xf>
    <xf borderId="4" fillId="4" fontId="1" numFmtId="0" xfId="0" applyBorder="1" applyFont="1"/>
    <xf borderId="21" fillId="4" fontId="1" numFmtId="0" xfId="0" applyAlignment="1" applyBorder="1" applyFont="1">
      <alignment readingOrder="0"/>
    </xf>
    <xf borderId="26" fillId="4" fontId="1" numFmtId="0" xfId="0" applyAlignment="1" applyBorder="1" applyFont="1">
      <alignment readingOrder="0"/>
    </xf>
    <xf borderId="27" fillId="4" fontId="1" numFmtId="0" xfId="0" applyAlignment="1" applyBorder="1" applyFont="1">
      <alignment readingOrder="0"/>
    </xf>
    <xf borderId="28" fillId="4" fontId="1" numFmtId="0" xfId="0" applyAlignment="1" applyBorder="1" applyFont="1">
      <alignment readingOrder="0"/>
    </xf>
    <xf borderId="29" fillId="4" fontId="1" numFmtId="0" xfId="0" applyBorder="1" applyFont="1"/>
    <xf borderId="30" fillId="4" fontId="1" numFmtId="0" xfId="0" applyBorder="1" applyFont="1"/>
    <xf borderId="31" fillId="4" fontId="1" numFmtId="0" xfId="0" applyBorder="1" applyFont="1"/>
    <xf borderId="32" fillId="4" fontId="1" numFmtId="0" xfId="0" applyBorder="1" applyFont="1"/>
    <xf borderId="33" fillId="4" fontId="1" numFmtId="0" xfId="0" applyBorder="1" applyFont="1"/>
    <xf borderId="34" fillId="4" fontId="1" numFmtId="0" xfId="0" applyBorder="1" applyFont="1"/>
    <xf borderId="35" fillId="4" fontId="1" numFmtId="0" xfId="0" applyAlignment="1" applyBorder="1" applyFont="1">
      <alignment horizontal="right" readingOrder="0" shrinkToFit="0" vertical="center" wrapText="1"/>
    </xf>
    <xf borderId="36" fillId="5" fontId="1" numFmtId="0" xfId="0" applyAlignment="1" applyBorder="1" applyFill="1" applyFont="1">
      <alignment readingOrder="0"/>
    </xf>
    <xf borderId="37" fillId="5" fontId="1" numFmtId="164" xfId="0" applyAlignment="1" applyBorder="1" applyFont="1" applyNumberFormat="1">
      <alignment readingOrder="0"/>
    </xf>
    <xf borderId="37" fillId="5" fontId="1" numFmtId="164" xfId="0" applyAlignment="1" applyBorder="1" applyFont="1" applyNumberFormat="1">
      <alignment readingOrder="0"/>
    </xf>
    <xf borderId="37" fillId="4" fontId="9" numFmtId="164" xfId="0" applyBorder="1" applyFont="1" applyNumberFormat="1"/>
    <xf borderId="37" fillId="4" fontId="9" numFmtId="10" xfId="0" applyBorder="1" applyFont="1" applyNumberFormat="1"/>
    <xf borderId="38" fillId="4" fontId="9" numFmtId="10" xfId="0" applyBorder="1" applyFont="1" applyNumberFormat="1"/>
    <xf borderId="39" fillId="4" fontId="1" numFmtId="0" xfId="0" applyBorder="1" applyFont="1"/>
    <xf borderId="40" fillId="4" fontId="9" numFmtId="0" xfId="0" applyAlignment="1" applyBorder="1" applyFont="1">
      <alignment readingOrder="0"/>
    </xf>
    <xf borderId="41" fillId="4" fontId="9" numFmtId="0" xfId="0" applyAlignment="1" applyBorder="1" applyFont="1">
      <alignment readingOrder="0"/>
    </xf>
    <xf borderId="42" fillId="4" fontId="9" numFmtId="0" xfId="0" applyAlignment="1" applyBorder="1" applyFont="1">
      <alignment readingOrder="0"/>
    </xf>
    <xf borderId="43" fillId="4" fontId="9" numFmtId="0" xfId="0" applyAlignment="1" applyBorder="1" applyFont="1">
      <alignment readingOrder="0"/>
    </xf>
    <xf borderId="44" fillId="4" fontId="1" numFmtId="0" xfId="0" applyBorder="1" applyFont="1"/>
    <xf borderId="45" fillId="0" fontId="3" numFmtId="0" xfId="0" applyBorder="1" applyFont="1"/>
    <xf borderId="46" fillId="5" fontId="1" numFmtId="0" xfId="0" applyAlignment="1" applyBorder="1" applyFont="1">
      <alignment readingOrder="0"/>
    </xf>
    <xf borderId="47" fillId="5" fontId="1" numFmtId="164" xfId="0" applyAlignment="1" applyBorder="1" applyFont="1" applyNumberFormat="1">
      <alignment readingOrder="0"/>
    </xf>
    <xf borderId="47" fillId="5" fontId="1" numFmtId="164" xfId="0" applyAlignment="1" applyBorder="1" applyFont="1" applyNumberFormat="1">
      <alignment readingOrder="0"/>
    </xf>
    <xf borderId="47" fillId="4" fontId="9" numFmtId="164" xfId="0" applyBorder="1" applyFont="1" applyNumberFormat="1"/>
    <xf borderId="47" fillId="4" fontId="9" numFmtId="10" xfId="0" applyBorder="1" applyFont="1" applyNumberFormat="1"/>
    <xf borderId="48" fillId="4" fontId="9" numFmtId="10" xfId="0" applyBorder="1" applyFont="1" applyNumberFormat="1"/>
    <xf borderId="49" fillId="5" fontId="1" numFmtId="10" xfId="0" applyAlignment="1" applyBorder="1" applyFont="1" applyNumberFormat="1">
      <alignment vertical="bottom"/>
    </xf>
    <xf borderId="50" fillId="4" fontId="1" numFmtId="0" xfId="0" applyAlignment="1" applyBorder="1" applyFont="1">
      <alignment vertical="bottom"/>
    </xf>
    <xf borderId="51" fillId="5" fontId="1" numFmtId="10" xfId="0" applyAlignment="1" applyBorder="1" applyFont="1" applyNumberFormat="1">
      <alignment vertical="bottom"/>
    </xf>
    <xf borderId="52" fillId="5" fontId="1" numFmtId="10" xfId="0" applyAlignment="1" applyBorder="1" applyFont="1" applyNumberFormat="1">
      <alignment readingOrder="0"/>
    </xf>
    <xf borderId="42" fillId="4" fontId="1" numFmtId="10" xfId="0" applyAlignment="1" applyBorder="1" applyFont="1" applyNumberFormat="1">
      <alignment readingOrder="0"/>
    </xf>
    <xf borderId="40" fillId="5" fontId="1" numFmtId="10" xfId="0" applyAlignment="1" applyBorder="1" applyFont="1" applyNumberFormat="1">
      <alignment readingOrder="0"/>
    </xf>
    <xf borderId="43" fillId="4" fontId="1" numFmtId="10" xfId="0" applyAlignment="1" applyBorder="1" applyFont="1" applyNumberFormat="1">
      <alignment readingOrder="0"/>
    </xf>
    <xf borderId="46" fillId="5" fontId="1" numFmtId="0" xfId="0" applyBorder="1" applyFont="1"/>
    <xf borderId="53" fillId="5" fontId="1" numFmtId="10" xfId="0" applyAlignment="1" applyBorder="1" applyFont="1" applyNumberFormat="1">
      <alignment vertical="bottom"/>
    </xf>
    <xf borderId="54" fillId="4" fontId="1" numFmtId="0" xfId="0" applyAlignment="1" applyBorder="1" applyFont="1">
      <alignment vertical="bottom"/>
    </xf>
    <xf borderId="55" fillId="5" fontId="1" numFmtId="10" xfId="0" applyAlignment="1" applyBorder="1" applyFont="1" applyNumberFormat="1">
      <alignment vertical="bottom"/>
    </xf>
    <xf borderId="56" fillId="4" fontId="1" numFmtId="10" xfId="0" applyAlignment="1" applyBorder="1" applyFont="1" applyNumberFormat="1">
      <alignment readingOrder="0"/>
    </xf>
    <xf borderId="31" fillId="4" fontId="1" numFmtId="10" xfId="0" applyAlignment="1" applyBorder="1" applyFont="1" applyNumberFormat="1">
      <alignment readingOrder="0"/>
    </xf>
    <xf borderId="57" fillId="4" fontId="1" numFmtId="10" xfId="0" applyAlignment="1" applyBorder="1" applyFont="1" applyNumberFormat="1">
      <alignment readingOrder="0"/>
    </xf>
    <xf borderId="58" fillId="4" fontId="1" numFmtId="10" xfId="0" applyAlignment="1" applyBorder="1" applyFont="1" applyNumberFormat="1">
      <alignment readingOrder="0"/>
    </xf>
    <xf borderId="59" fillId="4" fontId="1" numFmtId="10" xfId="0" applyAlignment="1" applyBorder="1" applyFont="1" applyNumberFormat="1">
      <alignment readingOrder="0"/>
    </xf>
    <xf borderId="60" fillId="4" fontId="1" numFmtId="0" xfId="0" applyBorder="1" applyFont="1"/>
    <xf borderId="11" fillId="4" fontId="9" numFmtId="0" xfId="0" applyAlignment="1" applyBorder="1" applyFont="1">
      <alignment readingOrder="0"/>
    </xf>
    <xf borderId="61" fillId="4" fontId="9" numFmtId="0" xfId="0" applyAlignment="1" applyBorder="1" applyFont="1">
      <alignment readingOrder="0"/>
    </xf>
    <xf borderId="62" fillId="4" fontId="9" numFmtId="0" xfId="0" applyAlignment="1" applyBorder="1" applyFont="1">
      <alignment readingOrder="0"/>
    </xf>
    <xf borderId="63" fillId="4" fontId="9" numFmtId="0" xfId="0" applyAlignment="1" applyBorder="1" applyFont="1">
      <alignment readingOrder="0"/>
    </xf>
    <xf borderId="64" fillId="5" fontId="1" numFmtId="10" xfId="0" applyAlignment="1" applyBorder="1" applyFont="1" applyNumberFormat="1">
      <alignment vertical="bottom"/>
    </xf>
    <xf borderId="65" fillId="5" fontId="1" numFmtId="10" xfId="0" applyAlignment="1" applyBorder="1" applyFont="1" applyNumberFormat="1">
      <alignment vertical="bottom"/>
    </xf>
    <xf borderId="11" fillId="4" fontId="1" numFmtId="10" xfId="0" applyAlignment="1" applyBorder="1" applyFont="1" applyNumberFormat="1">
      <alignment readingOrder="0"/>
    </xf>
    <xf borderId="10" fillId="4" fontId="1" numFmtId="10" xfId="0" applyAlignment="1" applyBorder="1" applyFont="1" applyNumberFormat="1">
      <alignment readingOrder="0"/>
    </xf>
    <xf borderId="8" fillId="4" fontId="1" numFmtId="10" xfId="0" applyAlignment="1" applyBorder="1" applyFont="1" applyNumberFormat="1">
      <alignment readingOrder="0"/>
    </xf>
    <xf borderId="63" fillId="4" fontId="1" numFmtId="10" xfId="0" applyAlignment="1" applyBorder="1" applyFont="1" applyNumberFormat="1">
      <alignment readingOrder="0"/>
    </xf>
    <xf borderId="66" fillId="0" fontId="3" numFmtId="0" xfId="0" applyBorder="1" applyFont="1"/>
    <xf borderId="67" fillId="5" fontId="1" numFmtId="0" xfId="0" applyBorder="1" applyFont="1"/>
    <xf borderId="68" fillId="5" fontId="1" numFmtId="164" xfId="0" applyAlignment="1" applyBorder="1" applyFont="1" applyNumberFormat="1">
      <alignment readingOrder="0"/>
    </xf>
    <xf borderId="68" fillId="5" fontId="1" numFmtId="164" xfId="0" applyAlignment="1" applyBorder="1" applyFont="1" applyNumberFormat="1">
      <alignment readingOrder="0"/>
    </xf>
    <xf borderId="68" fillId="4" fontId="9" numFmtId="164" xfId="0" applyBorder="1" applyFont="1" applyNumberFormat="1"/>
    <xf borderId="68" fillId="4" fontId="9" numFmtId="10" xfId="0" applyBorder="1" applyFont="1" applyNumberFormat="1"/>
    <xf borderId="69" fillId="4" fontId="9" numFmtId="10" xfId="0" applyBorder="1" applyFont="1" applyNumberFormat="1"/>
    <xf borderId="70" fillId="4" fontId="1" numFmtId="0" xfId="0" applyBorder="1" applyFont="1"/>
    <xf borderId="71" fillId="4" fontId="1" numFmtId="0" xfId="0" applyBorder="1" applyFont="1"/>
    <xf borderId="72" fillId="4" fontId="1" numFmtId="0" xfId="0" applyBorder="1" applyFont="1"/>
    <xf borderId="73" fillId="4" fontId="1" numFmtId="0" xfId="0" applyBorder="1" applyFont="1"/>
    <xf borderId="74" fillId="4" fontId="1" numFmtId="0" xfId="0" applyBorder="1" applyFont="1"/>
    <xf borderId="21" fillId="4" fontId="10" numFmtId="0" xfId="0" applyAlignment="1" applyBorder="1" applyFont="1">
      <alignment vertical="center"/>
    </xf>
    <xf borderId="75" fillId="4" fontId="10" numFmtId="0" xfId="0" applyAlignment="1" applyBorder="1" applyFont="1">
      <alignment vertical="center"/>
    </xf>
    <xf borderId="57" fillId="4" fontId="11" numFmtId="164" xfId="0" applyAlignment="1" applyBorder="1" applyFont="1" applyNumberFormat="1">
      <alignment vertical="bottom"/>
    </xf>
    <xf borderId="57" fillId="4" fontId="11" numFmtId="164" xfId="0" applyAlignment="1" applyBorder="1" applyFont="1" applyNumberFormat="1">
      <alignment vertical="bottom"/>
    </xf>
    <xf borderId="57" fillId="4" fontId="11" numFmtId="0" xfId="0" applyAlignment="1" applyBorder="1" applyFont="1">
      <alignment vertical="bottom"/>
    </xf>
    <xf borderId="57" fillId="4" fontId="11" numFmtId="10" xfId="0" applyAlignment="1" applyBorder="1" applyFont="1" applyNumberFormat="1">
      <alignment vertical="bottom"/>
    </xf>
    <xf borderId="76" fillId="4" fontId="11" numFmtId="10" xfId="0" applyAlignment="1" applyBorder="1" applyFont="1" applyNumberFormat="1">
      <alignment vertical="bottom"/>
    </xf>
    <xf borderId="77" fillId="4" fontId="1" numFmtId="0" xfId="0" applyBorder="1" applyFont="1"/>
    <xf borderId="78" fillId="4" fontId="1" numFmtId="0" xfId="0" applyBorder="1" applyFont="1"/>
    <xf borderId="79" fillId="0" fontId="3" numFmtId="0" xfId="0" applyBorder="1" applyFont="1"/>
    <xf borderId="80" fillId="4" fontId="12" numFmtId="164" xfId="0" applyAlignment="1" applyBorder="1" applyFont="1" applyNumberFormat="1">
      <alignment horizontal="center" vertical="bottom"/>
    </xf>
    <xf borderId="42" fillId="4" fontId="12" numFmtId="164" xfId="0" applyAlignment="1" applyBorder="1" applyFont="1" applyNumberFormat="1">
      <alignment horizontal="center" vertical="bottom"/>
    </xf>
    <xf borderId="50" fillId="4" fontId="12" numFmtId="164" xfId="0" applyAlignment="1" applyBorder="1" applyFont="1" applyNumberFormat="1">
      <alignment horizontal="center" vertical="bottom"/>
    </xf>
    <xf borderId="4" fillId="4" fontId="11" numFmtId="0" xfId="0" applyAlignment="1" applyBorder="1" applyFont="1">
      <alignment vertical="bottom"/>
    </xf>
    <xf borderId="81" fillId="4" fontId="11" numFmtId="0" xfId="0" applyAlignment="1" applyBorder="1" applyFont="1">
      <alignment vertical="bottom"/>
    </xf>
    <xf borderId="80" fillId="4" fontId="1" numFmtId="0" xfId="0" applyAlignment="1" applyBorder="1" applyFont="1">
      <alignment horizontal="center" vertical="bottom"/>
    </xf>
    <xf borderId="42" fillId="4" fontId="1" numFmtId="0" xfId="0" applyAlignment="1" applyBorder="1" applyFont="1">
      <alignment horizontal="center" readingOrder="0" vertical="bottom"/>
    </xf>
    <xf borderId="50" fillId="4" fontId="1" numFmtId="0" xfId="0" applyAlignment="1" applyBorder="1" applyFont="1">
      <alignment horizontal="center" vertical="bottom"/>
    </xf>
    <xf borderId="82" fillId="0" fontId="3" numFmtId="0" xfId="0" applyBorder="1" applyFont="1"/>
    <xf borderId="72" fillId="4" fontId="11" numFmtId="0" xfId="0" applyAlignment="1" applyBorder="1" applyFont="1">
      <alignment vertical="bottom"/>
    </xf>
    <xf borderId="74" fillId="4" fontId="11" numFmtId="0" xfId="0" applyAlignment="1" applyBorder="1" applyFont="1">
      <alignment vertical="bottom"/>
    </xf>
    <xf borderId="1" fillId="4" fontId="1" numFmtId="0" xfId="0" applyBorder="1" applyFont="1"/>
    <xf borderId="19" fillId="4" fontId="13" numFmtId="0" xfId="0" applyAlignment="1" applyBorder="1" applyFont="1">
      <alignment readingOrder="0"/>
    </xf>
    <xf borderId="83" fillId="4" fontId="13" numFmtId="0" xfId="0" applyAlignment="1" applyBorder="1" applyFont="1">
      <alignment readingOrder="0"/>
    </xf>
    <xf borderId="7" fillId="4" fontId="1" numFmtId="0" xfId="0" applyBorder="1" applyFont="1"/>
    <xf borderId="83" fillId="4" fontId="1" numFmtId="0" xfId="0" applyBorder="1" applyFont="1"/>
    <xf borderId="84" fillId="4" fontId="1" numFmtId="0" xfId="0" applyAlignment="1" applyBorder="1" applyFont="1">
      <alignment readingOrder="0"/>
    </xf>
    <xf borderId="40" fillId="4" fontId="1" numFmtId="0" xfId="0" applyAlignment="1" applyBorder="1" applyFont="1">
      <alignment readingOrder="0"/>
    </xf>
    <xf borderId="85" fillId="4" fontId="1" numFmtId="0" xfId="0" applyAlignment="1" applyBorder="1" applyFont="1">
      <alignment readingOrder="0"/>
    </xf>
    <xf borderId="21" fillId="4" fontId="1" numFmtId="0" xfId="0" applyBorder="1" applyFont="1"/>
    <xf borderId="36" fillId="4" fontId="1" numFmtId="0" xfId="0" applyBorder="1" applyFont="1"/>
    <xf borderId="37" fillId="4" fontId="9" numFmtId="164" xfId="0" applyAlignment="1" applyBorder="1" applyFont="1" applyNumberFormat="1">
      <alignment readingOrder="0"/>
    </xf>
    <xf borderId="37" fillId="4" fontId="9" numFmtId="164" xfId="0" applyAlignment="1" applyBorder="1" applyFont="1" applyNumberFormat="1">
      <alignment readingOrder="0"/>
    </xf>
    <xf borderId="37" fillId="5" fontId="1" numFmtId="10" xfId="0" applyAlignment="1" applyBorder="1" applyFont="1" applyNumberFormat="1">
      <alignment readingOrder="0"/>
    </xf>
    <xf borderId="46" fillId="4" fontId="1" numFmtId="0" xfId="0" applyBorder="1" applyFont="1"/>
    <xf borderId="47" fillId="4" fontId="9" numFmtId="164" xfId="0" applyAlignment="1" applyBorder="1" applyFont="1" applyNumberFormat="1">
      <alignment readingOrder="0"/>
    </xf>
    <xf borderId="47" fillId="4" fontId="9" numFmtId="164" xfId="0" applyAlignment="1" applyBorder="1" applyFont="1" applyNumberFormat="1">
      <alignment readingOrder="0"/>
    </xf>
    <xf borderId="53" fillId="5" fontId="1" numFmtId="164" xfId="0" applyAlignment="1" applyBorder="1" applyFont="1" applyNumberFormat="1">
      <alignment readingOrder="0"/>
    </xf>
    <xf borderId="43" fillId="4" fontId="1" numFmtId="164" xfId="0" applyAlignment="1" applyBorder="1" applyFont="1" applyNumberFormat="1">
      <alignment readingOrder="0"/>
    </xf>
    <xf borderId="27" fillId="5" fontId="1" numFmtId="164" xfId="0" applyAlignment="1" applyBorder="1" applyFont="1" applyNumberFormat="1">
      <alignment readingOrder="0"/>
    </xf>
    <xf borderId="67" fillId="4" fontId="1" numFmtId="0" xfId="0" applyBorder="1" applyFont="1"/>
    <xf borderId="68" fillId="4" fontId="9" numFmtId="164" xfId="0" applyAlignment="1" applyBorder="1" applyFont="1" applyNumberFormat="1">
      <alignment readingOrder="0"/>
    </xf>
    <xf borderId="68" fillId="4" fontId="9" numFmtId="164" xfId="0" applyAlignment="1" applyBorder="1" applyFont="1" applyNumberFormat="1">
      <alignment readingOrder="0"/>
    </xf>
    <xf borderId="86" fillId="4" fontId="1" numFmtId="0" xfId="0" applyBorder="1" applyFont="1"/>
    <xf borderId="21" fillId="4" fontId="10" numFmtId="0" xfId="0" applyAlignment="1" applyBorder="1" applyFont="1">
      <alignment readingOrder="0" vertical="center"/>
    </xf>
    <xf borderId="75" fillId="4" fontId="10" numFmtId="0" xfId="0" applyAlignment="1" applyBorder="1" applyFont="1">
      <alignment readingOrder="0" vertical="center"/>
    </xf>
    <xf borderId="57" fillId="4" fontId="9" numFmtId="0" xfId="0" applyBorder="1" applyFont="1"/>
    <xf borderId="57" fillId="4" fontId="1" numFmtId="0" xfId="0" applyBorder="1" applyFont="1"/>
    <xf borderId="76" fillId="4" fontId="1" numFmtId="0" xfId="0" applyBorder="1" applyFont="1"/>
    <xf borderId="42" fillId="4" fontId="12" numFmtId="164" xfId="0" applyAlignment="1" applyBorder="1" applyFont="1" applyNumberFormat="1">
      <alignment horizontal="center"/>
    </xf>
    <xf borderId="42" fillId="4" fontId="12" numFmtId="164" xfId="0" applyAlignment="1" applyBorder="1" applyFont="1" applyNumberFormat="1">
      <alignment horizontal="center"/>
    </xf>
    <xf borderId="81" fillId="4" fontId="1" numFmtId="0" xfId="0" applyBorder="1" applyFont="1"/>
    <xf borderId="42" fillId="4" fontId="1" numFmtId="0" xfId="0" applyAlignment="1" applyBorder="1" applyFont="1">
      <alignment horizontal="center" readingOrder="0"/>
    </xf>
    <xf borderId="72" fillId="4" fontId="1" numFmtId="0" xfId="0" applyAlignment="1" applyBorder="1" applyFont="1">
      <alignment horizontal="center" readingOrder="0"/>
    </xf>
    <xf borderId="87" fillId="4" fontId="1" numFmtId="0" xfId="0" applyBorder="1" applyFont="1"/>
    <xf borderId="88" fillId="4" fontId="1" numFmtId="0" xfId="0" applyBorder="1" applyFont="1"/>
    <xf borderId="5" fillId="3" fontId="14" numFmtId="0" xfId="0" applyAlignment="1" applyBorder="1" applyFont="1">
      <alignment readingOrder="0" vertical="center"/>
    </xf>
    <xf borderId="89" fillId="0" fontId="3" numFmtId="0" xfId="0" applyBorder="1" applyFont="1"/>
    <xf borderId="90" fillId="3" fontId="5" numFmtId="0" xfId="0" applyAlignment="1" applyBorder="1" applyFont="1">
      <alignment horizontal="right" readingOrder="0"/>
    </xf>
    <xf borderId="91" fillId="0" fontId="3" numFmtId="0" xfId="0" applyBorder="1" applyFont="1"/>
    <xf borderId="92" fillId="3" fontId="5" numFmtId="164" xfId="0" applyAlignment="1" applyBorder="1" applyFont="1" applyNumberFormat="1">
      <alignment horizontal="right" readingOrder="0"/>
    </xf>
    <xf borderId="93" fillId="0" fontId="3" numFmtId="0" xfId="0" applyBorder="1" applyFont="1"/>
    <xf borderId="0" fillId="2" fontId="5" numFmtId="0" xfId="0" applyAlignment="1" applyFont="1">
      <alignment horizontal="right" readingOrder="0"/>
    </xf>
    <xf borderId="94" fillId="3" fontId="5" numFmtId="0" xfId="0" applyAlignment="1" applyBorder="1" applyFont="1">
      <alignment horizontal="right" readingOrder="0"/>
    </xf>
    <xf borderId="95" fillId="0" fontId="3" numFmtId="0" xfId="0" applyBorder="1" applyFont="1"/>
    <xf borderId="95" fillId="3" fontId="5" numFmtId="164" xfId="0" applyAlignment="1" applyBorder="1" applyFont="1" applyNumberFormat="1">
      <alignment horizontal="right" readingOrder="0"/>
    </xf>
    <xf borderId="96" fillId="0" fontId="3" numFmtId="0" xfId="0" applyBorder="1" applyFont="1"/>
    <xf borderId="32" fillId="0" fontId="3" numFmtId="0" xfId="0" applyBorder="1" applyFont="1"/>
    <xf borderId="97" fillId="0" fontId="3" numFmtId="0" xfId="0" applyBorder="1" applyFont="1"/>
    <xf borderId="98" fillId="3" fontId="5" numFmtId="0" xfId="0" applyAlignment="1" applyBorder="1" applyFont="1">
      <alignment horizontal="right" readingOrder="0"/>
    </xf>
    <xf borderId="99" fillId="0" fontId="3" numFmtId="0" xfId="0" applyBorder="1" applyFont="1"/>
    <xf borderId="99" fillId="3" fontId="5" numFmtId="164" xfId="0" applyAlignment="1" applyBorder="1" applyFont="1" applyNumberFormat="1">
      <alignment horizontal="right" readingOrder="0"/>
    </xf>
    <xf borderId="100" fillId="0" fontId="3" numFmtId="0" xfId="0" applyBorder="1" applyFont="1"/>
    <xf borderId="101" fillId="3" fontId="5" numFmtId="0" xfId="0" applyAlignment="1" applyBorder="1" applyFont="1">
      <alignment horizontal="right" readingOrder="0"/>
    </xf>
    <xf borderId="102" fillId="0" fontId="3" numFmtId="0" xfId="0" applyBorder="1" applyFont="1"/>
    <xf borderId="102" fillId="3" fontId="5" numFmtId="164" xfId="0" applyAlignment="1" applyBorder="1" applyFont="1" applyNumberFormat="1">
      <alignment horizontal="right" readingOrder="0"/>
    </xf>
    <xf borderId="103" fillId="0" fontId="3" numFmtId="0" xfId="0" applyBorder="1" applyFont="1"/>
    <xf borderId="30" fillId="0" fontId="3" numFmtId="0" xfId="0" applyBorder="1" applyFont="1"/>
    <xf borderId="104" fillId="0" fontId="3" numFmtId="0" xfId="0" applyBorder="1" applyFont="1"/>
    <xf borderId="105" fillId="0" fontId="3" numFmtId="0" xfId="0" applyBorder="1" applyFont="1"/>
    <xf borderId="106" fillId="3" fontId="5" numFmtId="0" xfId="0" applyAlignment="1" applyBorder="1" applyFont="1">
      <alignment horizontal="right" readingOrder="0"/>
    </xf>
    <xf borderId="107" fillId="0" fontId="3" numFmtId="0" xfId="0" applyBorder="1" applyFont="1"/>
    <xf borderId="107" fillId="3" fontId="5" numFmtId="164" xfId="0" applyAlignment="1" applyBorder="1" applyFont="1" applyNumberFormat="1">
      <alignment horizontal="right" readingOrder="0"/>
    </xf>
    <xf borderId="108" fillId="0" fontId="3" numFmtId="0" xfId="0" applyBorder="1" applyFont="1"/>
    <xf borderId="8" fillId="4" fontId="7" numFmtId="0" xfId="0" applyAlignment="1" applyBorder="1" applyFont="1">
      <alignment readingOrder="0"/>
    </xf>
    <xf borderId="9" fillId="4" fontId="7" numFmtId="0" xfId="0" applyAlignment="1" applyBorder="1" applyFont="1">
      <alignment readingOrder="0"/>
    </xf>
    <xf borderId="9" fillId="4" fontId="7" numFmtId="0" xfId="0" applyAlignment="1" applyBorder="1" applyFont="1">
      <alignment horizontal="right" readingOrder="0"/>
    </xf>
    <xf borderId="109" fillId="4" fontId="7" numFmtId="0" xfId="0" applyAlignment="1" applyBorder="1" applyFont="1">
      <alignment readingOrder="0"/>
    </xf>
    <xf borderId="110" fillId="0" fontId="3" numFmtId="0" xfId="0" applyBorder="1" applyFont="1"/>
    <xf borderId="111" fillId="0" fontId="3" numFmtId="0" xfId="0" applyBorder="1" applyFont="1"/>
    <xf borderId="112" fillId="6" fontId="8" numFmtId="0" xfId="0" applyAlignment="1" applyBorder="1" applyFill="1" applyFont="1">
      <alignment readingOrder="0"/>
    </xf>
    <xf borderId="113" fillId="6" fontId="8" numFmtId="0" xfId="0" applyAlignment="1" applyBorder="1" applyFont="1">
      <alignment readingOrder="0"/>
    </xf>
    <xf borderId="113" fillId="6" fontId="1" numFmtId="0" xfId="0" applyBorder="1" applyFont="1"/>
    <xf borderId="114" fillId="6" fontId="8" numFmtId="0" xfId="0" applyAlignment="1" applyBorder="1" applyFont="1">
      <alignment readingOrder="0"/>
    </xf>
    <xf borderId="115" fillId="6" fontId="1" numFmtId="0" xfId="0" applyAlignment="1" applyBorder="1" applyFont="1">
      <alignment readingOrder="0"/>
    </xf>
    <xf borderId="116" fillId="6" fontId="1" numFmtId="0" xfId="0" applyAlignment="1" applyBorder="1" applyFont="1">
      <alignment readingOrder="0"/>
    </xf>
    <xf borderId="116" fillId="6" fontId="1" numFmtId="0" xfId="0" applyBorder="1" applyFont="1"/>
    <xf borderId="117" fillId="6" fontId="1" numFmtId="0" xfId="0" applyBorder="1" applyFont="1"/>
    <xf borderId="118" fillId="6" fontId="1" numFmtId="0" xfId="0" applyAlignment="1" applyBorder="1" applyFont="1">
      <alignment readingOrder="0"/>
    </xf>
    <xf borderId="119" fillId="6" fontId="1" numFmtId="164" xfId="0" applyAlignment="1" applyBorder="1" applyFont="1" applyNumberFormat="1">
      <alignment horizontal="center" readingOrder="0"/>
    </xf>
    <xf borderId="120" fillId="6" fontId="1" numFmtId="164" xfId="0" applyAlignment="1" applyBorder="1" applyFont="1" applyNumberFormat="1">
      <alignment horizontal="center" readingOrder="0"/>
    </xf>
    <xf borderId="121" fillId="6" fontId="1" numFmtId="164" xfId="0" applyAlignment="1" applyBorder="1" applyFont="1" applyNumberFormat="1">
      <alignment horizontal="center" readingOrder="0"/>
    </xf>
    <xf borderId="118" fillId="6" fontId="1" numFmtId="0" xfId="0" applyBorder="1" applyFont="1"/>
    <xf borderId="0" fillId="6" fontId="15" numFmtId="164" xfId="0" applyAlignment="1" applyFont="1" applyNumberFormat="1">
      <alignment horizontal="center" readingOrder="0"/>
    </xf>
    <xf borderId="122" fillId="6" fontId="16" numFmtId="164" xfId="0" applyAlignment="1" applyBorder="1" applyFont="1" applyNumberFormat="1">
      <alignment horizontal="center" readingOrder="0"/>
    </xf>
    <xf borderId="122" fillId="6" fontId="16" numFmtId="164" xfId="0" applyAlignment="1" applyBorder="1" applyFont="1" applyNumberFormat="1">
      <alignment horizontal="center"/>
    </xf>
    <xf borderId="123" fillId="6" fontId="16" numFmtId="164" xfId="0" applyAlignment="1" applyBorder="1" applyFont="1" applyNumberFormat="1">
      <alignment horizontal="center" readingOrder="0"/>
    </xf>
    <xf borderId="122" fillId="6" fontId="15" numFmtId="164" xfId="0" applyAlignment="1" applyBorder="1" applyFont="1" applyNumberFormat="1">
      <alignment horizontal="center" readingOrder="0"/>
    </xf>
    <xf borderId="122" fillId="6" fontId="15" numFmtId="164" xfId="0" applyAlignment="1" applyBorder="1" applyFont="1" applyNumberFormat="1">
      <alignment horizontal="center"/>
    </xf>
    <xf borderId="122" fillId="6" fontId="15" numFmtId="0" xfId="0" applyAlignment="1" applyBorder="1" applyFont="1">
      <alignment horizontal="center"/>
    </xf>
    <xf borderId="123" fillId="6" fontId="15" numFmtId="0" xfId="0" applyAlignment="1" applyBorder="1" applyFont="1">
      <alignment horizontal="center"/>
    </xf>
    <xf borderId="124" fillId="6" fontId="1" numFmtId="0" xfId="0" applyBorder="1" applyFont="1"/>
    <xf borderId="0" fillId="5" fontId="15" numFmtId="164" xfId="0" applyAlignment="1" applyFont="1" applyNumberFormat="1">
      <alignment horizontal="center" readingOrder="0"/>
    </xf>
    <xf borderId="122" fillId="5" fontId="15" numFmtId="164" xfId="0" applyAlignment="1" applyBorder="1" applyFont="1" applyNumberFormat="1">
      <alignment horizontal="center" readingOrder="0"/>
    </xf>
    <xf borderId="122" fillId="5" fontId="15" numFmtId="0" xfId="0" applyAlignment="1" applyBorder="1" applyFont="1">
      <alignment horizontal="center"/>
    </xf>
    <xf borderId="123" fillId="5" fontId="15" numFmtId="0" xfId="0" applyAlignment="1" applyBorder="1" applyFont="1">
      <alignment horizontal="center"/>
    </xf>
    <xf borderId="125" fillId="6" fontId="1" numFmtId="0" xfId="0" applyBorder="1" applyFont="1"/>
    <xf borderId="122" fillId="6" fontId="16" numFmtId="164" xfId="0" applyAlignment="1" applyBorder="1" applyFont="1" applyNumberFormat="1">
      <alignment horizontal="center" readingOrder="0"/>
    </xf>
    <xf borderId="122" fillId="6" fontId="16" numFmtId="0" xfId="0" applyAlignment="1" applyBorder="1" applyFont="1">
      <alignment horizontal="center"/>
    </xf>
    <xf borderId="123" fillId="6" fontId="16" numFmtId="0" xfId="0" applyAlignment="1" applyBorder="1" applyFont="1">
      <alignment horizontal="center"/>
    </xf>
    <xf borderId="124" fillId="6" fontId="8" numFmtId="0" xfId="0" applyAlignment="1" applyBorder="1" applyFont="1">
      <alignment readingOrder="0"/>
    </xf>
    <xf borderId="0" fillId="6" fontId="15" numFmtId="0" xfId="0" applyAlignment="1" applyFont="1">
      <alignment horizontal="center" readingOrder="0"/>
    </xf>
    <xf borderId="122" fillId="6" fontId="15" numFmtId="164" xfId="0" applyAlignment="1" applyBorder="1" applyFont="1" applyNumberFormat="1">
      <alignment horizontal="center" readingOrder="0"/>
    </xf>
    <xf borderId="122" fillId="6" fontId="15" numFmtId="0" xfId="0" applyAlignment="1" applyBorder="1" applyFont="1">
      <alignment horizontal="center" readingOrder="0"/>
    </xf>
    <xf borderId="123" fillId="6" fontId="15" numFmtId="0" xfId="0" applyAlignment="1" applyBorder="1" applyFont="1">
      <alignment horizontal="center" readingOrder="0"/>
    </xf>
    <xf borderId="125" fillId="6" fontId="8" numFmtId="0" xfId="0" applyAlignment="1" applyBorder="1" applyFont="1">
      <alignment readingOrder="0"/>
    </xf>
    <xf borderId="124" fillId="6" fontId="1" numFmtId="0" xfId="0" applyAlignment="1" applyBorder="1" applyFont="1">
      <alignment readingOrder="0"/>
    </xf>
    <xf borderId="122" fillId="6" fontId="16" numFmtId="0" xfId="0" applyAlignment="1" applyBorder="1" applyFont="1">
      <alignment horizontal="center" readingOrder="0"/>
    </xf>
    <xf borderId="123" fillId="6" fontId="16" numFmtId="0" xfId="0" applyAlignment="1" applyBorder="1" applyFont="1">
      <alignment horizontal="center" readingOrder="0"/>
    </xf>
    <xf borderId="126" fillId="6" fontId="1" numFmtId="0" xfId="0" applyBorder="1" applyFont="1"/>
    <xf borderId="127" fillId="5" fontId="9" numFmtId="164" xfId="0" applyAlignment="1" applyBorder="1" applyFont="1" applyNumberFormat="1">
      <alignment readingOrder="0"/>
    </xf>
    <xf borderId="127" fillId="5" fontId="9" numFmtId="164" xfId="0" applyAlignment="1" applyBorder="1" applyFont="1" applyNumberFormat="1">
      <alignment readingOrder="0"/>
    </xf>
    <xf borderId="127" fillId="5" fontId="9" numFmtId="0" xfId="0" applyBorder="1" applyFont="1"/>
    <xf borderId="127" fillId="5" fontId="1" numFmtId="10" xfId="0" applyAlignment="1" applyBorder="1" applyFont="1" applyNumberFormat="1">
      <alignment readingOrder="0"/>
    </xf>
    <xf borderId="127" fillId="5" fontId="9" numFmtId="10" xfId="0" applyBorder="1" applyFont="1" applyNumberFormat="1"/>
    <xf borderId="127" fillId="5" fontId="1" numFmtId="0" xfId="0" applyBorder="1" applyFont="1"/>
    <xf borderId="127" fillId="5" fontId="1" numFmtId="164" xfId="0" applyAlignment="1" applyBorder="1" applyFont="1" applyNumberFormat="1">
      <alignment readingOrder="0"/>
    </xf>
    <xf borderId="128" fillId="6" fontId="1" numFmtId="0" xfId="0" applyBorder="1" applyFont="1"/>
    <xf borderId="127" fillId="5" fontId="1" numFmtId="0" xfId="0" applyAlignment="1" applyBorder="1" applyFont="1">
      <alignment readingOrder="0"/>
    </xf>
    <xf borderId="127" fillId="5" fontId="9" numFmtId="0" xfId="0" applyAlignment="1" applyBorder="1" applyFont="1">
      <alignment readingOrder="0"/>
    </xf>
    <xf borderId="128" fillId="6" fontId="10" numFmtId="0" xfId="0" applyAlignment="1" applyBorder="1" applyFont="1">
      <alignment readingOrder="0" vertical="center"/>
    </xf>
    <xf borderId="127" fillId="5" fontId="1" numFmtId="0" xfId="0" applyAlignment="1" applyBorder="1" applyFont="1">
      <alignment horizontal="center" readingOrder="0"/>
    </xf>
    <xf borderId="129" fillId="6" fontId="10" numFmtId="0" xfId="0" applyAlignment="1" applyBorder="1" applyFont="1">
      <alignment readingOrder="0" vertical="center"/>
    </xf>
    <xf borderId="130" fillId="6" fontId="1" numFmtId="0" xfId="0" applyAlignment="1" applyBorder="1" applyFont="1">
      <alignment horizontal="center" readingOrder="0"/>
    </xf>
    <xf borderId="130" fillId="6" fontId="1" numFmtId="0" xfId="0" applyBorder="1" applyFont="1"/>
    <xf borderId="131" fillId="6" fontId="1" numFmtId="0" xfId="0" applyBorder="1" applyFont="1"/>
    <xf borderId="0" fillId="7" fontId="17" numFmtId="0" xfId="0" applyFill="1" applyFont="1"/>
    <xf borderId="0" fillId="7" fontId="1" numFmtId="0" xfId="0" applyFont="1"/>
    <xf borderId="0" fillId="0" fontId="10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8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8" numFmtId="164" xfId="0" applyAlignment="1" applyFont="1" applyNumberForma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7" fontId="17" numFmtId="0" xfId="0" applyAlignment="1" applyFont="1">
      <alignment readingOrder="0"/>
    </xf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666666"/>
          <bgColor rgb="FF666666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10</xdr:row>
      <xdr:rowOff>38100</xdr:rowOff>
    </xdr:from>
    <xdr:ext cx="266700" cy="247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14</xdr:row>
      <xdr:rowOff>38100</xdr:rowOff>
    </xdr:from>
    <xdr:ext cx="266700" cy="247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2.88"/>
    <col customWidth="1" min="3" max="3" width="6.75"/>
    <col customWidth="1" min="4" max="4" width="3.38"/>
    <col customWidth="1" min="5" max="5" width="23.25"/>
    <col customWidth="1" min="6" max="8" width="13.0"/>
    <col customWidth="1" min="10" max="10" width="9.0"/>
    <col customWidth="1" min="11" max="12" width="4.63"/>
    <col customWidth="1" min="13" max="13" width="2.63"/>
    <col customWidth="1" min="14" max="14" width="17.0"/>
    <col customWidth="1" min="15" max="15" width="2.88"/>
    <col customWidth="1" min="16" max="16" width="17.0"/>
    <col customWidth="1" min="17" max="17" width="2.88"/>
    <col customWidth="1" min="18" max="18" width="17.0"/>
    <col customWidth="1" min="19" max="19" width="2.88"/>
    <col customWidth="1" min="20" max="20" width="17.0"/>
    <col customWidth="1" min="21" max="21" width="2.88"/>
    <col customWidth="1" min="22" max="22" width="17.0"/>
    <col customWidth="1" min="23" max="23" width="2.88"/>
    <col customWidth="1" min="24" max="24" width="17.0"/>
    <col customWidth="1" min="25" max="25" width="4.13"/>
    <col customWidth="1" min="26" max="26" width="4.63"/>
    <col customWidth="1" min="27" max="27" width="3.25"/>
    <col customWidth="1" min="28" max="28" width="3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1.75" customHeight="1">
      <c r="A2" s="1"/>
      <c r="B2" s="1"/>
      <c r="C2" s="2" t="s">
        <v>0</v>
      </c>
      <c r="D2" s="3"/>
      <c r="E2" s="3"/>
      <c r="F2" s="3"/>
      <c r="G2" s="3"/>
      <c r="H2" s="3"/>
      <c r="I2" s="3"/>
      <c r="J2" s="3"/>
      <c r="K2" s="4"/>
      <c r="L2" s="5"/>
      <c r="M2" s="5"/>
      <c r="N2" s="5"/>
      <c r="O2" s="5"/>
      <c r="P2" s="5"/>
      <c r="Q2" s="5"/>
      <c r="R2" s="5"/>
      <c r="S2" s="6"/>
      <c r="T2" s="7" t="s">
        <v>1</v>
      </c>
      <c r="U2" s="3"/>
      <c r="V2" s="8">
        <f>IF($C4, $G18*$J4, G18)</f>
        <v>25000</v>
      </c>
      <c r="W2" s="3"/>
      <c r="X2" s="3"/>
      <c r="Y2" s="3"/>
      <c r="Z2" s="9"/>
      <c r="AA2" s="1"/>
      <c r="AB2" s="1"/>
    </row>
    <row r="3" ht="21.75" customHeight="1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10" t="s">
        <v>2</v>
      </c>
      <c r="U3" s="11"/>
      <c r="V3" s="12">
        <f>IF($C4, $F18*$J4, F18)</f>
        <v>5000</v>
      </c>
      <c r="W3" s="11"/>
      <c r="X3" s="11"/>
      <c r="Y3" s="11"/>
      <c r="Z3" s="13"/>
      <c r="AA3" s="1"/>
      <c r="AB3" s="1"/>
    </row>
    <row r="4" ht="21.75" customHeight="1">
      <c r="A4" s="1"/>
      <c r="B4" s="1"/>
      <c r="C4" s="5" t="b">
        <v>1</v>
      </c>
      <c r="D4" s="5"/>
      <c r="E4" s="5" t="s">
        <v>3</v>
      </c>
      <c r="F4" s="14"/>
      <c r="H4" s="14" t="s">
        <v>4</v>
      </c>
      <c r="J4" s="15">
        <v>5.0</v>
      </c>
      <c r="K4" s="5"/>
      <c r="L4" s="5"/>
      <c r="M4" s="5"/>
      <c r="N4" s="5"/>
      <c r="O4" s="5"/>
      <c r="P4" s="5"/>
      <c r="Q4" s="5"/>
      <c r="R4" s="5"/>
      <c r="S4" s="6"/>
      <c r="T4" s="16" t="s">
        <v>5</v>
      </c>
      <c r="U4" s="17"/>
      <c r="V4" s="18">
        <f>IF($C4, $H18*$J4, H18)</f>
        <v>20000</v>
      </c>
      <c r="W4" s="17"/>
      <c r="X4" s="17"/>
      <c r="Y4" s="17"/>
      <c r="Z4" s="19"/>
      <c r="AA4" s="1"/>
      <c r="AB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9.75" customHeight="1">
      <c r="A6" s="1"/>
      <c r="B6" s="1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"/>
      <c r="AB6" s="1"/>
    </row>
    <row r="7" ht="26.25" customHeight="1">
      <c r="A7" s="1"/>
      <c r="B7" s="1"/>
      <c r="C7" s="21"/>
      <c r="D7" s="22"/>
      <c r="E7" s="23" t="str">
        <f>"Calculators"&amp;IF($C4, " (monthly costs)", "")</f>
        <v>Calculators (monthly costs)</v>
      </c>
      <c r="F7" s="24"/>
      <c r="G7" s="25"/>
      <c r="H7" s="26"/>
      <c r="I7" s="26"/>
      <c r="J7" s="26"/>
      <c r="K7" s="20"/>
      <c r="L7" s="20"/>
      <c r="M7" s="23" t="str">
        <f>"Payment breakdown"&amp;IF($C4, " (for all months combined)", "")</f>
        <v>Payment breakdown (for all months combined)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5"/>
      <c r="Z7" s="20"/>
      <c r="AA7" s="1"/>
      <c r="AB7" s="1"/>
    </row>
    <row r="8" ht="15.75" customHeight="1">
      <c r="A8" s="1"/>
      <c r="B8" s="1"/>
      <c r="C8" s="27"/>
      <c r="D8" s="28"/>
      <c r="E8" s="29"/>
      <c r="F8" s="29"/>
      <c r="G8" s="29"/>
      <c r="H8" s="29"/>
      <c r="I8" s="29"/>
      <c r="J8" s="29"/>
      <c r="K8" s="20"/>
      <c r="L8" s="20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0"/>
      <c r="AA8" s="1"/>
      <c r="AB8" s="1"/>
    </row>
    <row r="9">
      <c r="A9" s="1"/>
      <c r="B9" s="1"/>
      <c r="C9" s="27"/>
      <c r="D9" s="30"/>
      <c r="E9" s="31" t="s">
        <v>6</v>
      </c>
      <c r="F9" s="32"/>
      <c r="G9" s="32"/>
      <c r="H9" s="32"/>
      <c r="I9" s="32"/>
      <c r="J9" s="33"/>
      <c r="K9" s="34"/>
      <c r="L9" s="35"/>
      <c r="M9" s="36" t="s">
        <v>7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3"/>
      <c r="Z9" s="37"/>
      <c r="AA9" s="1"/>
      <c r="AB9" s="1"/>
    </row>
    <row r="10">
      <c r="A10" s="1"/>
      <c r="B10" s="1"/>
      <c r="C10" s="27"/>
      <c r="D10" s="38"/>
      <c r="E10" s="39" t="s">
        <v>8</v>
      </c>
      <c r="F10" s="40" t="s">
        <v>9</v>
      </c>
      <c r="G10" s="40" t="s">
        <v>10</v>
      </c>
      <c r="H10" s="40" t="s">
        <v>11</v>
      </c>
      <c r="I10" s="40" t="s">
        <v>12</v>
      </c>
      <c r="J10" s="41" t="s">
        <v>13</v>
      </c>
      <c r="K10" s="34"/>
      <c r="L10" s="35"/>
      <c r="M10" s="42"/>
      <c r="N10" s="43"/>
      <c r="O10" s="44"/>
      <c r="P10" s="29"/>
      <c r="Q10" s="44"/>
      <c r="R10" s="29"/>
      <c r="S10" s="44"/>
      <c r="T10" s="29"/>
      <c r="U10" s="45"/>
      <c r="V10" s="45"/>
      <c r="W10" s="46"/>
      <c r="X10" s="45"/>
      <c r="Y10" s="47"/>
      <c r="Z10" s="37"/>
      <c r="AA10" s="1"/>
      <c r="AB10" s="1"/>
    </row>
    <row r="11">
      <c r="A11" s="1"/>
      <c r="B11" s="1"/>
      <c r="C11" s="48" t="s">
        <v>14</v>
      </c>
      <c r="D11" s="38" t="b">
        <v>1</v>
      </c>
      <c r="E11" s="49" t="str">
        <f>IF($C4, "Monthly Development", "*** months development")</f>
        <v>Monthly Development</v>
      </c>
      <c r="F11" s="50">
        <v>1000.0</v>
      </c>
      <c r="G11" s="51">
        <v>5000.0</v>
      </c>
      <c r="H11" s="52">
        <f t="shared" ref="H11:H16" si="2">(G11-F11)</f>
        <v>4000</v>
      </c>
      <c r="I11" s="53">
        <f t="shared" ref="I11:J11" si="1">(G11/F11)</f>
        <v>5</v>
      </c>
      <c r="J11" s="54">
        <f t="shared" si="1"/>
        <v>0.8</v>
      </c>
      <c r="K11" s="34"/>
      <c r="L11" s="35"/>
      <c r="M11" s="55"/>
      <c r="N11" s="56" t="s">
        <v>15</v>
      </c>
      <c r="O11" s="34"/>
      <c r="P11" s="56" t="s">
        <v>16</v>
      </c>
      <c r="Q11" s="34"/>
      <c r="R11" s="56" t="s">
        <v>17</v>
      </c>
      <c r="S11" s="34"/>
      <c r="T11" s="57" t="s">
        <v>18</v>
      </c>
      <c r="U11" s="58"/>
      <c r="V11" s="56" t="s">
        <v>19</v>
      </c>
      <c r="W11" s="59"/>
      <c r="X11" s="56" t="s">
        <v>20</v>
      </c>
      <c r="Y11" s="60"/>
      <c r="Z11" s="37"/>
      <c r="AA11" s="1"/>
      <c r="AB11" s="1"/>
    </row>
    <row r="12">
      <c r="A12" s="1"/>
      <c r="B12" s="1"/>
      <c r="C12" s="61"/>
      <c r="D12" s="38" t="b">
        <v>0</v>
      </c>
      <c r="E12" s="62"/>
      <c r="F12" s="63"/>
      <c r="G12" s="64"/>
      <c r="H12" s="65">
        <f t="shared" si="2"/>
        <v>0</v>
      </c>
      <c r="I12" s="66" t="str">
        <f t="shared" ref="I12:J12" si="3">(G12/F12)</f>
        <v>#DIV/0!</v>
      </c>
      <c r="J12" s="67" t="str">
        <f t="shared" si="3"/>
        <v>#DIV/0!</v>
      </c>
      <c r="K12" s="34"/>
      <c r="L12" s="35"/>
      <c r="M12" s="55"/>
      <c r="N12" s="68" t="str">
        <f>IF(C4, , 50% )</f>
        <v/>
      </c>
      <c r="O12" s="69"/>
      <c r="P12" s="70" t="str">
        <f>IF(C4, , 50% )</f>
        <v/>
      </c>
      <c r="Q12" s="69"/>
      <c r="R12" s="70" t="str">
        <f>IF(C4, , 50% )</f>
        <v/>
      </c>
      <c r="S12" s="34"/>
      <c r="T12" s="71">
        <v>0.05</v>
      </c>
      <c r="U12" s="72"/>
      <c r="V12" s="73">
        <v>0.02</v>
      </c>
      <c r="W12" s="74"/>
      <c r="X12" s="73">
        <v>0.0</v>
      </c>
      <c r="Y12" s="60"/>
      <c r="Z12" s="37"/>
      <c r="AA12" s="1"/>
      <c r="AB12" s="1"/>
    </row>
    <row r="13">
      <c r="A13" s="1"/>
      <c r="B13" s="1"/>
      <c r="C13" s="61"/>
      <c r="D13" s="38" t="b">
        <v>0</v>
      </c>
      <c r="E13" s="75"/>
      <c r="F13" s="63"/>
      <c r="G13" s="64"/>
      <c r="H13" s="65">
        <f t="shared" si="2"/>
        <v>0</v>
      </c>
      <c r="I13" s="66" t="str">
        <f t="shared" ref="I13:J13" si="4">(G13/F13)</f>
        <v>#DIV/0!</v>
      </c>
      <c r="J13" s="67" t="str">
        <f t="shared" si="4"/>
        <v>#DIV/0!</v>
      </c>
      <c r="K13" s="34"/>
      <c r="L13" s="35"/>
      <c r="M13" s="55"/>
      <c r="N13" s="76" t="str">
        <f>IF(C4, , 25% )</f>
        <v/>
      </c>
      <c r="O13" s="77"/>
      <c r="P13" s="78" t="str">
        <f>IF(C4, , 25% )</f>
        <v/>
      </c>
      <c r="Q13" s="77"/>
      <c r="R13" s="78" t="str">
        <f>IF(C4, , 25% )</f>
        <v/>
      </c>
      <c r="S13" s="34"/>
      <c r="T13" s="79"/>
      <c r="U13" s="80"/>
      <c r="V13" s="81"/>
      <c r="W13" s="82"/>
      <c r="X13" s="83"/>
      <c r="Y13" s="84"/>
      <c r="Z13" s="37"/>
      <c r="AA13" s="1"/>
      <c r="AB13" s="1"/>
    </row>
    <row r="14">
      <c r="A14" s="1"/>
      <c r="B14" s="1"/>
      <c r="C14" s="61"/>
      <c r="D14" s="38" t="b">
        <v>0</v>
      </c>
      <c r="E14" s="75"/>
      <c r="F14" s="63"/>
      <c r="G14" s="64"/>
      <c r="H14" s="65">
        <f t="shared" si="2"/>
        <v>0</v>
      </c>
      <c r="I14" s="66" t="str">
        <f t="shared" ref="I14:J14" si="5">(G14/F14)</f>
        <v>#DIV/0!</v>
      </c>
      <c r="J14" s="67" t="str">
        <f t="shared" si="5"/>
        <v>#DIV/0!</v>
      </c>
      <c r="K14" s="34"/>
      <c r="L14" s="35"/>
      <c r="M14" s="55"/>
      <c r="N14" s="76" t="str">
        <f>IF(C4, , 20% )</f>
        <v/>
      </c>
      <c r="O14" s="77"/>
      <c r="P14" s="78" t="str">
        <f>IF(C4, , 20% )</f>
        <v/>
      </c>
      <c r="Q14" s="77"/>
      <c r="R14" s="78" t="str">
        <f>IF(C4, , 20% )</f>
        <v/>
      </c>
      <c r="S14" s="34"/>
      <c r="T14" s="85"/>
      <c r="U14" s="86"/>
      <c r="V14" s="87"/>
      <c r="W14" s="88"/>
      <c r="X14" s="88"/>
      <c r="Y14" s="60"/>
      <c r="Z14" s="37"/>
      <c r="AA14" s="1"/>
      <c r="AB14" s="1"/>
    </row>
    <row r="15">
      <c r="A15" s="1"/>
      <c r="B15" s="1"/>
      <c r="C15" s="61"/>
      <c r="D15" s="38" t="b">
        <v>0</v>
      </c>
      <c r="E15" s="75"/>
      <c r="F15" s="63"/>
      <c r="G15" s="64"/>
      <c r="H15" s="65">
        <f t="shared" si="2"/>
        <v>0</v>
      </c>
      <c r="I15" s="66" t="str">
        <f t="shared" ref="I15:J15" si="6">(G15/F15)</f>
        <v>#DIV/0!</v>
      </c>
      <c r="J15" s="67" t="str">
        <f t="shared" si="6"/>
        <v>#DIV/0!</v>
      </c>
      <c r="K15" s="34"/>
      <c r="L15" s="35"/>
      <c r="M15" s="55"/>
      <c r="N15" s="89" t="str">
        <f>IF(C4, , 5% )</f>
        <v/>
      </c>
      <c r="O15" s="77"/>
      <c r="P15" s="90" t="str">
        <f>IF(C4, , 5% )</f>
        <v/>
      </c>
      <c r="Q15" s="77"/>
      <c r="R15" s="90" t="str">
        <f>IF(C4, , 5% )</f>
        <v/>
      </c>
      <c r="S15" s="34"/>
      <c r="T15" s="91"/>
      <c r="U15" s="92"/>
      <c r="V15" s="93"/>
      <c r="W15" s="94"/>
      <c r="X15" s="94"/>
      <c r="Y15" s="60"/>
      <c r="Z15" s="37"/>
      <c r="AA15" s="1"/>
      <c r="AB15" s="1"/>
    </row>
    <row r="16">
      <c r="A16" s="1"/>
      <c r="B16" s="1"/>
      <c r="C16" s="95"/>
      <c r="D16" s="38" t="b">
        <v>0</v>
      </c>
      <c r="E16" s="96"/>
      <c r="F16" s="97"/>
      <c r="G16" s="98"/>
      <c r="H16" s="99">
        <f t="shared" si="2"/>
        <v>0</v>
      </c>
      <c r="I16" s="100" t="str">
        <f t="shared" ref="I16:J16" si="7">(G16/F16)</f>
        <v>#DIV/0!</v>
      </c>
      <c r="J16" s="101" t="str">
        <f t="shared" si="7"/>
        <v>#DIV/0!</v>
      </c>
      <c r="K16" s="34"/>
      <c r="L16" s="35"/>
      <c r="M16" s="102"/>
      <c r="N16" s="103"/>
      <c r="O16" s="104"/>
      <c r="P16" s="105"/>
      <c r="Q16" s="104"/>
      <c r="R16" s="105"/>
      <c r="S16" s="104"/>
      <c r="T16" s="105"/>
      <c r="U16" s="103"/>
      <c r="V16" s="103"/>
      <c r="W16" s="103"/>
      <c r="X16" s="103"/>
      <c r="Y16" s="106"/>
      <c r="Z16" s="37"/>
      <c r="AA16" s="1"/>
      <c r="AB16" s="1"/>
    </row>
    <row r="17" ht="6.75" customHeight="1">
      <c r="A17" s="1"/>
      <c r="B17" s="1"/>
      <c r="C17" s="27"/>
      <c r="D17" s="107"/>
      <c r="E17" s="108" t="s">
        <v>21</v>
      </c>
      <c r="F17" s="109"/>
      <c r="G17" s="110"/>
      <c r="H17" s="111"/>
      <c r="I17" s="112"/>
      <c r="J17" s="113"/>
      <c r="K17" s="34"/>
      <c r="L17" s="114"/>
      <c r="M17" s="115"/>
      <c r="N17" s="115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20"/>
      <c r="AA17" s="1"/>
      <c r="AB17" s="1"/>
    </row>
    <row r="18" ht="15.75" customHeight="1">
      <c r="A18" s="1"/>
      <c r="B18" s="1"/>
      <c r="C18" s="27"/>
      <c r="D18" s="107"/>
      <c r="E18" s="116"/>
      <c r="F18" s="117">
        <f>SUM(IF(D11, F11, 0), IF(D12, F12, 0), IF(D13, F13, 0), IF(D14, F14, 0), IF(D15, F15, 0), IF(D16, F16, 0))</f>
        <v>1000</v>
      </c>
      <c r="G18" s="118">
        <f>SUM(IF(D11, G11, 0), IF(D12, G12, 0), IF(D13, G13, 0), IF(D14, G14, 0), IF(D15, G15, 0), IF(D16, G16, 0))</f>
        <v>5000</v>
      </c>
      <c r="H18" s="119">
        <f>SUM(IF(D11, H11, 0), IF(D12, H12, 0), IF(D13, H13, 0), IF(D14, H14, 0), IF(D15, H15, 0), IF(D16, H16, 0))</f>
        <v>4000</v>
      </c>
      <c r="I18" s="120"/>
      <c r="J18" s="121"/>
      <c r="K18" s="34"/>
      <c r="L18" s="114"/>
      <c r="M18" s="37"/>
      <c r="N18" s="37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"/>
      <c r="AB18" s="1"/>
    </row>
    <row r="19" ht="13.5" customHeight="1">
      <c r="A19" s="1"/>
      <c r="B19" s="1"/>
      <c r="C19" s="27"/>
      <c r="D19" s="107"/>
      <c r="E19" s="116"/>
      <c r="F19" s="122" t="s">
        <v>9</v>
      </c>
      <c r="G19" s="123" t="s">
        <v>10</v>
      </c>
      <c r="H19" s="124" t="s">
        <v>11</v>
      </c>
      <c r="I19" s="120"/>
      <c r="J19" s="121"/>
      <c r="K19" s="34"/>
      <c r="L19" s="114"/>
      <c r="M19" s="37"/>
      <c r="N19" s="37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"/>
      <c r="AB19" s="1"/>
    </row>
    <row r="20" ht="6.75" customHeight="1">
      <c r="A20" s="1"/>
      <c r="B20" s="1"/>
      <c r="C20" s="27"/>
      <c r="D20" s="107"/>
      <c r="E20" s="125"/>
      <c r="F20" s="126"/>
      <c r="G20" s="126"/>
      <c r="H20" s="126"/>
      <c r="I20" s="126"/>
      <c r="J20" s="127"/>
      <c r="K20" s="34"/>
      <c r="L20" s="114"/>
      <c r="M20" s="37"/>
      <c r="N20" s="37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"/>
      <c r="AB20" s="1"/>
    </row>
    <row r="21" ht="10.5" customHeight="1">
      <c r="A21" s="1"/>
      <c r="B21" s="1"/>
      <c r="C21" s="27"/>
      <c r="D21" s="28"/>
      <c r="E21" s="44"/>
      <c r="F21" s="44"/>
      <c r="G21" s="44"/>
      <c r="H21" s="44"/>
      <c r="I21" s="44"/>
      <c r="J21" s="44"/>
      <c r="K21" s="128"/>
      <c r="L21" s="114"/>
      <c r="M21" s="37"/>
      <c r="N21" s="37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"/>
      <c r="AB21" s="1"/>
    </row>
    <row r="22" ht="10.5" customHeight="1">
      <c r="A22" s="1"/>
      <c r="B22" s="1"/>
      <c r="C22" s="27"/>
      <c r="D22" s="129"/>
      <c r="E22" s="130"/>
      <c r="F22" s="130"/>
      <c r="G22" s="130"/>
      <c r="H22" s="130"/>
      <c r="I22" s="130"/>
      <c r="J22" s="130"/>
      <c r="K22" s="128"/>
      <c r="L22" s="114"/>
      <c r="M22" s="131"/>
      <c r="N22" s="131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20"/>
      <c r="AA22" s="1"/>
      <c r="AB22" s="1"/>
    </row>
    <row r="23" ht="19.5" customHeight="1">
      <c r="A23" s="1"/>
      <c r="B23" s="1"/>
      <c r="C23" s="27"/>
      <c r="D23" s="30"/>
      <c r="E23" s="31" t="s">
        <v>22</v>
      </c>
      <c r="F23" s="32"/>
      <c r="G23" s="32"/>
      <c r="H23" s="32"/>
      <c r="I23" s="32"/>
      <c r="J23" s="33"/>
      <c r="K23" s="34"/>
      <c r="L23" s="35"/>
      <c r="M23" s="31" t="s">
        <v>23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3"/>
      <c r="Z23" s="37"/>
      <c r="AA23" s="1"/>
      <c r="AB23" s="1"/>
    </row>
    <row r="24">
      <c r="A24" s="1"/>
      <c r="B24" s="1"/>
      <c r="C24" s="27"/>
      <c r="D24" s="38"/>
      <c r="E24" s="133" t="s">
        <v>8</v>
      </c>
      <c r="F24" s="134" t="s">
        <v>9</v>
      </c>
      <c r="G24" s="134" t="s">
        <v>10</v>
      </c>
      <c r="H24" s="134" t="s">
        <v>11</v>
      </c>
      <c r="I24" s="134" t="s">
        <v>12</v>
      </c>
      <c r="J24" s="135" t="s">
        <v>13</v>
      </c>
      <c r="K24" s="34"/>
      <c r="L24" s="35"/>
      <c r="M24" s="42"/>
      <c r="N24" s="43"/>
      <c r="O24" s="44"/>
      <c r="P24" s="29"/>
      <c r="Q24" s="44"/>
      <c r="R24" s="29"/>
      <c r="S24" s="44"/>
      <c r="T24" s="29"/>
      <c r="U24" s="45"/>
      <c r="V24" s="45"/>
      <c r="W24" s="46"/>
      <c r="X24" s="45"/>
      <c r="Y24" s="47"/>
      <c r="Z24" s="37"/>
      <c r="AA24" s="1"/>
      <c r="AB24" s="1"/>
    </row>
    <row r="25">
      <c r="A25" s="1"/>
      <c r="B25" s="1"/>
      <c r="C25" s="27"/>
      <c r="D25" s="136"/>
      <c r="E25" s="137" t="str">
        <f t="shared" ref="E25:F25" si="8">E11</f>
        <v>Monthly Development</v>
      </c>
      <c r="F25" s="138">
        <f t="shared" si="8"/>
        <v>1000</v>
      </c>
      <c r="G25" s="139">
        <f t="shared" ref="G25:G30" si="10">(F25*I25)</f>
        <v>2200</v>
      </c>
      <c r="H25" s="52">
        <f t="shared" ref="H25:H30" si="11">(G25-F25)</f>
        <v>1200</v>
      </c>
      <c r="I25" s="140">
        <v>2.2</v>
      </c>
      <c r="J25" s="54">
        <f t="shared" ref="J25:J30" si="12">(H25/G25)</f>
        <v>0.5454545455</v>
      </c>
      <c r="K25" s="34"/>
      <c r="L25" s="35"/>
      <c r="M25" s="55"/>
      <c r="N25" s="56" t="str">
        <f>"Client ($"&amp;N26+N27+N28+N29&amp;")"</f>
        <v>Client ($0)</v>
      </c>
      <c r="O25" s="34"/>
      <c r="P25" s="56" t="str">
        <f>"Dev ($"&amp;P26+P27+P28+P29&amp;")"</f>
        <v>Dev ($0)</v>
      </c>
      <c r="Q25" s="34"/>
      <c r="R25" s="56" t="str">
        <f>"Comm 1 ($"&amp;R26+R27+R28+R29&amp;")"</f>
        <v>Comm 1 ($0)</v>
      </c>
      <c r="S25" s="34"/>
      <c r="T25" s="56" t="str">
        <f>"Comm 2 ($"&amp;T26+T27+T28+T29&amp;")"</f>
        <v>Comm 2 ($0)</v>
      </c>
      <c r="U25" s="58"/>
      <c r="V25" s="56" t="str">
        <f>"Comm 3 ($"&amp;V26+V27+V28+V29&amp;")"</f>
        <v>Comm 3 ($0)</v>
      </c>
      <c r="W25" s="59"/>
      <c r="X25" s="56" t="str">
        <f>"Company ($"&amp;X26+X27+X28+X29&amp;")"</f>
        <v>Company ($0)</v>
      </c>
      <c r="Y25" s="60"/>
      <c r="Z25" s="37"/>
      <c r="AA25" s="1"/>
      <c r="AB25" s="1"/>
    </row>
    <row r="26">
      <c r="A26" s="1"/>
      <c r="B26" s="1"/>
      <c r="C26" s="27"/>
      <c r="D26" s="136"/>
      <c r="E26" s="141" t="str">
        <f t="shared" ref="E26:F26" si="9">E12</f>
        <v/>
      </c>
      <c r="F26" s="142" t="str">
        <f t="shared" si="9"/>
        <v/>
      </c>
      <c r="G26" s="143">
        <f t="shared" si="10"/>
        <v>0</v>
      </c>
      <c r="H26" s="65">
        <f t="shared" si="11"/>
        <v>0</v>
      </c>
      <c r="I26" s="140">
        <v>2.2</v>
      </c>
      <c r="J26" s="67" t="str">
        <f t="shared" si="12"/>
        <v>#DIV/0!</v>
      </c>
      <c r="K26" s="34"/>
      <c r="L26" s="35"/>
      <c r="M26" s="55"/>
      <c r="N26" s="144">
        <f t="shared" ref="N26:N29" si="14">N12*$V$2</f>
        <v>0</v>
      </c>
      <c r="O26" s="34"/>
      <c r="P26" s="144">
        <f t="shared" ref="P26:P29" si="15">P12*$V$3</f>
        <v>0</v>
      </c>
      <c r="Q26" s="34"/>
      <c r="R26" s="144">
        <f t="shared" ref="R26:R29" si="16">(N26-P26)*$T$12</f>
        <v>0</v>
      </c>
      <c r="S26" s="34"/>
      <c r="T26" s="144">
        <f t="shared" ref="T26:T29" si="17">(N26-P26)*$V$12</f>
        <v>0</v>
      </c>
      <c r="U26" s="72"/>
      <c r="V26" s="144">
        <f t="shared" ref="V26:V29" si="18">(N26-P26)*$X$12</f>
        <v>0</v>
      </c>
      <c r="W26" s="145"/>
      <c r="X26" s="144">
        <f t="shared" ref="X26:X29" si="19">N26-P26-R26-T26-V26</f>
        <v>0</v>
      </c>
      <c r="Y26" s="60"/>
      <c r="Z26" s="37"/>
      <c r="AA26" s="1"/>
      <c r="AB26" s="1"/>
    </row>
    <row r="27">
      <c r="A27" s="1"/>
      <c r="B27" s="1"/>
      <c r="C27" s="27"/>
      <c r="D27" s="136"/>
      <c r="E27" s="141" t="str">
        <f t="shared" ref="E27:F27" si="13">E13</f>
        <v/>
      </c>
      <c r="F27" s="142" t="str">
        <f t="shared" si="13"/>
        <v/>
      </c>
      <c r="G27" s="143">
        <f t="shared" si="10"/>
        <v>0</v>
      </c>
      <c r="H27" s="65">
        <f t="shared" si="11"/>
        <v>0</v>
      </c>
      <c r="I27" s="140">
        <v>2.2</v>
      </c>
      <c r="J27" s="67" t="str">
        <f t="shared" si="12"/>
        <v>#DIV/0!</v>
      </c>
      <c r="K27" s="34"/>
      <c r="L27" s="35"/>
      <c r="M27" s="55"/>
      <c r="N27" s="144">
        <f t="shared" si="14"/>
        <v>0</v>
      </c>
      <c r="O27" s="34"/>
      <c r="P27" s="144">
        <f t="shared" si="15"/>
        <v>0</v>
      </c>
      <c r="Q27" s="34"/>
      <c r="R27" s="144">
        <f t="shared" si="16"/>
        <v>0</v>
      </c>
      <c r="S27" s="34"/>
      <c r="T27" s="144">
        <f t="shared" si="17"/>
        <v>0</v>
      </c>
      <c r="U27" s="72"/>
      <c r="V27" s="144">
        <f t="shared" si="18"/>
        <v>0</v>
      </c>
      <c r="W27" s="145"/>
      <c r="X27" s="144">
        <f t="shared" si="19"/>
        <v>0</v>
      </c>
      <c r="Y27" s="60"/>
      <c r="Z27" s="37"/>
      <c r="AA27" s="1"/>
      <c r="AB27" s="1"/>
    </row>
    <row r="28">
      <c r="A28" s="1"/>
      <c r="B28" s="1"/>
      <c r="C28" s="27"/>
      <c r="D28" s="136"/>
      <c r="E28" s="141" t="str">
        <f t="shared" ref="E28:F28" si="20">E14</f>
        <v/>
      </c>
      <c r="F28" s="142" t="str">
        <f t="shared" si="20"/>
        <v/>
      </c>
      <c r="G28" s="143">
        <f t="shared" si="10"/>
        <v>0</v>
      </c>
      <c r="H28" s="65">
        <f t="shared" si="11"/>
        <v>0</v>
      </c>
      <c r="I28" s="140">
        <v>2.2</v>
      </c>
      <c r="J28" s="67" t="str">
        <f t="shared" si="12"/>
        <v>#DIV/0!</v>
      </c>
      <c r="K28" s="34"/>
      <c r="L28" s="35"/>
      <c r="M28" s="55"/>
      <c r="N28" s="144">
        <f t="shared" si="14"/>
        <v>0</v>
      </c>
      <c r="O28" s="34"/>
      <c r="P28" s="144">
        <f t="shared" si="15"/>
        <v>0</v>
      </c>
      <c r="Q28" s="34"/>
      <c r="R28" s="144">
        <f t="shared" si="16"/>
        <v>0</v>
      </c>
      <c r="S28" s="34"/>
      <c r="T28" s="144">
        <f t="shared" si="17"/>
        <v>0</v>
      </c>
      <c r="U28" s="58"/>
      <c r="V28" s="144">
        <f t="shared" si="18"/>
        <v>0</v>
      </c>
      <c r="W28" s="145"/>
      <c r="X28" s="144">
        <f t="shared" si="19"/>
        <v>0</v>
      </c>
      <c r="Y28" s="60"/>
      <c r="Z28" s="37"/>
      <c r="AA28" s="1"/>
      <c r="AB28" s="1"/>
    </row>
    <row r="29">
      <c r="A29" s="1"/>
      <c r="B29" s="1"/>
      <c r="C29" s="27"/>
      <c r="D29" s="136"/>
      <c r="E29" s="141" t="str">
        <f t="shared" ref="E29:F29" si="21">E15</f>
        <v/>
      </c>
      <c r="F29" s="142" t="str">
        <f t="shared" si="21"/>
        <v/>
      </c>
      <c r="G29" s="143">
        <f t="shared" si="10"/>
        <v>0</v>
      </c>
      <c r="H29" s="65">
        <f t="shared" si="11"/>
        <v>0</v>
      </c>
      <c r="I29" s="140">
        <v>2.2</v>
      </c>
      <c r="J29" s="67" t="str">
        <f t="shared" si="12"/>
        <v>#DIV/0!</v>
      </c>
      <c r="K29" s="34"/>
      <c r="L29" s="35"/>
      <c r="M29" s="55"/>
      <c r="N29" s="146">
        <f t="shared" si="14"/>
        <v>0</v>
      </c>
      <c r="O29" s="34"/>
      <c r="P29" s="146">
        <f t="shared" si="15"/>
        <v>0</v>
      </c>
      <c r="Q29" s="34"/>
      <c r="R29" s="146">
        <f t="shared" si="16"/>
        <v>0</v>
      </c>
      <c r="S29" s="34"/>
      <c r="T29" s="146">
        <f t="shared" si="17"/>
        <v>0</v>
      </c>
      <c r="U29" s="72"/>
      <c r="V29" s="146">
        <f t="shared" si="18"/>
        <v>0</v>
      </c>
      <c r="W29" s="145"/>
      <c r="X29" s="146">
        <f t="shared" si="19"/>
        <v>0</v>
      </c>
      <c r="Y29" s="60"/>
      <c r="Z29" s="37"/>
      <c r="AA29" s="1"/>
      <c r="AB29" s="1"/>
    </row>
    <row r="30">
      <c r="A30" s="1"/>
      <c r="B30" s="1"/>
      <c r="C30" s="27"/>
      <c r="D30" s="136"/>
      <c r="E30" s="147" t="str">
        <f t="shared" ref="E30:F30" si="22">E16</f>
        <v/>
      </c>
      <c r="F30" s="148" t="str">
        <f t="shared" si="22"/>
        <v/>
      </c>
      <c r="G30" s="149">
        <f t="shared" si="10"/>
        <v>0</v>
      </c>
      <c r="H30" s="99">
        <f t="shared" si="11"/>
        <v>0</v>
      </c>
      <c r="I30" s="140">
        <v>2.2</v>
      </c>
      <c r="J30" s="101" t="str">
        <f t="shared" si="12"/>
        <v>#DIV/0!</v>
      </c>
      <c r="K30" s="34"/>
      <c r="L30" s="35"/>
      <c r="M30" s="102"/>
      <c r="N30" s="103"/>
      <c r="O30" s="104"/>
      <c r="P30" s="105"/>
      <c r="Q30" s="104"/>
      <c r="R30" s="105"/>
      <c r="S30" s="104"/>
      <c r="T30" s="105"/>
      <c r="U30" s="103"/>
      <c r="V30" s="103"/>
      <c r="W30" s="150"/>
      <c r="X30" s="103"/>
      <c r="Y30" s="106"/>
      <c r="Z30" s="37"/>
      <c r="AA30" s="1"/>
      <c r="AB30" s="1"/>
    </row>
    <row r="31" ht="6.0" customHeight="1">
      <c r="A31" s="1"/>
      <c r="B31" s="1"/>
      <c r="C31" s="27"/>
      <c r="D31" s="151"/>
      <c r="E31" s="152" t="s">
        <v>21</v>
      </c>
      <c r="F31" s="153"/>
      <c r="G31" s="153"/>
      <c r="H31" s="153"/>
      <c r="I31" s="154"/>
      <c r="J31" s="155"/>
      <c r="K31" s="34"/>
      <c r="L31" s="114"/>
      <c r="M31" s="115"/>
      <c r="N31" s="115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20"/>
      <c r="AA31" s="1"/>
      <c r="AB31" s="1"/>
    </row>
    <row r="32" ht="15.0" customHeight="1">
      <c r="A32" s="1"/>
      <c r="B32" s="1"/>
      <c r="C32" s="27"/>
      <c r="D32" s="151"/>
      <c r="E32" s="116"/>
      <c r="F32" s="156">
        <f t="shared" ref="F32:H32" si="23">SUM(F25:F30)</f>
        <v>1000</v>
      </c>
      <c r="G32" s="157">
        <f t="shared" si="23"/>
        <v>2200</v>
      </c>
      <c r="H32" s="157">
        <f t="shared" si="23"/>
        <v>1200</v>
      </c>
      <c r="I32" s="37"/>
      <c r="J32" s="158"/>
      <c r="K32" s="34"/>
      <c r="L32" s="114"/>
      <c r="M32" s="37"/>
      <c r="N32" s="37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"/>
      <c r="AB32" s="1"/>
    </row>
    <row r="33" ht="13.5" customHeight="1">
      <c r="A33" s="1"/>
      <c r="B33" s="1"/>
      <c r="C33" s="27"/>
      <c r="D33" s="151"/>
      <c r="E33" s="116"/>
      <c r="F33" s="159" t="s">
        <v>9</v>
      </c>
      <c r="G33" s="159" t="s">
        <v>10</v>
      </c>
      <c r="H33" s="159" t="s">
        <v>11</v>
      </c>
      <c r="I33" s="37"/>
      <c r="J33" s="158"/>
      <c r="K33" s="34"/>
      <c r="L33" s="114"/>
      <c r="M33" s="37"/>
      <c r="N33" s="37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"/>
      <c r="AB33" s="1"/>
    </row>
    <row r="34" ht="6.0" customHeight="1">
      <c r="A34" s="1"/>
      <c r="B34" s="1"/>
      <c r="C34" s="27"/>
      <c r="D34" s="151"/>
      <c r="E34" s="125"/>
      <c r="F34" s="160"/>
      <c r="G34" s="160"/>
      <c r="H34" s="160"/>
      <c r="I34" s="104"/>
      <c r="J34" s="106"/>
      <c r="K34" s="34"/>
      <c r="L34" s="11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"/>
      <c r="AB34" s="1"/>
    </row>
    <row r="35" ht="15.0" customHeight="1">
      <c r="A35" s="1"/>
      <c r="B35" s="1"/>
      <c r="C35" s="161"/>
      <c r="D35" s="162"/>
      <c r="E35" s="44"/>
      <c r="F35" s="44"/>
      <c r="G35" s="44"/>
      <c r="H35" s="44"/>
      <c r="I35" s="44"/>
      <c r="J35" s="44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</sheetData>
  <mergeCells count="18">
    <mergeCell ref="T4:U4"/>
    <mergeCell ref="V4:Z4"/>
    <mergeCell ref="C2:K2"/>
    <mergeCell ref="T2:U2"/>
    <mergeCell ref="V2:Z2"/>
    <mergeCell ref="T3:U3"/>
    <mergeCell ref="V3:Z3"/>
    <mergeCell ref="F4:G4"/>
    <mergeCell ref="H4:I4"/>
    <mergeCell ref="E17:E20"/>
    <mergeCell ref="E31:E34"/>
    <mergeCell ref="E7:G7"/>
    <mergeCell ref="M7:Y7"/>
    <mergeCell ref="E9:J9"/>
    <mergeCell ref="M9:Y9"/>
    <mergeCell ref="C11:C16"/>
    <mergeCell ref="E23:J23"/>
    <mergeCell ref="M23:Y23"/>
  </mergeCells>
  <conditionalFormatting sqref="J11:J17 J25:J30">
    <cfRule type="cellIs" dxfId="0" priority="1" operator="lessThan">
      <formula>0.5</formula>
    </cfRule>
  </conditionalFormatting>
  <conditionalFormatting sqref="J11:J17 J25:J30">
    <cfRule type="cellIs" dxfId="1" priority="2" operator="lessThan">
      <formula>0.5238</formula>
    </cfRule>
  </conditionalFormatting>
  <conditionalFormatting sqref="J11:J17 J25:J30">
    <cfRule type="cellIs" dxfId="2" priority="3" operator="greaterThanOrEqual">
      <formula>0.5238</formula>
    </cfRule>
  </conditionalFormatting>
  <conditionalFormatting sqref="F4:I4">
    <cfRule type="expression" dxfId="3" priority="4">
      <formula>$C4=TRUE()</formula>
    </cfRule>
  </conditionalFormatting>
  <conditionalFormatting sqref="H4 J4">
    <cfRule type="expression" dxfId="4" priority="5">
      <formula>$C4=TRUE()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2.88"/>
    <col customWidth="1" min="3" max="4" width="4.75"/>
    <col customWidth="1" min="5" max="5" width="17.75"/>
    <col customWidth="1" min="6" max="21" width="10.5"/>
    <col customWidth="1" min="22" max="22" width="4.75"/>
    <col customWidth="1" min="23" max="23" width="4.63"/>
    <col customWidth="1" min="24" max="24" width="3.25"/>
    <col customWidth="1" min="25" max="25" width="3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0.25" customHeight="1">
      <c r="A2" s="1"/>
      <c r="B2" s="1"/>
      <c r="C2" s="163" t="str">
        <f>IFERROR(__xludf.DUMMYFUNCTION("""  Milestone Breakdown: ""&amp;ARRAYFORMULA(IFERROR(BYROW(SPLIT(A:A,char(10)),LAMBDA(ax,JOIN(CHAR(10),REGEXEXTRACT(Waterfall!C2,"":\s?(.*)$""))))))"),"  Milestone Breakdown: ")</f>
        <v>  Milestone Breakdown: </v>
      </c>
      <c r="D2" s="11"/>
      <c r="E2" s="11"/>
      <c r="F2" s="11"/>
      <c r="G2" s="11"/>
      <c r="H2" s="11"/>
      <c r="I2" s="11"/>
      <c r="J2" s="164"/>
      <c r="K2" s="5"/>
      <c r="L2" s="5"/>
      <c r="M2" s="5"/>
      <c r="N2" s="165" t="s">
        <v>24</v>
      </c>
      <c r="O2" s="166"/>
      <c r="P2" s="167">
        <f>IF(Waterfall!C4, Waterfall!G18, 0)</f>
        <v>5000</v>
      </c>
      <c r="Q2" s="168"/>
      <c r="R2" s="169"/>
      <c r="S2" s="170" t="s">
        <v>1</v>
      </c>
      <c r="T2" s="171"/>
      <c r="U2" s="172">
        <f>IF(Waterfall!C4, Waterfall!V2, 0)</f>
        <v>25000</v>
      </c>
      <c r="V2" s="171"/>
      <c r="W2" s="173"/>
      <c r="X2" s="1"/>
      <c r="Y2" s="1"/>
    </row>
    <row r="3" ht="20.25" customHeight="1">
      <c r="A3" s="1"/>
      <c r="B3" s="1"/>
      <c r="C3" s="174"/>
      <c r="J3" s="175"/>
      <c r="K3" s="5"/>
      <c r="L3" s="5"/>
      <c r="M3" s="5"/>
      <c r="N3" s="176" t="s">
        <v>25</v>
      </c>
      <c r="O3" s="177"/>
      <c r="P3" s="178">
        <f>IF(Waterfall!C4, Waterfall!F18, 0)</f>
        <v>1000</v>
      </c>
      <c r="Q3" s="179"/>
      <c r="R3" s="169"/>
      <c r="S3" s="180" t="s">
        <v>2</v>
      </c>
      <c r="T3" s="181"/>
      <c r="U3" s="182">
        <f>IF(Waterfall!C4, Waterfall!V3, 0)</f>
        <v>5000</v>
      </c>
      <c r="V3" s="181"/>
      <c r="W3" s="183"/>
      <c r="X3" s="1"/>
      <c r="Y3" s="1"/>
    </row>
    <row r="4" ht="20.25" customHeight="1">
      <c r="A4" s="1"/>
      <c r="B4" s="1"/>
      <c r="C4" s="184"/>
      <c r="D4" s="185"/>
      <c r="E4" s="185"/>
      <c r="F4" s="185"/>
      <c r="G4" s="185"/>
      <c r="H4" s="185"/>
      <c r="I4" s="185"/>
      <c r="J4" s="186"/>
      <c r="K4" s="5"/>
      <c r="L4" s="5"/>
      <c r="M4" s="5"/>
      <c r="N4" s="187" t="s">
        <v>26</v>
      </c>
      <c r="O4" s="188"/>
      <c r="P4" s="189">
        <f>IF(Waterfall!C4, Waterfall!H18, 0)</f>
        <v>4000</v>
      </c>
      <c r="Q4" s="190"/>
      <c r="R4" s="169"/>
      <c r="S4" s="187" t="s">
        <v>5</v>
      </c>
      <c r="T4" s="188"/>
      <c r="U4" s="189">
        <f>IF(Waterfall!C4, Waterfall!V4, 0)</f>
        <v>20000</v>
      </c>
      <c r="V4" s="188"/>
      <c r="W4" s="190"/>
      <c r="X4" s="1"/>
      <c r="Y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9.75" customHeight="1">
      <c r="A6" s="1"/>
      <c r="B6" s="1"/>
      <c r="C6" s="20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20"/>
      <c r="X6" s="1"/>
      <c r="Y6" s="1"/>
    </row>
    <row r="7" ht="26.25" customHeight="1">
      <c r="A7" s="1"/>
      <c r="B7" s="1"/>
      <c r="C7" s="128"/>
      <c r="D7" s="191" t="s">
        <v>27</v>
      </c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3" t="str">
        <f>IF(Waterfall!C4, Waterfall!J4&amp;" months", "")</f>
        <v>5 months</v>
      </c>
      <c r="U7" s="17"/>
      <c r="V7" s="19"/>
      <c r="W7" s="37"/>
      <c r="X7" s="1"/>
      <c r="Y7" s="1"/>
    </row>
    <row r="8" ht="10.5" customHeight="1">
      <c r="A8" s="1"/>
      <c r="B8" s="1"/>
      <c r="C8" s="20"/>
      <c r="D8" s="194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6"/>
      <c r="W8" s="20"/>
      <c r="X8" s="1"/>
      <c r="Y8" s="1"/>
    </row>
    <row r="9" ht="15.75" customHeight="1">
      <c r="A9" s="1"/>
      <c r="B9" s="1"/>
      <c r="C9" s="20"/>
      <c r="D9" s="29"/>
      <c r="E9" s="29"/>
      <c r="F9" s="29"/>
      <c r="G9" s="29"/>
      <c r="H9" s="29"/>
      <c r="I9" s="29"/>
      <c r="J9" s="132"/>
      <c r="K9" s="132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0"/>
      <c r="X9" s="1"/>
      <c r="Y9" s="1"/>
    </row>
    <row r="10" ht="21.75" customHeight="1">
      <c r="A10" s="1"/>
      <c r="B10" s="1"/>
      <c r="C10" s="128"/>
      <c r="D10" s="197"/>
      <c r="E10" s="198"/>
      <c r="F10" s="198"/>
      <c r="G10" s="198"/>
      <c r="H10" s="198"/>
      <c r="I10" s="198"/>
      <c r="J10" s="199"/>
      <c r="K10" s="199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200"/>
      <c r="W10" s="37"/>
      <c r="X10" s="1"/>
      <c r="Y10" s="1"/>
    </row>
    <row r="11">
      <c r="A11" s="1"/>
      <c r="B11" s="1"/>
      <c r="C11" s="128"/>
      <c r="D11" s="201"/>
      <c r="E11" s="202"/>
      <c r="F11" s="202"/>
      <c r="G11" s="202"/>
      <c r="H11" s="202"/>
      <c r="I11" s="202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4"/>
      <c r="W11" s="37"/>
      <c r="X11" s="1"/>
      <c r="Y11" s="1"/>
    </row>
    <row r="12">
      <c r="A12" s="1"/>
      <c r="B12" s="1"/>
      <c r="C12" s="128"/>
      <c r="D12" s="205"/>
      <c r="E12" s="206"/>
      <c r="F12" s="207" t="s">
        <v>28</v>
      </c>
      <c r="G12" s="207" t="s">
        <v>29</v>
      </c>
      <c r="H12" s="207" t="s">
        <v>30</v>
      </c>
      <c r="I12" s="207" t="s">
        <v>31</v>
      </c>
      <c r="J12" s="207" t="s">
        <v>32</v>
      </c>
      <c r="K12" s="207" t="s">
        <v>33</v>
      </c>
      <c r="L12" s="207" t="s">
        <v>34</v>
      </c>
      <c r="M12" s="207" t="s">
        <v>35</v>
      </c>
      <c r="N12" s="207" t="s">
        <v>36</v>
      </c>
      <c r="O12" s="207" t="s">
        <v>37</v>
      </c>
      <c r="P12" s="207" t="s">
        <v>38</v>
      </c>
      <c r="Q12" s="207" t="s">
        <v>39</v>
      </c>
      <c r="R12" s="207" t="s">
        <v>40</v>
      </c>
      <c r="S12" s="207" t="s">
        <v>41</v>
      </c>
      <c r="T12" s="208" t="s">
        <v>42</v>
      </c>
      <c r="U12" s="208" t="s">
        <v>43</v>
      </c>
      <c r="V12" s="204"/>
      <c r="W12" s="37"/>
      <c r="X12" s="1"/>
      <c r="Y12" s="1"/>
    </row>
    <row r="13" ht="19.5" customHeight="1">
      <c r="A13" s="1"/>
      <c r="B13" s="1"/>
      <c r="C13" s="128"/>
      <c r="D13" s="209"/>
      <c r="E13" s="210" t="s">
        <v>10</v>
      </c>
      <c r="F13" s="211">
        <f>IF(Waterfall!J4&gt;0, P2, )</f>
        <v>5000</v>
      </c>
      <c r="G13" s="211">
        <f>IF(Waterfall!J4&gt;1, P2, )</f>
        <v>5000</v>
      </c>
      <c r="H13" s="212">
        <f>IF(Waterfall!J4&gt;2, P2, )</f>
        <v>5000</v>
      </c>
      <c r="I13" s="212">
        <f>IF(Waterfall!J4&gt;3, P2, )</f>
        <v>5000</v>
      </c>
      <c r="J13" s="212">
        <f>IF(Waterfall!J4&gt;4, P2, )</f>
        <v>5000</v>
      </c>
      <c r="K13" s="212" t="str">
        <f>IF(Waterfall!J4&gt;5, P2, )</f>
        <v/>
      </c>
      <c r="L13" s="212" t="str">
        <f>IF(Waterfall!J4&gt;6, P2, )</f>
        <v/>
      </c>
      <c r="M13" s="211" t="str">
        <f>IF(Waterfall!J4&gt;7, P2, )</f>
        <v/>
      </c>
      <c r="N13" s="212" t="str">
        <f>IF(Waterfall!J4&gt;8, P2, )</f>
        <v/>
      </c>
      <c r="O13" s="211" t="str">
        <f>IF(Waterfall!J4&gt;9, P2, )</f>
        <v/>
      </c>
      <c r="P13" s="212" t="str">
        <f>IF(Waterfall!J4&gt;10, P2, )</f>
        <v/>
      </c>
      <c r="Q13" s="211" t="str">
        <f>IF(Waterfall!J4&gt;11, P2, )</f>
        <v/>
      </c>
      <c r="R13" s="212" t="str">
        <f>IF(Waterfall!J4&gt;12, P2, )</f>
        <v/>
      </c>
      <c r="S13" s="211" t="str">
        <f>IF(Waterfall!J4&gt;13, P2, )</f>
        <v/>
      </c>
      <c r="T13" s="213" t="str">
        <f>IF(Waterfall!J4&gt;14, P2, )</f>
        <v/>
      </c>
      <c r="U13" s="213" t="str">
        <f>IF(Waterfall!J4&gt;15, P2, )</f>
        <v/>
      </c>
      <c r="V13" s="204"/>
      <c r="W13" s="37"/>
      <c r="X13" s="1"/>
      <c r="Y13" s="1"/>
    </row>
    <row r="14" ht="19.5" customHeight="1">
      <c r="A14" s="1"/>
      <c r="B14" s="1"/>
      <c r="C14" s="128"/>
      <c r="D14" s="209"/>
      <c r="E14" s="210" t="s">
        <v>44</v>
      </c>
      <c r="F14" s="214">
        <f>IF(F13&gt;0, F13, )</f>
        <v>5000</v>
      </c>
      <c r="G14" s="215">
        <f t="shared" ref="G14:U14" si="1">IF(G13&gt;0, G13+F14, )</f>
        <v>10000</v>
      </c>
      <c r="H14" s="215">
        <f t="shared" si="1"/>
        <v>15000</v>
      </c>
      <c r="I14" s="215">
        <f t="shared" si="1"/>
        <v>20000</v>
      </c>
      <c r="J14" s="215">
        <f t="shared" si="1"/>
        <v>25000</v>
      </c>
      <c r="K14" s="216" t="str">
        <f t="shared" si="1"/>
        <v/>
      </c>
      <c r="L14" s="216" t="str">
        <f t="shared" si="1"/>
        <v/>
      </c>
      <c r="M14" s="216" t="str">
        <f t="shared" si="1"/>
        <v/>
      </c>
      <c r="N14" s="216" t="str">
        <f t="shared" si="1"/>
        <v/>
      </c>
      <c r="O14" s="216" t="str">
        <f t="shared" si="1"/>
        <v/>
      </c>
      <c r="P14" s="216" t="str">
        <f t="shared" si="1"/>
        <v/>
      </c>
      <c r="Q14" s="216" t="str">
        <f t="shared" si="1"/>
        <v/>
      </c>
      <c r="R14" s="216" t="str">
        <f t="shared" si="1"/>
        <v/>
      </c>
      <c r="S14" s="216" t="str">
        <f t="shared" si="1"/>
        <v/>
      </c>
      <c r="T14" s="217" t="str">
        <f t="shared" si="1"/>
        <v/>
      </c>
      <c r="U14" s="217" t="str">
        <f t="shared" si="1"/>
        <v/>
      </c>
      <c r="V14" s="204"/>
      <c r="W14" s="37"/>
      <c r="X14" s="1"/>
      <c r="Y14" s="1"/>
    </row>
    <row r="15" ht="19.5" customHeight="1">
      <c r="A15" s="1"/>
      <c r="B15" s="1"/>
      <c r="C15" s="128"/>
      <c r="D15" s="218"/>
      <c r="E15" s="219"/>
      <c r="F15" s="220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2"/>
      <c r="U15" s="222"/>
      <c r="V15" s="223"/>
      <c r="W15" s="37"/>
      <c r="X15" s="1"/>
      <c r="Y15" s="1"/>
    </row>
    <row r="16" ht="19.5" customHeight="1">
      <c r="A16" s="1"/>
      <c r="B16" s="1"/>
      <c r="C16" s="128"/>
      <c r="D16" s="218"/>
      <c r="E16" s="210" t="s">
        <v>45</v>
      </c>
      <c r="F16" s="224">
        <f>IF(F13&gt;0, P3, )</f>
        <v>1000</v>
      </c>
      <c r="G16" s="212">
        <f>IF($G13&gt;0, P3, )</f>
        <v>1000</v>
      </c>
      <c r="H16" s="212">
        <f>IF($H13&gt;0, P3, )</f>
        <v>1000</v>
      </c>
      <c r="I16" s="212">
        <f>IF(I13&gt;0, P3, )</f>
        <v>1000</v>
      </c>
      <c r="J16" s="212">
        <f>IF(J13&gt;0, P3, )</f>
        <v>1000</v>
      </c>
      <c r="K16" s="225" t="str">
        <f>IF(K13&gt;0, P3, )</f>
        <v/>
      </c>
      <c r="L16" s="225" t="str">
        <f>IF(L13&gt;0, P3, )</f>
        <v/>
      </c>
      <c r="M16" s="225" t="str">
        <f>IF(M13&gt;0, P3, )</f>
        <v/>
      </c>
      <c r="N16" s="225" t="str">
        <f>IF(N13&gt;0, P3, )</f>
        <v/>
      </c>
      <c r="O16" s="225" t="str">
        <f>IF(O13&gt;0, P3, )</f>
        <v/>
      </c>
      <c r="P16" s="225" t="str">
        <f>IF(P13&gt;0, P3, )</f>
        <v/>
      </c>
      <c r="Q16" s="225" t="str">
        <f>IF(Q13&gt;0, P3, )</f>
        <v/>
      </c>
      <c r="R16" s="225" t="str">
        <f>IF(R13&gt;0, P3, )</f>
        <v/>
      </c>
      <c r="S16" s="225" t="str">
        <f>IF(S13&gt;0, P3, )</f>
        <v/>
      </c>
      <c r="T16" s="226" t="str">
        <f>IF(T13&gt;0, P3, )</f>
        <v/>
      </c>
      <c r="U16" s="226" t="str">
        <f>IF(U13&gt;0, P3, )</f>
        <v/>
      </c>
      <c r="V16" s="223"/>
      <c r="W16" s="37"/>
      <c r="X16" s="1"/>
      <c r="Y16" s="1"/>
    </row>
    <row r="17" ht="19.5" customHeight="1">
      <c r="A17" s="1"/>
      <c r="B17" s="1"/>
      <c r="C17" s="128"/>
      <c r="D17" s="227"/>
      <c r="E17" s="228" t="s">
        <v>46</v>
      </c>
      <c r="F17" s="214">
        <f>IF(F13&gt;0, P3, )</f>
        <v>1000</v>
      </c>
      <c r="G17" s="229">
        <f t="shared" ref="G17:U17" si="2">IF(G13&gt;0, G16+F17, )</f>
        <v>2000</v>
      </c>
      <c r="H17" s="229">
        <f t="shared" si="2"/>
        <v>3000</v>
      </c>
      <c r="I17" s="229">
        <f t="shared" si="2"/>
        <v>4000</v>
      </c>
      <c r="J17" s="229">
        <f t="shared" si="2"/>
        <v>5000</v>
      </c>
      <c r="K17" s="230" t="str">
        <f t="shared" si="2"/>
        <v/>
      </c>
      <c r="L17" s="230" t="str">
        <f t="shared" si="2"/>
        <v/>
      </c>
      <c r="M17" s="230" t="str">
        <f t="shared" si="2"/>
        <v/>
      </c>
      <c r="N17" s="230" t="str">
        <f t="shared" si="2"/>
        <v/>
      </c>
      <c r="O17" s="230" t="str">
        <f t="shared" si="2"/>
        <v/>
      </c>
      <c r="P17" s="230" t="str">
        <f t="shared" si="2"/>
        <v/>
      </c>
      <c r="Q17" s="230" t="str">
        <f t="shared" si="2"/>
        <v/>
      </c>
      <c r="R17" s="230" t="str">
        <f t="shared" si="2"/>
        <v/>
      </c>
      <c r="S17" s="230" t="str">
        <f t="shared" si="2"/>
        <v/>
      </c>
      <c r="T17" s="231" t="str">
        <f t="shared" si="2"/>
        <v/>
      </c>
      <c r="U17" s="231" t="str">
        <f t="shared" si="2"/>
        <v/>
      </c>
      <c r="V17" s="232"/>
      <c r="W17" s="37"/>
      <c r="X17" s="1"/>
      <c r="Y17" s="1"/>
    </row>
    <row r="18" ht="19.5" customHeight="1">
      <c r="A18" s="1"/>
      <c r="B18" s="1"/>
      <c r="C18" s="128"/>
      <c r="D18" s="233"/>
      <c r="E18" s="228"/>
      <c r="F18" s="214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1"/>
      <c r="U18" s="231"/>
      <c r="V18" s="223"/>
      <c r="W18" s="37"/>
      <c r="X18" s="1"/>
      <c r="Y18" s="1"/>
    </row>
    <row r="19" ht="19.5" customHeight="1">
      <c r="A19" s="1"/>
      <c r="B19" s="1"/>
      <c r="C19" s="128"/>
      <c r="D19" s="233"/>
      <c r="E19" s="228" t="s">
        <v>11</v>
      </c>
      <c r="F19" s="224">
        <f>IF(F13&gt;0, P4, )</f>
        <v>4000</v>
      </c>
      <c r="G19" s="211">
        <f>IF(G13&gt;0, P4, )</f>
        <v>4000</v>
      </c>
      <c r="H19" s="211">
        <f>IF(H13&gt;0, P4, )</f>
        <v>4000</v>
      </c>
      <c r="I19" s="211">
        <f>IF(I13&gt;0, P4, )</f>
        <v>4000</v>
      </c>
      <c r="J19" s="211">
        <f>IF(J13&gt;0, P4, )</f>
        <v>4000</v>
      </c>
      <c r="K19" s="234" t="str">
        <f>IF(K13&gt;0, P4, )</f>
        <v/>
      </c>
      <c r="L19" s="234" t="str">
        <f>IF(L13&gt;0, P4, )</f>
        <v/>
      </c>
      <c r="M19" s="234" t="str">
        <f>IF(M13&gt;0, P4, )</f>
        <v/>
      </c>
      <c r="N19" s="234" t="str">
        <f>IF(N13&gt;0, P4, )</f>
        <v/>
      </c>
      <c r="O19" s="234" t="str">
        <f>IF(O13&gt;0, P4, )</f>
        <v/>
      </c>
      <c r="P19" s="234" t="str">
        <f>IF(P13&gt;0, P4, )</f>
        <v/>
      </c>
      <c r="Q19" s="234" t="str">
        <f>IF(Q13&gt;0, P4, )</f>
        <v/>
      </c>
      <c r="R19" s="234" t="str">
        <f>IF(R13&gt;0, P4, )</f>
        <v/>
      </c>
      <c r="S19" s="234" t="str">
        <f>IF(S13&gt;0, P4, )</f>
        <v/>
      </c>
      <c r="T19" s="235" t="str">
        <f>IF(T13&gt;0, P4, )</f>
        <v/>
      </c>
      <c r="U19" s="235" t="str">
        <f>IF(U13&gt;0, P4, )</f>
        <v/>
      </c>
      <c r="V19" s="223"/>
      <c r="W19" s="37"/>
      <c r="X19" s="1"/>
      <c r="Y19" s="1"/>
    </row>
    <row r="20" ht="19.5" customHeight="1">
      <c r="A20" s="1"/>
      <c r="B20" s="1"/>
      <c r="C20" s="128"/>
      <c r="D20" s="218"/>
      <c r="E20" s="210" t="s">
        <v>47</v>
      </c>
      <c r="F20" s="214">
        <f>IF(F13&gt;0, P4, )</f>
        <v>4000</v>
      </c>
      <c r="G20" s="215">
        <f t="shared" ref="G20:U20" si="3">IF(G13&gt;0, G19+F20, )</f>
        <v>8000</v>
      </c>
      <c r="H20" s="215">
        <f t="shared" si="3"/>
        <v>12000</v>
      </c>
      <c r="I20" s="215">
        <f t="shared" si="3"/>
        <v>16000</v>
      </c>
      <c r="J20" s="215">
        <f t="shared" si="3"/>
        <v>20000</v>
      </c>
      <c r="K20" s="216" t="str">
        <f t="shared" si="3"/>
        <v/>
      </c>
      <c r="L20" s="216" t="str">
        <f t="shared" si="3"/>
        <v/>
      </c>
      <c r="M20" s="216" t="str">
        <f t="shared" si="3"/>
        <v/>
      </c>
      <c r="N20" s="216" t="str">
        <f t="shared" si="3"/>
        <v/>
      </c>
      <c r="O20" s="216" t="str">
        <f t="shared" si="3"/>
        <v/>
      </c>
      <c r="P20" s="216" t="str">
        <f t="shared" si="3"/>
        <v/>
      </c>
      <c r="Q20" s="216" t="str">
        <f t="shared" si="3"/>
        <v/>
      </c>
      <c r="R20" s="216" t="str">
        <f t="shared" si="3"/>
        <v/>
      </c>
      <c r="S20" s="216" t="str">
        <f t="shared" si="3"/>
        <v/>
      </c>
      <c r="T20" s="217" t="str">
        <f t="shared" si="3"/>
        <v/>
      </c>
      <c r="U20" s="217" t="str">
        <f t="shared" si="3"/>
        <v/>
      </c>
      <c r="V20" s="223"/>
      <c r="W20" s="37"/>
      <c r="X20" s="1"/>
      <c r="Y20" s="1"/>
    </row>
    <row r="21">
      <c r="A21" s="1"/>
      <c r="B21" s="1"/>
      <c r="C21" s="128"/>
      <c r="D21" s="236"/>
      <c r="E21" s="237"/>
      <c r="F21" s="238"/>
      <c r="G21" s="239"/>
      <c r="H21" s="240"/>
      <c r="I21" s="241"/>
      <c r="J21" s="242"/>
      <c r="K21" s="242"/>
      <c r="L21" s="242"/>
      <c r="M21" s="243"/>
      <c r="N21" s="242"/>
      <c r="O21" s="243"/>
      <c r="P21" s="242"/>
      <c r="Q21" s="243"/>
      <c r="R21" s="242"/>
      <c r="S21" s="243"/>
      <c r="T21" s="240"/>
      <c r="U21" s="243"/>
      <c r="V21" s="204"/>
      <c r="W21" s="37"/>
      <c r="X21" s="1"/>
      <c r="Y21" s="1"/>
    </row>
    <row r="22">
      <c r="A22" s="1"/>
      <c r="B22" s="1"/>
      <c r="C22" s="128"/>
      <c r="D22" s="244"/>
      <c r="E22" s="237"/>
      <c r="F22" s="238"/>
      <c r="G22" s="239"/>
      <c r="H22" s="240"/>
      <c r="I22" s="241"/>
      <c r="J22" s="242"/>
      <c r="K22" s="242"/>
      <c r="L22" s="242"/>
      <c r="M22" s="243"/>
      <c r="N22" s="242"/>
      <c r="O22" s="243"/>
      <c r="P22" s="245"/>
      <c r="Q22" s="243"/>
      <c r="R22" s="242"/>
      <c r="S22" s="243"/>
      <c r="T22" s="240"/>
      <c r="U22" s="243"/>
      <c r="V22" s="204"/>
      <c r="W22" s="37"/>
      <c r="X22" s="1"/>
      <c r="Y22" s="1"/>
    </row>
    <row r="23">
      <c r="A23" s="1"/>
      <c r="B23" s="1"/>
      <c r="C23" s="128"/>
      <c r="D23" s="244"/>
      <c r="E23" s="237"/>
      <c r="F23" s="238"/>
      <c r="G23" s="239"/>
      <c r="H23" s="240"/>
      <c r="I23" s="241"/>
      <c r="J23" s="242"/>
      <c r="K23" s="242"/>
      <c r="L23" s="242"/>
      <c r="M23" s="243"/>
      <c r="N23" s="242"/>
      <c r="O23" s="243"/>
      <c r="P23" s="242"/>
      <c r="Q23" s="243"/>
      <c r="R23" s="242"/>
      <c r="S23" s="243"/>
      <c r="T23" s="246"/>
      <c r="U23" s="243"/>
      <c r="V23" s="204"/>
      <c r="W23" s="37"/>
      <c r="X23" s="1"/>
      <c r="Y23" s="1"/>
    </row>
    <row r="24">
      <c r="A24" s="1"/>
      <c r="B24" s="1"/>
      <c r="C24" s="128"/>
      <c r="D24" s="244"/>
      <c r="E24" s="237"/>
      <c r="F24" s="238"/>
      <c r="G24" s="239"/>
      <c r="H24" s="240"/>
      <c r="I24" s="241"/>
      <c r="J24" s="242"/>
      <c r="K24" s="242"/>
      <c r="L24" s="242"/>
      <c r="M24" s="243"/>
      <c r="N24" s="242"/>
      <c r="O24" s="243"/>
      <c r="P24" s="242"/>
      <c r="Q24" s="243"/>
      <c r="R24" s="242"/>
      <c r="S24" s="243"/>
      <c r="T24" s="240"/>
      <c r="U24" s="243"/>
      <c r="V24" s="204"/>
      <c r="W24" s="37"/>
      <c r="X24" s="1"/>
      <c r="Y24" s="1"/>
    </row>
    <row r="25" ht="13.5" customHeight="1">
      <c r="A25" s="1"/>
      <c r="B25" s="1"/>
      <c r="C25" s="128"/>
      <c r="D25" s="247"/>
      <c r="E25" s="248"/>
      <c r="F25" s="248"/>
      <c r="G25" s="248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04"/>
      <c r="W25" s="37"/>
      <c r="X25" s="1"/>
      <c r="Y25" s="1"/>
    </row>
    <row r="26" ht="21.75" customHeight="1">
      <c r="A26" s="1"/>
      <c r="B26" s="1"/>
      <c r="C26" s="128"/>
      <c r="D26" s="249"/>
      <c r="E26" s="250"/>
      <c r="F26" s="250"/>
      <c r="G26" s="250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2"/>
      <c r="W26" s="37"/>
      <c r="X26" s="1"/>
      <c r="Y26" s="1"/>
    </row>
    <row r="27" ht="15.0" customHeight="1">
      <c r="A27" s="1"/>
      <c r="B27" s="1"/>
      <c r="C27" s="20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20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</sheetData>
  <mergeCells count="15">
    <mergeCell ref="S3:T3"/>
    <mergeCell ref="U3:W3"/>
    <mergeCell ref="N4:O4"/>
    <mergeCell ref="P4:Q4"/>
    <mergeCell ref="S4:T4"/>
    <mergeCell ref="U4:W4"/>
    <mergeCell ref="T7:V7"/>
    <mergeCell ref="D8:V8"/>
    <mergeCell ref="C2:J4"/>
    <mergeCell ref="N2:O2"/>
    <mergeCell ref="P2:Q2"/>
    <mergeCell ref="S2:T2"/>
    <mergeCell ref="U2:W2"/>
    <mergeCell ref="N3:O3"/>
    <mergeCell ref="P3:Q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5" max="5" width="6.75"/>
  </cols>
  <sheetData>
    <row r="1" ht="10.5" customHeight="1">
      <c r="A1" s="253"/>
      <c r="B1" s="254"/>
      <c r="C1" s="254"/>
      <c r="D1" s="254"/>
      <c r="E1" s="253"/>
    </row>
    <row r="2" ht="9.75" customHeight="1">
      <c r="A2" s="253"/>
      <c r="B2" s="254"/>
      <c r="C2" s="254"/>
      <c r="D2" s="254"/>
      <c r="E2" s="253"/>
    </row>
    <row r="3" ht="21.0" customHeight="1">
      <c r="A3" s="253"/>
      <c r="B3" s="255" t="s">
        <v>48</v>
      </c>
      <c r="C3" s="255" t="s">
        <v>9</v>
      </c>
      <c r="D3" s="255" t="s">
        <v>49</v>
      </c>
      <c r="E3" s="253"/>
    </row>
    <row r="4">
      <c r="A4" s="253"/>
      <c r="B4" s="256" t="str">
        <f> IF(Waterfall!J4 &gt;0,"Month 1", " ")</f>
        <v>Month 1</v>
      </c>
      <c r="C4" s="257">
        <f> IF(Waterfall!J4&gt;0, 'Retainer Breakdown'!P2, )</f>
        <v>5000</v>
      </c>
      <c r="D4" s="258">
        <f>IF(Waterfall!J4 &gt;0, C4," ")</f>
        <v>5000</v>
      </c>
      <c r="E4" s="253"/>
    </row>
    <row r="5">
      <c r="A5" s="253"/>
      <c r="B5" s="256" t="str">
        <f> IF(Waterfall!J4 &gt;1,"Month 2", " ")</f>
        <v>Month 2</v>
      </c>
      <c r="C5" s="257">
        <f> IF(Waterfall!J4&gt;1, 'Retainer Breakdown'!P2, )</f>
        <v>5000</v>
      </c>
      <c r="D5" s="258">
        <f>IF(Waterfall!J4 &gt;1, INDIRECT(ADDRESS(ROW(),COLUMN()-1)) + INDIRECT(ADDRESS(ROW()-1,COLUMN())))</f>
        <v>10000</v>
      </c>
      <c r="E5" s="253"/>
    </row>
    <row r="6">
      <c r="A6" s="253"/>
      <c r="B6" s="256" t="str">
        <f> IF(Waterfall!J4 &gt;2,"Month 3", " ")</f>
        <v>Month 3</v>
      </c>
      <c r="C6" s="257">
        <f> IF(Waterfall!J4&gt;2, 'Retainer Breakdown'!P2, )</f>
        <v>5000</v>
      </c>
      <c r="D6" s="258">
        <f>IF(Waterfall!J4 &gt;2, INDIRECT(ADDRESS(ROW(),COLUMN()-1)) + INDIRECT(ADDRESS(ROW()-1,COLUMN())))</f>
        <v>15000</v>
      </c>
      <c r="E6" s="253"/>
    </row>
    <row r="7">
      <c r="A7" s="253"/>
      <c r="B7" s="256" t="str">
        <f> IF(Waterfall!J4 &gt;3,"Month 4", " ")</f>
        <v>Month 4</v>
      </c>
      <c r="C7" s="257">
        <f>IF(Waterfall!J4&gt;3, 'Retainer Breakdown'!P2, )</f>
        <v>5000</v>
      </c>
      <c r="D7" s="258">
        <f>IF(Waterfall!J4 &gt;3, INDIRECT(ADDRESS(ROW(),COLUMN()-1)) + INDIRECT(ADDRESS(ROW()-1,COLUMN())))</f>
        <v>20000</v>
      </c>
      <c r="E7" s="253"/>
    </row>
    <row r="8">
      <c r="A8" s="253"/>
      <c r="B8" s="256" t="str">
        <f> IF(Waterfall!J4 &gt;4,"Month 5", " ")</f>
        <v>Month 5</v>
      </c>
      <c r="C8" s="259">
        <f>IF(Waterfall!J4&gt;4, 'Retainer Breakdown'!P2, )</f>
        <v>5000</v>
      </c>
      <c r="D8" s="258">
        <f>IF(Waterfall!J4 &gt;4, INDIRECT(ADDRESS(ROW(),COLUMN()-1)) + INDIRECT(ADDRESS(ROW()-1,COLUMN()))," ")</f>
        <v>25000</v>
      </c>
      <c r="E8" s="253"/>
    </row>
    <row r="9">
      <c r="A9" s="253"/>
      <c r="B9" s="256" t="str">
        <f> IF(Waterfall!J4 &gt;5,"Month 6", " ")</f>
        <v> </v>
      </c>
      <c r="C9" s="260" t="str">
        <f>IF(Waterfall!J4&gt;5, 'Retainer Breakdown'!P2, )</f>
        <v/>
      </c>
      <c r="D9" s="256" t="str">
        <f>IF(Waterfall!J4 &gt;5, INDIRECT(ADDRESS(ROW(),COLUMN()-1)) + INDIRECT(ADDRESS(ROW()-1,COLUMN())), " ")</f>
        <v> </v>
      </c>
      <c r="E9" s="261" t="s">
        <v>50</v>
      </c>
    </row>
    <row r="10">
      <c r="A10" s="253"/>
      <c r="B10" s="256" t="str">
        <f> IF(Waterfall!J4 &gt;6,"Month 7", " ")</f>
        <v> </v>
      </c>
      <c r="C10" s="260" t="str">
        <f>IF(Waterfall!J4&gt;6, 'Retainer Breakdown'!P2, )</f>
        <v/>
      </c>
      <c r="D10" s="256" t="str">
        <f>IF(Waterfall!J4 &gt;6, INDIRECT(ADDRESS(ROW(),COLUMN()-1)) + INDIRECT(ADDRESS(ROW()-1,COLUMN())), " ")</f>
        <v> </v>
      </c>
      <c r="E10" s="253"/>
    </row>
    <row r="11">
      <c r="A11" s="253"/>
      <c r="B11" s="256" t="str">
        <f> IF(Waterfall!J4 &gt;7,"Month 8", " ")</f>
        <v> </v>
      </c>
      <c r="C11" s="260" t="str">
        <f>IF(Waterfall!J4&gt;7, 'Retainer Breakdown'!P2, )</f>
        <v/>
      </c>
      <c r="D11" s="256" t="str">
        <f>IF(Waterfall!J4 &gt;7, INDIRECT(ADDRESS(ROW(),COLUMN()-1)) + INDIRECT(ADDRESS(ROW()-1,COLUMN())), " ")</f>
        <v> </v>
      </c>
      <c r="E11" s="253"/>
    </row>
    <row r="12">
      <c r="A12" s="253"/>
      <c r="B12" s="256" t="str">
        <f> IF(Waterfall!J4 &gt;8,"Month 9", " ")</f>
        <v> </v>
      </c>
      <c r="C12" s="260" t="str">
        <f>IF(Waterfall!J4&gt;8, 'Retainer Breakdown'!P2, )</f>
        <v/>
      </c>
      <c r="D12" s="256" t="str">
        <f>IF(Waterfall!J4 &gt;8, INDIRECT(ADDRESS(ROW(),COLUMN()-1)) + INDIRECT(ADDRESS(ROW()-1,COLUMN())), " ")</f>
        <v> </v>
      </c>
      <c r="E12" s="253"/>
    </row>
    <row r="13">
      <c r="A13" s="253"/>
      <c r="B13" s="256" t="str">
        <f> IF(Waterfall!J4 &gt;9,"Month 10", " ")</f>
        <v> </v>
      </c>
      <c r="C13" s="260" t="str">
        <f>IF(Waterfall!J4&gt;9, 'Retainer Breakdown'!P2, )</f>
        <v/>
      </c>
      <c r="D13" s="256" t="str">
        <f>IF(Waterfall!J4 &gt;9, INDIRECT(ADDRESS(ROW(),COLUMN()-1)) + INDIRECT(ADDRESS(ROW()-1,COLUMN())), " ")</f>
        <v> </v>
      </c>
      <c r="E13" s="253"/>
    </row>
    <row r="14">
      <c r="A14" s="253"/>
      <c r="B14" s="256" t="str">
        <f> IF(Waterfall!J4 &gt;10,"Month 11", " ")</f>
        <v> </v>
      </c>
      <c r="C14" s="260" t="str">
        <f>IF(Waterfall!J4&gt;10, 'Retainer Breakdown'!P2, )</f>
        <v/>
      </c>
      <c r="D14" s="256" t="str">
        <f>IF(Waterfall!J4 &gt;10, INDIRECT(ADDRESS(ROW(),COLUMN()-1)) + INDIRECT(ADDRESS(ROW()-1,COLUMN())), " ")</f>
        <v> </v>
      </c>
      <c r="E14" s="253"/>
    </row>
    <row r="15">
      <c r="A15" s="253"/>
      <c r="B15" s="256" t="str">
        <f> IF(Waterfall!J4 &gt;11,"Month 12", " ")</f>
        <v> </v>
      </c>
      <c r="C15" s="260" t="str">
        <f>IF(Waterfall!J4&gt;11, 'Retainer Breakdown'!P2, )</f>
        <v/>
      </c>
      <c r="D15" s="256" t="str">
        <f>IF(Waterfall!J4 &gt;11, INDIRECT(ADDRESS(ROW(),COLUMN()-1)) + INDIRECT(ADDRESS(ROW()-1,COLUMN())), " ")</f>
        <v> </v>
      </c>
      <c r="E15" s="253"/>
    </row>
    <row r="16">
      <c r="A16" s="253"/>
      <c r="B16" s="256" t="str">
        <f> IF(Waterfall!J4 &gt;12,"Month 13", " ")</f>
        <v> </v>
      </c>
      <c r="C16" s="260" t="str">
        <f>IF(Waterfall!J4&gt;12, 'Retainer Breakdown'!P2, )</f>
        <v/>
      </c>
      <c r="D16" s="256" t="str">
        <f>IF(Waterfall!J4 &gt;12, INDIRECT(ADDRESS(ROW(),COLUMN()-1)) + INDIRECT(ADDRESS(ROW()-1,COLUMN())), " ")</f>
        <v> </v>
      </c>
      <c r="E16" s="253"/>
    </row>
    <row r="17">
      <c r="A17" s="253"/>
      <c r="B17" s="256" t="str">
        <f> IF(Waterfall!J4 &gt;13,"Month 14", " ")</f>
        <v> </v>
      </c>
      <c r="C17" s="260" t="str">
        <f>IF(Waterfall!J4&gt;13, 'Retainer Breakdown'!P2, )</f>
        <v/>
      </c>
      <c r="D17" s="256" t="str">
        <f>IF(Waterfall!J4 &gt;13, INDIRECT(ADDRESS(ROW(),COLUMN()-1)) + INDIRECT(ADDRESS(ROW()-1,COLUMN())), " ")</f>
        <v> </v>
      </c>
      <c r="E17" s="253"/>
    </row>
    <row r="18">
      <c r="A18" s="253"/>
      <c r="B18" s="256" t="str">
        <f> IF(Waterfall!J4 &gt;14,"Month 15", " ")</f>
        <v> </v>
      </c>
      <c r="C18" s="260" t="str">
        <f>IF(Waterfall!J4&gt;14, 'Retainer Breakdown'!P2, )</f>
        <v/>
      </c>
      <c r="D18" s="256" t="str">
        <f>IF(Waterfall!J4 &gt;14, INDIRECT(ADDRESS(ROW(),COLUMN()-1)) + INDIRECT(ADDRESS(ROW()-1,COLUMN())), " ")</f>
        <v> </v>
      </c>
      <c r="E18" s="253"/>
    </row>
    <row r="19">
      <c r="A19" s="253"/>
      <c r="B19" s="256" t="str">
        <f> IF(Waterfall!J4 &gt;15,"Month 16", " ")</f>
        <v> </v>
      </c>
      <c r="C19" s="260" t="str">
        <f>IF(Waterfall!J4&gt;15, 'Retainer Breakdown'!P2, )</f>
        <v/>
      </c>
      <c r="D19" s="256" t="str">
        <f>IF(Waterfall!J4 &gt;15, INDIRECT(ADDRESS(ROW(),COLUMN()-1)) + INDIRECT(ADDRESS(ROW()-1,COLUMN())), " ")</f>
        <v> </v>
      </c>
      <c r="E19" s="253"/>
    </row>
    <row r="20">
      <c r="A20" s="253"/>
      <c r="B20" s="256"/>
      <c r="C20" s="262"/>
      <c r="D20" s="256"/>
      <c r="E20" s="253"/>
    </row>
    <row r="21">
      <c r="A21" s="253"/>
      <c r="B21" s="256"/>
      <c r="C21" s="262"/>
      <c r="D21" s="256"/>
      <c r="E21" s="253"/>
    </row>
    <row r="22">
      <c r="A22" s="253"/>
      <c r="B22" s="256"/>
      <c r="C22" s="262"/>
      <c r="D22" s="256"/>
      <c r="E22" s="253"/>
    </row>
    <row r="23">
      <c r="A23" s="253"/>
      <c r="B23" s="256"/>
      <c r="C23" s="262"/>
      <c r="D23" s="256"/>
      <c r="E23" s="253"/>
    </row>
    <row r="24">
      <c r="A24" s="253"/>
      <c r="B24" s="256"/>
      <c r="C24" s="262"/>
      <c r="D24" s="256"/>
      <c r="E24" s="253"/>
    </row>
  </sheetData>
  <drawing r:id="rId1"/>
</worksheet>
</file>