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y\OneDrive\Qlik Resources\Projects\Trendlines\"/>
    </mc:Choice>
  </mc:AlternateContent>
  <bookViews>
    <workbookView xWindow="0" yWindow="0" windowWidth="8775" windowHeight="6045" activeTab="5"/>
  </bookViews>
  <sheets>
    <sheet name="Formulas" sheetId="2" r:id="rId1"/>
    <sheet name="Example Formulas" sheetId="1" r:id="rId2"/>
    <sheet name="Chart Comparison" sheetId="7" r:id="rId3"/>
    <sheet name="Linear Trendline" sheetId="4" r:id="rId4"/>
    <sheet name="Logarithmic Trendline" sheetId="6" r:id="rId5"/>
    <sheet name="Power Trendline" sheetId="8" r:id="rId6"/>
    <sheet name="Exponential Trendline" sheetId="9" r:id="rId7"/>
    <sheet name="2nd Order Polynomial Trend" sheetId="10" r:id="rId8"/>
    <sheet name="3rd Order Polynomial Trend" sheetId="11" r:id="rId9"/>
    <sheet name="4th Order Polynomial Trend" sheetId="12" r:id="rId10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0" l="1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5" i="10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I6" i="9"/>
  <c r="J6" i="9"/>
  <c r="I7" i="9"/>
  <c r="J7" i="9"/>
  <c r="I8" i="9"/>
  <c r="J8" i="9"/>
  <c r="I9" i="9"/>
  <c r="J9" i="9"/>
  <c r="I10" i="9"/>
  <c r="J10" i="9"/>
  <c r="I11" i="9"/>
  <c r="J11" i="9"/>
  <c r="I12" i="9"/>
  <c r="J12" i="9"/>
  <c r="I13" i="9"/>
  <c r="J13" i="9"/>
  <c r="I14" i="9"/>
  <c r="J14" i="9"/>
  <c r="I15" i="9"/>
  <c r="J15" i="9"/>
  <c r="I16" i="9"/>
  <c r="J16" i="9"/>
  <c r="I17" i="9"/>
  <c r="J17" i="9"/>
  <c r="I18" i="9"/>
  <c r="J18" i="9"/>
  <c r="I19" i="9"/>
  <c r="J19" i="9"/>
  <c r="I20" i="9"/>
  <c r="J20" i="9"/>
  <c r="I21" i="9"/>
  <c r="J21" i="9"/>
  <c r="I22" i="9"/>
  <c r="J22" i="9"/>
  <c r="I23" i="9"/>
  <c r="J23" i="9"/>
  <c r="I24" i="9"/>
  <c r="J24" i="9"/>
  <c r="I25" i="9"/>
  <c r="J25" i="9"/>
  <c r="I26" i="9"/>
  <c r="J26" i="9"/>
  <c r="I27" i="9"/>
  <c r="J27" i="9"/>
  <c r="J5" i="9"/>
  <c r="C5" i="9" s="1"/>
  <c r="I5" i="9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5" i="8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5" i="6"/>
  <c r="U2" i="7" l="1"/>
  <c r="U3" i="7"/>
  <c r="U4" i="7"/>
  <c r="U5" i="7"/>
  <c r="U6" i="7"/>
  <c r="U7" i="7"/>
  <c r="U8" i="7"/>
  <c r="U9" i="7"/>
  <c r="U10" i="7"/>
  <c r="U11" i="7"/>
  <c r="U12" i="7"/>
  <c r="U13" i="7"/>
  <c r="U14" i="7"/>
  <c r="U15" i="7"/>
  <c r="U16" i="7"/>
  <c r="U17" i="7"/>
  <c r="U18" i="7"/>
  <c r="U19" i="7"/>
  <c r="U20" i="7"/>
  <c r="U21" i="7"/>
  <c r="U22" i="7"/>
  <c r="U23" i="7"/>
  <c r="U24" i="7"/>
  <c r="E5" i="9"/>
  <c r="F5" i="9"/>
  <c r="G5" i="9"/>
  <c r="H5" i="6"/>
  <c r="G5" i="6"/>
  <c r="F5" i="6"/>
  <c r="H5" i="8"/>
  <c r="G5" i="8"/>
  <c r="F5" i="8"/>
  <c r="F5" i="10" l="1"/>
  <c r="K6" i="12"/>
  <c r="K7" i="12"/>
  <c r="K8" i="12"/>
  <c r="K9" i="12"/>
  <c r="K10" i="12"/>
  <c r="K11" i="12"/>
  <c r="K12" i="12"/>
  <c r="K13" i="12"/>
  <c r="K14" i="12"/>
  <c r="K15" i="12"/>
  <c r="K16" i="12"/>
  <c r="K17" i="12"/>
  <c r="K18" i="12"/>
  <c r="K19" i="12"/>
  <c r="K20" i="12"/>
  <c r="K21" i="12"/>
  <c r="K22" i="12"/>
  <c r="K23" i="12"/>
  <c r="K24" i="12"/>
  <c r="K25" i="12"/>
  <c r="K26" i="12"/>
  <c r="K27" i="12"/>
  <c r="K5" i="12"/>
  <c r="J5" i="12"/>
  <c r="I5" i="12"/>
  <c r="H5" i="12"/>
  <c r="G5" i="12"/>
  <c r="F5" i="12"/>
  <c r="E5" i="12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5" i="11"/>
  <c r="I5" i="11"/>
  <c r="H5" i="11"/>
  <c r="G5" i="11"/>
  <c r="F5" i="11"/>
  <c r="E5" i="11"/>
  <c r="H5" i="10"/>
  <c r="G5" i="10"/>
  <c r="E5" i="10"/>
  <c r="T14" i="7" l="1"/>
  <c r="T18" i="7"/>
  <c r="T12" i="7"/>
  <c r="T16" i="7"/>
  <c r="T9" i="7"/>
  <c r="T21" i="7"/>
  <c r="T4" i="7"/>
  <c r="T8" i="7"/>
  <c r="T20" i="7"/>
  <c r="T24" i="7"/>
  <c r="T5" i="7"/>
  <c r="T13" i="7"/>
  <c r="T17" i="7"/>
  <c r="T6" i="7"/>
  <c r="T10" i="7"/>
  <c r="T22" i="7"/>
  <c r="T11" i="7"/>
  <c r="T15" i="7"/>
  <c r="T19" i="7"/>
  <c r="T3" i="7"/>
  <c r="C26" i="12"/>
  <c r="C27" i="12"/>
  <c r="C6" i="12"/>
  <c r="C8" i="12"/>
  <c r="C10" i="12"/>
  <c r="C12" i="12"/>
  <c r="C14" i="12"/>
  <c r="C16" i="12"/>
  <c r="C18" i="12"/>
  <c r="C20" i="12"/>
  <c r="C22" i="12"/>
  <c r="C24" i="12"/>
  <c r="C5" i="12"/>
  <c r="C7" i="12"/>
  <c r="C9" i="12"/>
  <c r="C11" i="12"/>
  <c r="C13" i="12"/>
  <c r="C15" i="12"/>
  <c r="C17" i="12"/>
  <c r="C19" i="12"/>
  <c r="C21" i="12"/>
  <c r="C23" i="12"/>
  <c r="C25" i="12"/>
  <c r="C26" i="11"/>
  <c r="C27" i="11"/>
  <c r="C5" i="11"/>
  <c r="C7" i="11"/>
  <c r="C9" i="11"/>
  <c r="C11" i="11"/>
  <c r="C13" i="11"/>
  <c r="C15" i="11"/>
  <c r="C17" i="11"/>
  <c r="C19" i="11"/>
  <c r="C21" i="11"/>
  <c r="C23" i="11"/>
  <c r="C25" i="11"/>
  <c r="C6" i="11"/>
  <c r="C8" i="11"/>
  <c r="C10" i="11"/>
  <c r="C12" i="11"/>
  <c r="C14" i="11"/>
  <c r="C16" i="11"/>
  <c r="C18" i="11"/>
  <c r="C20" i="11"/>
  <c r="C22" i="11"/>
  <c r="C24" i="11"/>
  <c r="T23" i="7"/>
  <c r="T7" i="7"/>
  <c r="T2" i="7" l="1"/>
  <c r="F5" i="4" l="1"/>
  <c r="H5" i="9"/>
  <c r="R4" i="7"/>
  <c r="R5" i="7"/>
  <c r="R8" i="7"/>
  <c r="R9" i="7"/>
  <c r="R12" i="7"/>
  <c r="R13" i="7"/>
  <c r="R16" i="7"/>
  <c r="R17" i="7"/>
  <c r="R20" i="7"/>
  <c r="R21" i="7"/>
  <c r="R24" i="7"/>
  <c r="R2" i="7"/>
  <c r="R3" i="7"/>
  <c r="R7" i="7"/>
  <c r="R11" i="7"/>
  <c r="R15" i="7"/>
  <c r="R19" i="7"/>
  <c r="R23" i="7"/>
  <c r="E5" i="8"/>
  <c r="Q3" i="7"/>
  <c r="Q4" i="7"/>
  <c r="Q5" i="7"/>
  <c r="Q7" i="7"/>
  <c r="Q8" i="7"/>
  <c r="Q9" i="7"/>
  <c r="Q11" i="7"/>
  <c r="Q12" i="7"/>
  <c r="Q13" i="7"/>
  <c r="Q15" i="7"/>
  <c r="Q16" i="7"/>
  <c r="Q17" i="7"/>
  <c r="Q19" i="7"/>
  <c r="Q20" i="7"/>
  <c r="Q21" i="7"/>
  <c r="Q23" i="7"/>
  <c r="Q24" i="7"/>
  <c r="Q2" i="7"/>
  <c r="E5" i="6"/>
  <c r="O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I18" i="4" s="1"/>
  <c r="H19" i="4"/>
  <c r="H20" i="4"/>
  <c r="H21" i="4"/>
  <c r="H22" i="4"/>
  <c r="I22" i="4" s="1"/>
  <c r="H23" i="4"/>
  <c r="H24" i="4"/>
  <c r="I24" i="4" s="1"/>
  <c r="P21" i="7" s="1"/>
  <c r="H25" i="4"/>
  <c r="H26" i="4"/>
  <c r="I26" i="4" s="1"/>
  <c r="C26" i="4" s="1"/>
  <c r="H27" i="4"/>
  <c r="I6" i="4"/>
  <c r="C6" i="4" s="1"/>
  <c r="I8" i="4"/>
  <c r="P5" i="7" s="1"/>
  <c r="I9" i="4"/>
  <c r="C9" i="4" s="1"/>
  <c r="I10" i="4"/>
  <c r="C10" i="4" s="1"/>
  <c r="I12" i="4"/>
  <c r="P9" i="7" s="1"/>
  <c r="I13" i="4"/>
  <c r="C13" i="4" s="1"/>
  <c r="I14" i="4"/>
  <c r="C14" i="4" s="1"/>
  <c r="I16" i="4"/>
  <c r="P13" i="7" s="1"/>
  <c r="I17" i="4"/>
  <c r="C17" i="4" s="1"/>
  <c r="I20" i="4"/>
  <c r="P17" i="7" s="1"/>
  <c r="I21" i="4"/>
  <c r="C21" i="4" s="1"/>
  <c r="I25" i="4"/>
  <c r="C25" i="4" s="1"/>
  <c r="H5" i="4"/>
  <c r="P5" i="4"/>
  <c r="E5" i="4"/>
  <c r="Q5" i="4"/>
  <c r="M5" i="4"/>
  <c r="N5" i="4"/>
  <c r="D4" i="1"/>
  <c r="D3" i="1"/>
  <c r="D2" i="1"/>
  <c r="C18" i="4" l="1"/>
  <c r="P15" i="7"/>
  <c r="C20" i="4"/>
  <c r="C8" i="4"/>
  <c r="P14" i="7"/>
  <c r="P3" i="7"/>
  <c r="I15" i="4"/>
  <c r="I11" i="4"/>
  <c r="I7" i="4"/>
  <c r="C12" i="4"/>
  <c r="C24" i="4"/>
  <c r="R22" i="7"/>
  <c r="R18" i="7"/>
  <c r="R14" i="7"/>
  <c r="R10" i="7"/>
  <c r="R6" i="7"/>
  <c r="C22" i="4"/>
  <c r="P19" i="7"/>
  <c r="C16" i="4"/>
  <c r="P23" i="7"/>
  <c r="P11" i="7"/>
  <c r="P7" i="7"/>
  <c r="P22" i="7"/>
  <c r="P18" i="7"/>
  <c r="P10" i="7"/>
  <c r="P6" i="7"/>
  <c r="S2" i="7"/>
  <c r="Q22" i="7"/>
  <c r="Q18" i="7"/>
  <c r="Q14" i="7"/>
  <c r="Q10" i="7"/>
  <c r="Q6" i="7"/>
  <c r="S5" i="7"/>
  <c r="S6" i="7"/>
  <c r="I27" i="4"/>
  <c r="I23" i="4"/>
  <c r="I19" i="4"/>
  <c r="I5" i="4"/>
  <c r="C5" i="4" s="1"/>
  <c r="C11" i="4" l="1"/>
  <c r="P8" i="7"/>
  <c r="P12" i="7"/>
  <c r="C15" i="4"/>
  <c r="P4" i="7"/>
  <c r="C7" i="4"/>
  <c r="S17" i="7"/>
  <c r="S21" i="7"/>
  <c r="P2" i="7"/>
  <c r="C19" i="4"/>
  <c r="P16" i="7"/>
  <c r="C23" i="4"/>
  <c r="P20" i="7"/>
  <c r="C27" i="4"/>
  <c r="P24" i="7"/>
  <c r="S9" i="7"/>
  <c r="S13" i="7"/>
  <c r="S3" i="7"/>
  <c r="S24" i="7"/>
  <c r="S7" i="7"/>
  <c r="S12" i="7"/>
  <c r="S22" i="7"/>
  <c r="S11" i="7"/>
  <c r="S16" i="7"/>
  <c r="S14" i="7"/>
  <c r="S19" i="7"/>
  <c r="S8" i="7"/>
  <c r="S18" i="7"/>
  <c r="S23" i="7"/>
  <c r="S10" i="7"/>
  <c r="S15" i="7"/>
  <c r="S4" i="7"/>
  <c r="S20" i="7"/>
</calcChain>
</file>

<file path=xl/comments1.xml><?xml version="1.0" encoding="utf-8"?>
<comments xmlns="http://schemas.openxmlformats.org/spreadsheetml/2006/main">
  <authors>
    <author>Richard Byard</author>
  </authors>
  <commentList>
    <comment ref="P4" authorId="0" shapeId="0">
      <text>
        <r>
          <rPr>
            <b/>
            <sz val="9"/>
            <color indexed="81"/>
            <rFont val="Tahoma"/>
            <charset val="1"/>
          </rPr>
          <t>Richard Byard:</t>
        </r>
        <r>
          <rPr>
            <sz val="9"/>
            <color indexed="81"/>
            <rFont val="Tahoma"/>
            <charset val="1"/>
          </rPr>
          <t xml:space="preserve">
Cannot project future values
</t>
        </r>
      </text>
    </comment>
  </commentList>
</comments>
</file>

<file path=xl/sharedStrings.xml><?xml version="1.0" encoding="utf-8"?>
<sst xmlns="http://schemas.openxmlformats.org/spreadsheetml/2006/main" count="175" uniqueCount="112">
  <si>
    <t>Linear Trendline</t>
  </si>
  <si>
    <t>Equation: y = m * x + b</t>
  </si>
  <si>
    <t>m: =SLOPE(y,x)</t>
  </si>
  <si>
    <t>b: =INTERCEPT(y,x)</t>
  </si>
  <si>
    <t>Logarithmic Trendline</t>
  </si>
  <si>
    <t>Equation: y = (c * LN(x)) + b</t>
  </si>
  <si>
    <t>c: =INDEX(LINEST(y,LN(x)),1)</t>
  </si>
  <si>
    <t>b: =INDEX(LINEST(y,LN(x)),1,2)</t>
  </si>
  <si>
    <t>Power Trendline</t>
  </si>
  <si>
    <t>Equation: y=c*x^b</t>
  </si>
  <si>
    <t>c: =EXP(INDEX(LINEST(LN(y),LN(x),,),1,2))</t>
  </si>
  <si>
    <t>b: =INDEX(LINEST(LN(y),LN(x),,),1)</t>
  </si>
  <si>
    <t>Exponential Trendline</t>
  </si>
  <si>
    <t>Equation: y = c *e ^(b * x)</t>
  </si>
  <si>
    <t>c: =EXP(INDEX(LINEST(LN(y),x),1,2))</t>
  </si>
  <si>
    <t>b: =INDEX(LINEST(LN(y),x),1)</t>
  </si>
  <si>
    <t>2nd Order Polynomial Trendline</t>
  </si>
  <si>
    <t>Equation: y = (c2 * x^2) + (c1 * x ^1) + b</t>
  </si>
  <si>
    <t>c2: =INDEX(LINEST(y,x^{1,2}),1)</t>
  </si>
  <si>
    <t>C1: =INDEX(LINEST(y,x^{1,2}),1,2)</t>
  </si>
  <si>
    <t>b = =INDEX(LINEST(y,x^{1,2}),1,3)</t>
  </si>
  <si>
    <t>3rd Order Polynomial Trendline</t>
  </si>
  <si>
    <t>Equation: y = (c3 * x^3) + (c2 * x^2) + (c1 * x^1) + b</t>
  </si>
  <si>
    <t>c3: =INDEX(LINEST(y,x^{1,2,3}),1)</t>
  </si>
  <si>
    <t>c2: =INDEX(LINEST(y,x^{1,2,3}),1,2)</t>
  </si>
  <si>
    <t>C1: =INDEX(LINEST(y,x^{1,2,3}),1,3)</t>
  </si>
  <si>
    <t>b: =INDEX(LINEST(y,x^{1,2,3}),1,4)</t>
  </si>
  <si>
    <t>Higher Order Polynomial Trendline</t>
  </si>
  <si>
    <t>Notice the pattern in the two preceding sets of formulas. </t>
  </si>
  <si>
    <t>LN()</t>
  </si>
  <si>
    <t>EXP()</t>
  </si>
  <si>
    <t>LOG()</t>
  </si>
  <si>
    <t>Excel</t>
  </si>
  <si>
    <t>Qlik</t>
  </si>
  <si>
    <t>LOG10()</t>
  </si>
  <si>
    <t>(c * LN(x)) + b</t>
  </si>
  <si>
    <t>(INDEX(LINEST(y,LN(x)),1) * LN(x)) + INDEX(LINEST(y,LN(x)),1,2)</t>
  </si>
  <si>
    <t>SLOPE()</t>
  </si>
  <si>
    <t>LINEST_M()</t>
  </si>
  <si>
    <t>INTERCEPT()</t>
  </si>
  <si>
    <t>LINEST_B()</t>
  </si>
  <si>
    <t>Actuals</t>
  </si>
  <si>
    <t>Slope</t>
  </si>
  <si>
    <t>Intercept</t>
  </si>
  <si>
    <t>LN(x)</t>
  </si>
  <si>
    <t>LN(y)</t>
  </si>
  <si>
    <t>MonthYear (x)</t>
  </si>
  <si>
    <t>Actuals (y)</t>
  </si>
  <si>
    <t>INDEX(LINEST(y,LN(x)),1)</t>
  </si>
  <si>
    <t>LINEST(y,LN(x))</t>
  </si>
  <si>
    <t>INDEX(LINEST(y,LN(x)),1,2)</t>
  </si>
  <si>
    <t>LINEST(y,x)</t>
  </si>
  <si>
    <t>LINEST(LN(y),LN(x))</t>
  </si>
  <si>
    <t>LINEST(LN(y),x)</t>
  </si>
  <si>
    <t>Linest(y,x)*x</t>
  </si>
  <si>
    <t>Linest(y,x)*x+Intercept</t>
  </si>
  <si>
    <t>linest_m(total aggr(sum([Expenses (USD)]),MonthYear),MonthYear)</t>
  </si>
  <si>
    <t>linest_b(total aggr(sum([Expenses (USD)]),MonthYear),MonthYear)</t>
  </si>
  <si>
    <t>c</t>
  </si>
  <si>
    <t>b</t>
  </si>
  <si>
    <t>Trend</t>
  </si>
  <si>
    <t>Month</t>
  </si>
  <si>
    <t>Linear Trend</t>
  </si>
  <si>
    <t>Logarithmic Trend</t>
  </si>
  <si>
    <t>Power Trend</t>
  </si>
  <si>
    <t>EXP(INDEX(LINEST(LN(y),LN(x),,),1,2))</t>
  </si>
  <si>
    <t>INDEX(LINEST(LN(y),LN(x),,),1)</t>
  </si>
  <si>
    <t>y=c*x^b</t>
  </si>
  <si>
    <t>EXP(INDEX(LINEST(LN(y),x),1,2))</t>
  </si>
  <si>
    <t>INDEX(LINEST(LN(y),x),1)</t>
  </si>
  <si>
    <t>e</t>
  </si>
  <si>
    <t>y = c * EXP(b * x) - Matches excel trend</t>
  </si>
  <si>
    <t xml:space="preserve"> c *e ^(b * x)</t>
  </si>
  <si>
    <t>EXP(1)</t>
  </si>
  <si>
    <t>e()</t>
  </si>
  <si>
    <t>LINEST_M(y,log(x))</t>
  </si>
  <si>
    <t>LINEST_B(y,log(x))</t>
  </si>
  <si>
    <t>m: =LINEST_M(y,x)</t>
  </si>
  <si>
    <t>b: = LINEST_B(y,x)</t>
  </si>
  <si>
    <t>c: =LINEST_M(y,LOG(x))</t>
  </si>
  <si>
    <t>b: = LINEST_B(y,LOG(x))</t>
  </si>
  <si>
    <t>y = (c * LOG(x)) + b</t>
  </si>
  <si>
    <t>Equation:</t>
  </si>
  <si>
    <t>y = m * x + b</t>
  </si>
  <si>
    <t>y = (c * LN(x)) + b</t>
  </si>
  <si>
    <t>y = c *e ^(b * x)</t>
  </si>
  <si>
    <t>e: =EXP(1)</t>
  </si>
  <si>
    <t>y = c * POW( x , b)</t>
  </si>
  <si>
    <t>c: =EXP(LINEST_B(LOG(y),LOG(x)))</t>
  </si>
  <si>
    <t>b: = LINEST_M(LOG(y),LOG(x))</t>
  </si>
  <si>
    <t>y = c * POW( e , b * x)</t>
  </si>
  <si>
    <t>c: =EXP(LINEST_B(LOG(y),x))</t>
  </si>
  <si>
    <t>b: = LINEST_M(LOG(y),x)</t>
  </si>
  <si>
    <t>e:= e()</t>
  </si>
  <si>
    <t>y = (c2 * x^2) + (c1 * x ^1) + b</t>
  </si>
  <si>
    <t>c2</t>
  </si>
  <si>
    <t>c1</t>
  </si>
  <si>
    <t>INDEX(LINEST(y,x^{1,2}),1)</t>
  </si>
  <si>
    <t>INDEX(LINEST(y,x^{1,2}),1,2)</t>
  </si>
  <si>
    <t>INDEX(LINEST(y,x^{1,2}),1,3)</t>
  </si>
  <si>
    <t>c3</t>
  </si>
  <si>
    <t>INDEX(LINEST(y,x^{1,2,3}),1)</t>
  </si>
  <si>
    <t>INDEX(LINEST(y,x^{1,2,3}),1,2)</t>
  </si>
  <si>
    <t>INDEX(LINEST(y,x^{1,2,3}),1,3)</t>
  </si>
  <si>
    <t>y = (c3 * x^3) + (c2 * x^2) + (c1 * x^1) + b</t>
  </si>
  <si>
    <t>INDEX(LINEST(y,x^{1,2,3}),1,4)</t>
  </si>
  <si>
    <t>c4</t>
  </si>
  <si>
    <t>INDEX(LINEST(y,x^{1,2,3,4}),1)</t>
  </si>
  <si>
    <t>INDEX(LINEST(y,x^{1,2,3,4}),1,2)</t>
  </si>
  <si>
    <t>INDEX(LINEST(y,x^{1,2,3,4}),1,3)</t>
  </si>
  <si>
    <t>INDEX(LINEST(y,x^{1,2,3,4}),1,4)</t>
  </si>
  <si>
    <t>INDEX(LINEST(y,x^{1,2,3,4}),1,5)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</si>
</sst>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.00_-;\-* #,##0.00_-;_-* &quot;-&quot;??_-;_-@_-"/>
  </numFmts>
  <fonts count="2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.85"/>
      <color rgb="FF333333"/>
      <name val="Arial"/>
      <family val="2"/>
    </font>
    <font>
      <sz val="10"/>
      <color rgb="FF000000"/>
      <name val="Courier New"/>
      <family val="3"/>
    </font>
    <font>
      <sz val="12"/>
      <color rgb="FF666666"/>
      <name val="Arial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"/>
      <name val="Tahoma"/>
      <family val="2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E6EBF6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3" fillId="0" borderId="3" applyNumberFormat="0" applyFill="0" applyAlignment="0" applyProtection="0"/>
    <xf numFmtId="0" fontId="3" fillId="0" borderId="0" applyNumberFormat="0" applyFill="0" applyBorder="0" applyAlignment="0" applyProtection="0"/>
    <xf numFmtId="0" fontId="4" fillId="2" borderId="0" applyNumberFormat="0" applyBorder="0" applyAlignment="0" applyProtection="0"/>
    <xf numFmtId="0" fontId="5" fillId="3" borderId="0" applyNumberFormat="0" applyBorder="0" applyAlignment="0" applyProtection="0"/>
    <xf numFmtId="0" fontId="6" fillId="5" borderId="4" applyNumberFormat="0" applyAlignment="0" applyProtection="0"/>
    <xf numFmtId="0" fontId="7" fillId="6" borderId="5" applyNumberFormat="0" applyAlignment="0" applyProtection="0"/>
    <xf numFmtId="0" fontId="8" fillId="6" borderId="4" applyNumberFormat="0" applyAlignment="0" applyProtection="0"/>
    <xf numFmtId="0" fontId="9" fillId="0" borderId="6" applyNumberFormat="0" applyFill="0" applyAlignment="0" applyProtection="0"/>
    <xf numFmtId="0" fontId="10" fillId="7" borderId="7" applyNumberFormat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9" applyNumberFormat="0" applyFill="0" applyAlignment="0" applyProtection="0"/>
    <xf numFmtId="0" fontId="14" fillId="9" borderId="0" applyNumberFormat="0" applyBorder="0" applyAlignment="0" applyProtection="0"/>
    <xf numFmtId="0" fontId="14" fillId="13" borderId="0" applyNumberFormat="0" applyBorder="0" applyAlignment="0" applyProtection="0"/>
    <xf numFmtId="0" fontId="14" fillId="17" borderId="0" applyNumberFormat="0" applyBorder="0" applyAlignment="0" applyProtection="0"/>
    <xf numFmtId="0" fontId="14" fillId="21" borderId="0" applyNumberFormat="0" applyBorder="0" applyAlignment="0" applyProtection="0"/>
    <xf numFmtId="0" fontId="14" fillId="25" borderId="0" applyNumberFormat="0" applyBorder="0" applyAlignment="0" applyProtection="0"/>
    <xf numFmtId="0" fontId="14" fillId="29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4" borderId="0" applyNumberFormat="0" applyBorder="0" applyAlignment="0" applyProtection="0"/>
    <xf numFmtId="0" fontId="13" fillId="8" borderId="8" applyNumberFormat="0" applyFont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4" fillId="12" borderId="0" applyNumberFormat="0" applyBorder="0" applyAlignment="0" applyProtection="0"/>
    <xf numFmtId="0" fontId="13" fillId="14" borderId="0" applyNumberFormat="0" applyBorder="0" applyAlignment="0" applyProtection="0"/>
    <xf numFmtId="0" fontId="13" fillId="15" borderId="0" applyNumberFormat="0" applyBorder="0" applyAlignment="0" applyProtection="0"/>
    <xf numFmtId="0" fontId="14" fillId="16" borderId="0" applyNumberFormat="0" applyBorder="0" applyAlignment="0" applyProtection="0"/>
    <xf numFmtId="0" fontId="13" fillId="18" borderId="0" applyNumberFormat="0" applyBorder="0" applyAlignment="0" applyProtection="0"/>
    <xf numFmtId="0" fontId="13" fillId="19" borderId="0" applyNumberFormat="0" applyBorder="0" applyAlignment="0" applyProtection="0"/>
    <xf numFmtId="0" fontId="14" fillId="20" borderId="0" applyNumberFormat="0" applyBorder="0" applyAlignment="0" applyProtection="0"/>
    <xf numFmtId="0" fontId="13" fillId="22" borderId="0" applyNumberFormat="0" applyBorder="0" applyAlignment="0" applyProtection="0"/>
    <xf numFmtId="0" fontId="13" fillId="23" borderId="0" applyNumberFormat="0" applyBorder="0" applyAlignment="0" applyProtection="0"/>
    <xf numFmtId="0" fontId="14" fillId="24" borderId="0" applyNumberFormat="0" applyBorder="0" applyAlignment="0" applyProtection="0"/>
    <xf numFmtId="0" fontId="13" fillId="26" borderId="0" applyNumberFormat="0" applyBorder="0" applyAlignment="0" applyProtection="0"/>
    <xf numFmtId="0" fontId="13" fillId="27" borderId="0" applyNumberFormat="0" applyBorder="0" applyAlignment="0" applyProtection="0"/>
    <xf numFmtId="0" fontId="14" fillId="28" borderId="0" applyNumberFormat="0" applyBorder="0" applyAlignment="0" applyProtection="0"/>
    <xf numFmtId="0" fontId="13" fillId="30" borderId="0" applyNumberFormat="0" applyBorder="0" applyAlignment="0" applyProtection="0"/>
    <xf numFmtId="0" fontId="13" fillId="31" borderId="0" applyNumberFormat="0" applyBorder="0" applyAlignment="0" applyProtection="0"/>
    <xf numFmtId="0" fontId="14" fillId="32" borderId="0" applyNumberFormat="0" applyBorder="0" applyAlignment="0" applyProtection="0"/>
    <xf numFmtId="0" fontId="22" fillId="0" borderId="0"/>
    <xf numFmtId="164" fontId="22" fillId="0" borderId="0" applyFont="0" applyFill="0" applyBorder="0" applyAlignment="0" applyProtection="0"/>
  </cellStyleXfs>
  <cellXfs count="29">
    <xf numFmtId="0" fontId="0" fillId="0" borderId="0" xfId="0"/>
    <xf numFmtId="0" fontId="16" fillId="0" borderId="0" xfId="0" applyFont="1" applyAlignment="1">
      <alignment vertical="center"/>
    </xf>
    <xf numFmtId="0" fontId="0" fillId="0" borderId="0" xfId="0" applyAlignment="1">
      <alignment wrapText="1"/>
    </xf>
    <xf numFmtId="0" fontId="15" fillId="0" borderId="0" xfId="0" applyFont="1" applyAlignment="1">
      <alignment vertical="center"/>
    </xf>
    <xf numFmtId="0" fontId="0" fillId="0" borderId="0" xfId="0" applyAlignment="1"/>
    <xf numFmtId="0" fontId="17" fillId="0" borderId="0" xfId="0" applyFont="1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2" fontId="0" fillId="0" borderId="0" xfId="0" applyNumberFormat="1"/>
    <xf numFmtId="2" fontId="0" fillId="0" borderId="0" xfId="21" applyNumberFormat="1" applyFont="1"/>
    <xf numFmtId="1" fontId="0" fillId="0" borderId="0" xfId="21" applyNumberFormat="1" applyFont="1"/>
    <xf numFmtId="1" fontId="0" fillId="0" borderId="0" xfId="0" applyNumberFormat="1"/>
    <xf numFmtId="14" fontId="0" fillId="0" borderId="0" xfId="0" applyNumberFormat="1"/>
    <xf numFmtId="14" fontId="0" fillId="0" borderId="0" xfId="21" applyNumberFormat="1" applyFont="1"/>
    <xf numFmtId="14" fontId="0" fillId="0" borderId="0" xfId="0" applyNumberFormat="1" applyAlignment="1">
      <alignment wrapText="1"/>
    </xf>
    <xf numFmtId="0" fontId="0" fillId="0" borderId="0" xfId="0"/>
    <xf numFmtId="0" fontId="0" fillId="33" borderId="0" xfId="0" applyFill="1"/>
    <xf numFmtId="0" fontId="23" fillId="34" borderId="0" xfId="0" applyFont="1" applyFill="1" applyAlignment="1">
      <alignment horizontal="left"/>
    </xf>
    <xf numFmtId="0" fontId="0" fillId="34" borderId="0" xfId="0" applyFill="1" applyAlignment="1">
      <alignment horizontal="center"/>
    </xf>
    <xf numFmtId="0" fontId="0" fillId="0" borderId="0" xfId="0" applyFill="1" applyAlignment="1">
      <alignment horizontal="left"/>
    </xf>
    <xf numFmtId="0" fontId="0" fillId="34" borderId="0" xfId="0" applyFill="1" applyAlignment="1">
      <alignment horizontal="left"/>
    </xf>
    <xf numFmtId="0" fontId="24" fillId="0" borderId="0" xfId="0" applyFont="1" applyFill="1" applyAlignment="1">
      <alignment horizontal="left"/>
    </xf>
    <xf numFmtId="0" fontId="0" fillId="35" borderId="0" xfId="0" applyFill="1" applyAlignment="1">
      <alignment horizontal="left"/>
    </xf>
    <xf numFmtId="0" fontId="0" fillId="36" borderId="0" xfId="0" applyFill="1" applyAlignment="1">
      <alignment horizontal="center"/>
    </xf>
    <xf numFmtId="0" fontId="0" fillId="36" borderId="0" xfId="0" applyFill="1" applyAlignment="1">
      <alignment horizontal="left"/>
    </xf>
    <xf numFmtId="0" fontId="25" fillId="35" borderId="0" xfId="0" applyFont="1" applyFill="1" applyAlignment="1">
      <alignment horizontal="left"/>
    </xf>
    <xf numFmtId="0" fontId="25" fillId="36" borderId="0" xfId="0" applyFont="1" applyFill="1" applyAlignment="1">
      <alignment horizontal="left"/>
    </xf>
    <xf numFmtId="0" fontId="0" fillId="0" borderId="0" xfId="0" applyNumberFormat="1"/>
    <xf numFmtId="0" fontId="0" fillId="0" borderId="0" xfId="0"/>
  </cellXfs>
  <cellStyles count="44">
    <cellStyle name="20% - Accent1 2" xfId="24"/>
    <cellStyle name="20% - Accent2 2" xfId="27"/>
    <cellStyle name="20% - Accent3 2" xfId="30"/>
    <cellStyle name="20% - Accent4 2" xfId="33"/>
    <cellStyle name="20% - Accent5 2" xfId="36"/>
    <cellStyle name="20% - Accent6 2" xfId="39"/>
    <cellStyle name="40% - Accent1 2" xfId="25"/>
    <cellStyle name="40% - Accent2 2" xfId="28"/>
    <cellStyle name="40% - Accent3 2" xfId="31"/>
    <cellStyle name="40% - Accent4 2" xfId="34"/>
    <cellStyle name="40% - Accent5 2" xfId="37"/>
    <cellStyle name="40% - Accent6 2" xfId="40"/>
    <cellStyle name="60% - Accent1 2" xfId="26"/>
    <cellStyle name="60% - Accent2 2" xfId="29"/>
    <cellStyle name="60% - Accent3 2" xfId="32"/>
    <cellStyle name="60% - Accent4 2" xfId="35"/>
    <cellStyle name="60% - Accent5 2" xfId="38"/>
    <cellStyle name="60% - Accent6 2" xfId="41"/>
    <cellStyle name="Accent1" xfId="15" builtinId="29" customBuiltin="1"/>
    <cellStyle name="Accent2" xfId="16" builtinId="33" customBuiltin="1"/>
    <cellStyle name="Accent3" xfId="17" builtinId="37" customBuiltin="1"/>
    <cellStyle name="Accent4" xfId="18" builtinId="41" customBuiltin="1"/>
    <cellStyle name="Accent5" xfId="19" builtinId="45" customBuiltin="1"/>
    <cellStyle name="Accent6" xfId="20" builtinId="49" customBuiltin="1"/>
    <cellStyle name="Bad" xfId="6" builtinId="27" customBuiltin="1"/>
    <cellStyle name="Calculation" xfId="9" builtinId="22" customBuiltin="1"/>
    <cellStyle name="Check Cell" xfId="11" builtinId="23" customBuiltin="1"/>
    <cellStyle name="Comma 2" xfId="43"/>
    <cellStyle name="Explanatory Text" xfId="13" builtinId="53" customBuiltin="1"/>
    <cellStyle name="Good" xfId="5" builtinId="26" customBuiltin="1"/>
    <cellStyle name="Heading 1" xfId="1" builtinId="16" customBuiltin="1"/>
    <cellStyle name="Heading 2" xfId="2" builtinId="17" customBuiltin="1"/>
    <cellStyle name="Heading 3" xfId="3" builtinId="18" customBuiltin="1"/>
    <cellStyle name="Heading 4" xfId="4" builtinId="19" customBuiltin="1"/>
    <cellStyle name="Input" xfId="7" builtinId="20" customBuiltin="1"/>
    <cellStyle name="Linked Cell" xfId="10" builtinId="24" customBuiltin="1"/>
    <cellStyle name="Neutral 2" xfId="22"/>
    <cellStyle name="Normal" xfId="0" builtinId="0"/>
    <cellStyle name="Normal 2" xfId="42"/>
    <cellStyle name="Note 2" xfId="23"/>
    <cellStyle name="Output" xfId="8" builtinId="21" customBuiltin="1"/>
    <cellStyle name="Title 2" xfId="21"/>
    <cellStyle name="Total" xfId="14" builtinId="25" customBuiltin="1"/>
    <cellStyle name="Warning Text" xfId="12" builtinId="11" customBuiltin="1"/>
  </cellStyles>
  <dxfs count="0"/>
  <tableStyles count="0" defaultTableStyle="TableStyleMedium2" defaultPivotStyle="PivotStyleLight16"/>
  <colors>
    <mruColors>
      <color rgb="FFE6EBF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Trendline Comparisons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'Chart Comparison'!$O$1</c:f>
              <c:strCache>
                <c:ptCount val="1"/>
                <c:pt idx="0">
                  <c:v>Actuals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'Chart Comparison'!$N$2:$N$24</c:f>
              <c:numCache>
                <c:formatCode>dd/mm/yyyy</c:formatCode>
                <c:ptCount val="23"/>
                <c:pt idx="0">
                  <c:v>41395</c:v>
                </c:pt>
                <c:pt idx="1">
                  <c:v>41426</c:v>
                </c:pt>
                <c:pt idx="2">
                  <c:v>41456</c:v>
                </c:pt>
                <c:pt idx="3">
                  <c:v>41487</c:v>
                </c:pt>
                <c:pt idx="4">
                  <c:v>41518</c:v>
                </c:pt>
                <c:pt idx="5">
                  <c:v>41548</c:v>
                </c:pt>
                <c:pt idx="6">
                  <c:v>41579</c:v>
                </c:pt>
                <c:pt idx="7">
                  <c:v>41609</c:v>
                </c:pt>
                <c:pt idx="8">
                  <c:v>41640</c:v>
                </c:pt>
                <c:pt idx="9">
                  <c:v>41671</c:v>
                </c:pt>
                <c:pt idx="10">
                  <c:v>41699</c:v>
                </c:pt>
                <c:pt idx="11">
                  <c:v>41730</c:v>
                </c:pt>
                <c:pt idx="12">
                  <c:v>41760</c:v>
                </c:pt>
                <c:pt idx="13">
                  <c:v>41791</c:v>
                </c:pt>
                <c:pt idx="14">
                  <c:v>41821</c:v>
                </c:pt>
                <c:pt idx="15">
                  <c:v>41852</c:v>
                </c:pt>
                <c:pt idx="16">
                  <c:v>41883</c:v>
                </c:pt>
                <c:pt idx="17">
                  <c:v>41913</c:v>
                </c:pt>
                <c:pt idx="18">
                  <c:v>41944</c:v>
                </c:pt>
                <c:pt idx="19">
                  <c:v>41974</c:v>
                </c:pt>
                <c:pt idx="20">
                  <c:v>42005</c:v>
                </c:pt>
                <c:pt idx="21">
                  <c:v>42036</c:v>
                </c:pt>
                <c:pt idx="22">
                  <c:v>42064</c:v>
                </c:pt>
              </c:numCache>
            </c:numRef>
          </c:cat>
          <c:val>
            <c:numRef>
              <c:f>'Chart Comparison'!$O$2:$O$24</c:f>
              <c:numCache>
                <c:formatCode>0</c:formatCode>
                <c:ptCount val="23"/>
                <c:pt idx="0">
                  <c:v>3411.58</c:v>
                </c:pt>
                <c:pt idx="1">
                  <c:v>7401.1399999999994</c:v>
                </c:pt>
                <c:pt idx="2">
                  <c:v>5770.2100000000019</c:v>
                </c:pt>
                <c:pt idx="3">
                  <c:v>9407.7100000000009</c:v>
                </c:pt>
                <c:pt idx="4">
                  <c:v>18151.690000000002</c:v>
                </c:pt>
                <c:pt idx="5">
                  <c:v>15915.650000000001</c:v>
                </c:pt>
                <c:pt idx="6">
                  <c:v>19427.440000000002</c:v>
                </c:pt>
                <c:pt idx="7">
                  <c:v>18272.479999999992</c:v>
                </c:pt>
                <c:pt idx="8">
                  <c:v>15391.42</c:v>
                </c:pt>
                <c:pt idx="9">
                  <c:v>17521.940000000002</c:v>
                </c:pt>
                <c:pt idx="10">
                  <c:v>21798.85</c:v>
                </c:pt>
                <c:pt idx="11">
                  <c:v>20310.409999999993</c:v>
                </c:pt>
                <c:pt idx="12">
                  <c:v>24829.47</c:v>
                </c:pt>
                <c:pt idx="13">
                  <c:v>28204.03</c:v>
                </c:pt>
                <c:pt idx="14">
                  <c:v>25760.629999999997</c:v>
                </c:pt>
                <c:pt idx="15">
                  <c:v>24127.400000000005</c:v>
                </c:pt>
                <c:pt idx="16">
                  <c:v>26603.609999999993</c:v>
                </c:pt>
                <c:pt idx="17">
                  <c:v>25815.109999999993</c:v>
                </c:pt>
                <c:pt idx="18">
                  <c:v>22678.340000000004</c:v>
                </c:pt>
                <c:pt idx="19">
                  <c:v>29134.39</c:v>
                </c:pt>
                <c:pt idx="20">
                  <c:v>20397.880000000005</c:v>
                </c:pt>
                <c:pt idx="21">
                  <c:v>19540.779999999995</c:v>
                </c:pt>
                <c:pt idx="22">
                  <c:v>3239.2400000000007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78-44AE-9234-A3D61140F166}"/>
            </c:ext>
          </c:extLst>
        </c:ser>
        <c:ser>
          <c:idx val="1"/>
          <c:order val="1"/>
          <c:tx>
            <c:strRef>
              <c:f>'Chart Comparison'!$P$1</c:f>
              <c:strCache>
                <c:ptCount val="1"/>
                <c:pt idx="0">
                  <c:v>Linear Trend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'Chart Comparison'!$N$2:$N$24</c:f>
              <c:numCache>
                <c:formatCode>dd/mm/yyyy</c:formatCode>
                <c:ptCount val="23"/>
                <c:pt idx="0">
                  <c:v>41395</c:v>
                </c:pt>
                <c:pt idx="1">
                  <c:v>41426</c:v>
                </c:pt>
                <c:pt idx="2">
                  <c:v>41456</c:v>
                </c:pt>
                <c:pt idx="3">
                  <c:v>41487</c:v>
                </c:pt>
                <c:pt idx="4">
                  <c:v>41518</c:v>
                </c:pt>
                <c:pt idx="5">
                  <c:v>41548</c:v>
                </c:pt>
                <c:pt idx="6">
                  <c:v>41579</c:v>
                </c:pt>
                <c:pt idx="7">
                  <c:v>41609</c:v>
                </c:pt>
                <c:pt idx="8">
                  <c:v>41640</c:v>
                </c:pt>
                <c:pt idx="9">
                  <c:v>41671</c:v>
                </c:pt>
                <c:pt idx="10">
                  <c:v>41699</c:v>
                </c:pt>
                <c:pt idx="11">
                  <c:v>41730</c:v>
                </c:pt>
                <c:pt idx="12">
                  <c:v>41760</c:v>
                </c:pt>
                <c:pt idx="13">
                  <c:v>41791</c:v>
                </c:pt>
                <c:pt idx="14">
                  <c:v>41821</c:v>
                </c:pt>
                <c:pt idx="15">
                  <c:v>41852</c:v>
                </c:pt>
                <c:pt idx="16">
                  <c:v>41883</c:v>
                </c:pt>
                <c:pt idx="17">
                  <c:v>41913</c:v>
                </c:pt>
                <c:pt idx="18">
                  <c:v>41944</c:v>
                </c:pt>
                <c:pt idx="19">
                  <c:v>41974</c:v>
                </c:pt>
                <c:pt idx="20">
                  <c:v>42005</c:v>
                </c:pt>
                <c:pt idx="21">
                  <c:v>42036</c:v>
                </c:pt>
                <c:pt idx="22">
                  <c:v>42064</c:v>
                </c:pt>
              </c:numCache>
            </c:numRef>
          </c:cat>
          <c:val>
            <c:numRef>
              <c:f>'Chart Comparison'!$P$2:$P$24</c:f>
              <c:numCache>
                <c:formatCode>General</c:formatCode>
                <c:ptCount val="23"/>
                <c:pt idx="0">
                  <c:v>11693.362963641062</c:v>
                </c:pt>
                <c:pt idx="1">
                  <c:v>12312.736422288581</c:v>
                </c:pt>
                <c:pt idx="2">
                  <c:v>12912.130091947503</c:v>
                </c:pt>
                <c:pt idx="3">
                  <c:v>13531.503550594905</c:v>
                </c:pt>
                <c:pt idx="4">
                  <c:v>14150.877009242424</c:v>
                </c:pt>
                <c:pt idx="5">
                  <c:v>14750.270678901346</c:v>
                </c:pt>
                <c:pt idx="6">
                  <c:v>15369.644137548748</c:v>
                </c:pt>
                <c:pt idx="7">
                  <c:v>15969.037807207671</c:v>
                </c:pt>
                <c:pt idx="8">
                  <c:v>16588.411265855189</c:v>
                </c:pt>
                <c:pt idx="9">
                  <c:v>17207.784724502708</c:v>
                </c:pt>
                <c:pt idx="10">
                  <c:v>17767.218816184322</c:v>
                </c:pt>
                <c:pt idx="11">
                  <c:v>18386.592274831724</c:v>
                </c:pt>
                <c:pt idx="12">
                  <c:v>18985.985944490647</c:v>
                </c:pt>
                <c:pt idx="13">
                  <c:v>19605.359403138165</c:v>
                </c:pt>
                <c:pt idx="14">
                  <c:v>20204.753072796972</c:v>
                </c:pt>
                <c:pt idx="15">
                  <c:v>20824.12653144449</c:v>
                </c:pt>
                <c:pt idx="16">
                  <c:v>21443.499990092008</c:v>
                </c:pt>
                <c:pt idx="17">
                  <c:v>22042.893659750815</c:v>
                </c:pt>
                <c:pt idx="18">
                  <c:v>22662.267118398333</c:v>
                </c:pt>
                <c:pt idx="19">
                  <c:v>23261.660788057256</c:v>
                </c:pt>
                <c:pt idx="20">
                  <c:v>23881.034246704658</c:v>
                </c:pt>
                <c:pt idx="21">
                  <c:v>24500.407705352176</c:v>
                </c:pt>
                <c:pt idx="22">
                  <c:v>25059.84179703379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78-44AE-9234-A3D61140F166}"/>
            </c:ext>
          </c:extLst>
        </c:ser>
        <c:ser>
          <c:idx val="2"/>
          <c:order val="2"/>
          <c:tx>
            <c:strRef>
              <c:f>'Chart Comparison'!$Q$1</c:f>
              <c:strCache>
                <c:ptCount val="1"/>
                <c:pt idx="0">
                  <c:v>Logarithmic Trend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'Chart Comparison'!$N$2:$N$24</c:f>
              <c:numCache>
                <c:formatCode>dd/mm/yyyy</c:formatCode>
                <c:ptCount val="23"/>
                <c:pt idx="0">
                  <c:v>41395</c:v>
                </c:pt>
                <c:pt idx="1">
                  <c:v>41426</c:v>
                </c:pt>
                <c:pt idx="2">
                  <c:v>41456</c:v>
                </c:pt>
                <c:pt idx="3">
                  <c:v>41487</c:v>
                </c:pt>
                <c:pt idx="4">
                  <c:v>41518</c:v>
                </c:pt>
                <c:pt idx="5">
                  <c:v>41548</c:v>
                </c:pt>
                <c:pt idx="6">
                  <c:v>41579</c:v>
                </c:pt>
                <c:pt idx="7">
                  <c:v>41609</c:v>
                </c:pt>
                <c:pt idx="8">
                  <c:v>41640</c:v>
                </c:pt>
                <c:pt idx="9">
                  <c:v>41671</c:v>
                </c:pt>
                <c:pt idx="10">
                  <c:v>41699</c:v>
                </c:pt>
                <c:pt idx="11">
                  <c:v>41730</c:v>
                </c:pt>
                <c:pt idx="12">
                  <c:v>41760</c:v>
                </c:pt>
                <c:pt idx="13">
                  <c:v>41791</c:v>
                </c:pt>
                <c:pt idx="14">
                  <c:v>41821</c:v>
                </c:pt>
                <c:pt idx="15">
                  <c:v>41852</c:v>
                </c:pt>
                <c:pt idx="16">
                  <c:v>41883</c:v>
                </c:pt>
                <c:pt idx="17">
                  <c:v>41913</c:v>
                </c:pt>
                <c:pt idx="18">
                  <c:v>41944</c:v>
                </c:pt>
                <c:pt idx="19">
                  <c:v>41974</c:v>
                </c:pt>
                <c:pt idx="20">
                  <c:v>42005</c:v>
                </c:pt>
                <c:pt idx="21">
                  <c:v>42036</c:v>
                </c:pt>
                <c:pt idx="22">
                  <c:v>42064</c:v>
                </c:pt>
              </c:numCache>
            </c:numRef>
          </c:cat>
          <c:val>
            <c:numRef>
              <c:f>'Chart Comparison'!$Q$2:$Q$24</c:f>
              <c:numCache>
                <c:formatCode>General</c:formatCode>
                <c:ptCount val="23"/>
                <c:pt idx="0">
                  <c:v>11617.605768820271</c:v>
                </c:pt>
                <c:pt idx="1">
                  <c:v>12252.358747830614</c:v>
                </c:pt>
                <c:pt idx="2">
                  <c:v>12866.183723045513</c:v>
                </c:pt>
                <c:pt idx="3">
                  <c:v>13500.003050385043</c:v>
                </c:pt>
                <c:pt idx="4">
                  <c:v>14133.348950797692</c:v>
                </c:pt>
                <c:pt idx="5">
                  <c:v>14745.81423847191</c:v>
                </c:pt>
                <c:pt idx="6">
                  <c:v>15378.230618910864</c:v>
                </c:pt>
                <c:pt idx="7">
                  <c:v>15989.797690836713</c:v>
                </c:pt>
                <c:pt idx="8">
                  <c:v>16621.287275690585</c:v>
                </c:pt>
                <c:pt idx="9">
                  <c:v>17252.306906303391</c:v>
                </c:pt>
                <c:pt idx="10">
                  <c:v>17821.85676677525</c:v>
                </c:pt>
                <c:pt idx="11">
                  <c:v>18451.983898097649</c:v>
                </c:pt>
                <c:pt idx="12">
                  <c:v>19061.338809626177</c:v>
                </c:pt>
                <c:pt idx="13">
                  <c:v>19690.545838052407</c:v>
                </c:pt>
                <c:pt idx="14">
                  <c:v>20299.011627137661</c:v>
                </c:pt>
                <c:pt idx="15">
                  <c:v>20927.301235791296</c:v>
                </c:pt>
                <c:pt idx="16">
                  <c:v>21555.125639226288</c:v>
                </c:pt>
                <c:pt idx="17">
                  <c:v>22162.255353620276</c:v>
                </c:pt>
                <c:pt idx="18">
                  <c:v>22789.16636181809</c:v>
                </c:pt>
                <c:pt idx="19">
                  <c:v>23395.413430875167</c:v>
                </c:pt>
                <c:pt idx="20">
                  <c:v>24021.413697699085</c:v>
                </c:pt>
                <c:pt idx="21">
                  <c:v>24646.952142076567</c:v>
                </c:pt>
                <c:pt idx="22">
                  <c:v>25211.558228125796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78-44AE-9234-A3D61140F166}"/>
            </c:ext>
          </c:extLst>
        </c:ser>
        <c:ser>
          <c:idx val="3"/>
          <c:order val="3"/>
          <c:tx>
            <c:strRef>
              <c:f>'Chart Comparison'!$R$1</c:f>
              <c:strCache>
                <c:ptCount val="1"/>
                <c:pt idx="0">
                  <c:v>Power Trend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'Chart Comparison'!$N$2:$N$24</c:f>
              <c:numCache>
                <c:formatCode>dd/mm/yyyy</c:formatCode>
                <c:ptCount val="23"/>
                <c:pt idx="0">
                  <c:v>41395</c:v>
                </c:pt>
                <c:pt idx="1">
                  <c:v>41426</c:v>
                </c:pt>
                <c:pt idx="2">
                  <c:v>41456</c:v>
                </c:pt>
                <c:pt idx="3">
                  <c:v>41487</c:v>
                </c:pt>
                <c:pt idx="4">
                  <c:v>41518</c:v>
                </c:pt>
                <c:pt idx="5">
                  <c:v>41548</c:v>
                </c:pt>
                <c:pt idx="6">
                  <c:v>41579</c:v>
                </c:pt>
                <c:pt idx="7">
                  <c:v>41609</c:v>
                </c:pt>
                <c:pt idx="8">
                  <c:v>41640</c:v>
                </c:pt>
                <c:pt idx="9">
                  <c:v>41671</c:v>
                </c:pt>
                <c:pt idx="10">
                  <c:v>41699</c:v>
                </c:pt>
                <c:pt idx="11">
                  <c:v>41730</c:v>
                </c:pt>
                <c:pt idx="12">
                  <c:v>41760</c:v>
                </c:pt>
                <c:pt idx="13">
                  <c:v>41791</c:v>
                </c:pt>
                <c:pt idx="14">
                  <c:v>41821</c:v>
                </c:pt>
                <c:pt idx="15">
                  <c:v>41852</c:v>
                </c:pt>
                <c:pt idx="16">
                  <c:v>41883</c:v>
                </c:pt>
                <c:pt idx="17">
                  <c:v>41913</c:v>
                </c:pt>
                <c:pt idx="18">
                  <c:v>41944</c:v>
                </c:pt>
                <c:pt idx="19">
                  <c:v>41974</c:v>
                </c:pt>
                <c:pt idx="20">
                  <c:v>42005</c:v>
                </c:pt>
                <c:pt idx="21">
                  <c:v>42036</c:v>
                </c:pt>
                <c:pt idx="22">
                  <c:v>42064</c:v>
                </c:pt>
              </c:numCache>
            </c:numRef>
          </c:cat>
          <c:val>
            <c:numRef>
              <c:f>'Chart Comparison'!$R$2:$R$24</c:f>
              <c:numCache>
                <c:formatCode>0.00</c:formatCode>
                <c:ptCount val="23"/>
                <c:pt idx="0">
                  <c:v>10152.125882212409</c:v>
                </c:pt>
                <c:pt idx="1">
                  <c:v>10594.775037805695</c:v>
                </c:pt>
                <c:pt idx="2">
                  <c:v>11041.177423661347</c:v>
                </c:pt>
                <c:pt idx="3">
                  <c:v>11521.867367731735</c:v>
                </c:pt>
                <c:pt idx="4">
                  <c:v>12023.101969695022</c:v>
                </c:pt>
                <c:pt idx="5">
                  <c:v>12528.540370685756</c:v>
                </c:pt>
                <c:pt idx="6">
                  <c:v>13072.751136118135</c:v>
                </c:pt>
                <c:pt idx="7">
                  <c:v>13621.493018272162</c:v>
                </c:pt>
                <c:pt idx="8">
                  <c:v>14212.293470303852</c:v>
                </c:pt>
                <c:pt idx="9">
                  <c:v>14828.249968878388</c:v>
                </c:pt>
                <c:pt idx="10">
                  <c:v>15407.093467470098</c:v>
                </c:pt>
                <c:pt idx="11">
                  <c:v>16073.867655032816</c:v>
                </c:pt>
                <c:pt idx="12">
                  <c:v>16746.093501454325</c:v>
                </c:pt>
                <c:pt idx="13">
                  <c:v>17469.734944394102</c:v>
                </c:pt>
                <c:pt idx="14">
                  <c:v>18199.249419451891</c:v>
                </c:pt>
                <c:pt idx="15">
                  <c:v>18984.514380258675</c:v>
                </c:pt>
                <c:pt idx="16">
                  <c:v>19803.042701481612</c:v>
                </c:pt>
                <c:pt idx="17">
                  <c:v>20628.140077497108</c:v>
                </c:pt>
                <c:pt idx="18">
                  <c:v>21516.212868023569</c:v>
                </c:pt>
                <c:pt idx="19">
                  <c:v>22411.359750044667</c:v>
                </c:pt>
                <c:pt idx="20">
                  <c:v>23374.771483845208</c:v>
                </c:pt>
                <c:pt idx="21">
                  <c:v>24378.841032055388</c:v>
                </c:pt>
                <c:pt idx="22">
                  <c:v>25322.088144688587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578-44AE-9234-A3D61140F166}"/>
            </c:ext>
          </c:extLst>
        </c:ser>
        <c:ser>
          <c:idx val="4"/>
          <c:order val="4"/>
          <c:tx>
            <c:strRef>
              <c:f>'Chart Comparison'!$S$1</c:f>
              <c:strCache>
                <c:ptCount val="1"/>
                <c:pt idx="0">
                  <c:v>Exponential Trendline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'Chart Comparison'!$N$2:$N$24</c:f>
              <c:numCache>
                <c:formatCode>dd/mm/yyyy</c:formatCode>
                <c:ptCount val="23"/>
                <c:pt idx="0">
                  <c:v>41395</c:v>
                </c:pt>
                <c:pt idx="1">
                  <c:v>41426</c:v>
                </c:pt>
                <c:pt idx="2">
                  <c:v>41456</c:v>
                </c:pt>
                <c:pt idx="3">
                  <c:v>41487</c:v>
                </c:pt>
                <c:pt idx="4">
                  <c:v>41518</c:v>
                </c:pt>
                <c:pt idx="5">
                  <c:v>41548</c:v>
                </c:pt>
                <c:pt idx="6">
                  <c:v>41579</c:v>
                </c:pt>
                <c:pt idx="7">
                  <c:v>41609</c:v>
                </c:pt>
                <c:pt idx="8">
                  <c:v>41640</c:v>
                </c:pt>
                <c:pt idx="9">
                  <c:v>41671</c:v>
                </c:pt>
                <c:pt idx="10">
                  <c:v>41699</c:v>
                </c:pt>
                <c:pt idx="11">
                  <c:v>41730</c:v>
                </c:pt>
                <c:pt idx="12">
                  <c:v>41760</c:v>
                </c:pt>
                <c:pt idx="13">
                  <c:v>41791</c:v>
                </c:pt>
                <c:pt idx="14">
                  <c:v>41821</c:v>
                </c:pt>
                <c:pt idx="15">
                  <c:v>41852</c:v>
                </c:pt>
                <c:pt idx="16">
                  <c:v>41883</c:v>
                </c:pt>
                <c:pt idx="17">
                  <c:v>41913</c:v>
                </c:pt>
                <c:pt idx="18">
                  <c:v>41944</c:v>
                </c:pt>
                <c:pt idx="19">
                  <c:v>41974</c:v>
                </c:pt>
                <c:pt idx="20">
                  <c:v>42005</c:v>
                </c:pt>
                <c:pt idx="21">
                  <c:v>42036</c:v>
                </c:pt>
                <c:pt idx="22">
                  <c:v>42064</c:v>
                </c:pt>
              </c:numCache>
            </c:numRef>
          </c:cat>
          <c:val>
            <c:numRef>
              <c:f>'Chart Comparison'!$S$2:$S$24</c:f>
              <c:numCache>
                <c:formatCode>0.00</c:formatCode>
                <c:ptCount val="23"/>
                <c:pt idx="0">
                  <c:v>10180.148218159708</c:v>
                </c:pt>
                <c:pt idx="1">
                  <c:v>10619.000861019793</c:v>
                </c:pt>
                <c:pt idx="2">
                  <c:v>11061.701501069427</c:v>
                </c:pt>
                <c:pt idx="3">
                  <c:v>11538.556732863923</c:v>
                </c:pt>
                <c:pt idx="4">
                  <c:v>12035.968559145147</c:v>
                </c:pt>
                <c:pt idx="5">
                  <c:v>12537.741847845971</c:v>
                </c:pt>
                <c:pt idx="6">
                  <c:v>13078.227214808381</c:v>
                </c:pt>
                <c:pt idx="7">
                  <c:v>13623.451726463065</c:v>
                </c:pt>
                <c:pt idx="8">
                  <c:v>14210.740601527785</c:v>
                </c:pt>
                <c:pt idx="9">
                  <c:v>14823.346718485274</c:v>
                </c:pt>
                <c:pt idx="10">
                  <c:v>15399.335958735253</c:v>
                </c:pt>
                <c:pt idx="11">
                  <c:v>16063.180839866252</c:v>
                </c:pt>
                <c:pt idx="12">
                  <c:v>16732.846520480842</c:v>
                </c:pt>
                <c:pt idx="13">
                  <c:v>17454.177267413004</c:v>
                </c:pt>
                <c:pt idx="14">
                  <c:v>18181.832867874215</c:v>
                </c:pt>
                <c:pt idx="15">
                  <c:v>18965.627488061778</c:v>
                </c:pt>
                <c:pt idx="16">
                  <c:v>19783.210451322306</c:v>
                </c:pt>
                <c:pt idx="17">
                  <c:v>20607.962237640309</c:v>
                </c:pt>
                <c:pt idx="18">
                  <c:v>21496.344066483922</c:v>
                </c:pt>
                <c:pt idx="19">
                  <c:v>22392.515504975134</c:v>
                </c:pt>
                <c:pt idx="20">
                  <c:v>23357.827050450869</c:v>
                </c:pt>
                <c:pt idx="21">
                  <c:v>24364.751892102191</c:v>
                </c:pt>
                <c:pt idx="22">
                  <c:v>25311.490519871571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578-44AE-9234-A3D61140F166}"/>
            </c:ext>
          </c:extLst>
        </c:ser>
        <c:ser>
          <c:idx val="5"/>
          <c:order val="5"/>
          <c:tx>
            <c:strRef>
              <c:f>'Chart Comparison'!$T$1</c:f>
              <c:strCache>
                <c:ptCount val="1"/>
                <c:pt idx="0">
                  <c:v>2nd Order Polynomial Trendline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'Chart Comparison'!$N$2:$N$24</c:f>
              <c:numCache>
                <c:formatCode>dd/mm/yyyy</c:formatCode>
                <c:ptCount val="23"/>
                <c:pt idx="0">
                  <c:v>41395</c:v>
                </c:pt>
                <c:pt idx="1">
                  <c:v>41426</c:v>
                </c:pt>
                <c:pt idx="2">
                  <c:v>41456</c:v>
                </c:pt>
                <c:pt idx="3">
                  <c:v>41487</c:v>
                </c:pt>
                <c:pt idx="4">
                  <c:v>41518</c:v>
                </c:pt>
                <c:pt idx="5">
                  <c:v>41548</c:v>
                </c:pt>
                <c:pt idx="6">
                  <c:v>41579</c:v>
                </c:pt>
                <c:pt idx="7">
                  <c:v>41609</c:v>
                </c:pt>
                <c:pt idx="8">
                  <c:v>41640</c:v>
                </c:pt>
                <c:pt idx="9">
                  <c:v>41671</c:v>
                </c:pt>
                <c:pt idx="10">
                  <c:v>41699</c:v>
                </c:pt>
                <c:pt idx="11">
                  <c:v>41730</c:v>
                </c:pt>
                <c:pt idx="12">
                  <c:v>41760</c:v>
                </c:pt>
                <c:pt idx="13">
                  <c:v>41791</c:v>
                </c:pt>
                <c:pt idx="14">
                  <c:v>41821</c:v>
                </c:pt>
                <c:pt idx="15">
                  <c:v>41852</c:v>
                </c:pt>
                <c:pt idx="16">
                  <c:v>41883</c:v>
                </c:pt>
                <c:pt idx="17">
                  <c:v>41913</c:v>
                </c:pt>
                <c:pt idx="18">
                  <c:v>41944</c:v>
                </c:pt>
                <c:pt idx="19">
                  <c:v>41974</c:v>
                </c:pt>
                <c:pt idx="20">
                  <c:v>42005</c:v>
                </c:pt>
                <c:pt idx="21">
                  <c:v>42036</c:v>
                </c:pt>
                <c:pt idx="22">
                  <c:v>42064</c:v>
                </c:pt>
              </c:numCache>
            </c:numRef>
          </c:cat>
          <c:val>
            <c:numRef>
              <c:f>'Chart Comparison'!$T$2:$T$24</c:f>
              <c:numCache>
                <c:formatCode>General</c:formatCode>
                <c:ptCount val="23"/>
                <c:pt idx="0">
                  <c:v>0</c:v>
                </c:pt>
                <c:pt idx="1">
                  <c:v>5114.6180354356766</c:v>
                </c:pt>
                <c:pt idx="2">
                  <c:v>8120.4212258756161</c:v>
                </c:pt>
                <c:pt idx="3">
                  <c:v>10965.297677874565</c:v>
                </c:pt>
                <c:pt idx="4">
                  <c:v>13544.77329313755</c:v>
                </c:pt>
                <c:pt idx="5">
                  <c:v>15788.343070983887</c:v>
                </c:pt>
                <c:pt idx="6">
                  <c:v>17845.578330010176</c:v>
                </c:pt>
                <c:pt idx="7">
                  <c:v>19583.754214733839</c:v>
                </c:pt>
                <c:pt idx="8">
                  <c:v>21118.749117553234</c:v>
                </c:pt>
                <c:pt idx="9">
                  <c:v>22388.343183577061</c:v>
                </c:pt>
                <c:pt idx="10">
                  <c:v>23306.955627053976</c:v>
                </c:pt>
                <c:pt idx="11">
                  <c:v>24071.431971490383</c:v>
                </c:pt>
                <c:pt idx="12">
                  <c:v>24558.550842136145</c:v>
                </c:pt>
                <c:pt idx="13">
                  <c:v>24800.786830365658</c:v>
                </c:pt>
                <c:pt idx="14">
                  <c:v>24782.511807858944</c:v>
                </c:pt>
                <c:pt idx="15">
                  <c:v>24502.507439881563</c:v>
                </c:pt>
                <c:pt idx="16">
                  <c:v>23957.102235108614</c:v>
                </c:pt>
                <c:pt idx="17">
                  <c:v>23176.593800127506</c:v>
                </c:pt>
                <c:pt idx="18">
                  <c:v>22108.948239147663</c:v>
                </c:pt>
                <c:pt idx="19">
                  <c:v>20823.045910984278</c:v>
                </c:pt>
                <c:pt idx="20">
                  <c:v>19233.159993767738</c:v>
                </c:pt>
                <c:pt idx="21">
                  <c:v>17377.873239815235</c:v>
                </c:pt>
                <c:pt idx="22">
                  <c:v>15474.012684494257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578-44AE-9234-A3D61140F166}"/>
            </c:ext>
          </c:extLst>
        </c:ser>
        <c:ser>
          <c:idx val="6"/>
          <c:order val="6"/>
          <c:tx>
            <c:strRef>
              <c:f>'Chart Comparison'!$U$1</c:f>
              <c:strCache>
                <c:ptCount val="1"/>
                <c:pt idx="0">
                  <c:v>3rd Order Polynomial Trendline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'Chart Comparison'!$N$2:$N$24</c:f>
              <c:numCache>
                <c:formatCode>dd/mm/yyyy</c:formatCode>
                <c:ptCount val="23"/>
                <c:pt idx="0">
                  <c:v>41395</c:v>
                </c:pt>
                <c:pt idx="1">
                  <c:v>41426</c:v>
                </c:pt>
                <c:pt idx="2">
                  <c:v>41456</c:v>
                </c:pt>
                <c:pt idx="3">
                  <c:v>41487</c:v>
                </c:pt>
                <c:pt idx="4">
                  <c:v>41518</c:v>
                </c:pt>
                <c:pt idx="5">
                  <c:v>41548</c:v>
                </c:pt>
                <c:pt idx="6">
                  <c:v>41579</c:v>
                </c:pt>
                <c:pt idx="7">
                  <c:v>41609</c:v>
                </c:pt>
                <c:pt idx="8">
                  <c:v>41640</c:v>
                </c:pt>
                <c:pt idx="9">
                  <c:v>41671</c:v>
                </c:pt>
                <c:pt idx="10">
                  <c:v>41699</c:v>
                </c:pt>
                <c:pt idx="11">
                  <c:v>41730</c:v>
                </c:pt>
                <c:pt idx="12">
                  <c:v>41760</c:v>
                </c:pt>
                <c:pt idx="13">
                  <c:v>41791</c:v>
                </c:pt>
                <c:pt idx="14">
                  <c:v>41821</c:v>
                </c:pt>
                <c:pt idx="15">
                  <c:v>41852</c:v>
                </c:pt>
                <c:pt idx="16">
                  <c:v>41883</c:v>
                </c:pt>
                <c:pt idx="17">
                  <c:v>41913</c:v>
                </c:pt>
                <c:pt idx="18">
                  <c:v>41944</c:v>
                </c:pt>
                <c:pt idx="19">
                  <c:v>41974</c:v>
                </c:pt>
                <c:pt idx="20">
                  <c:v>42005</c:v>
                </c:pt>
                <c:pt idx="21">
                  <c:v>42036</c:v>
                </c:pt>
                <c:pt idx="22">
                  <c:v>42064</c:v>
                </c:pt>
              </c:numCache>
            </c:numRef>
          </c:cat>
          <c:val>
            <c:numRef>
              <c:f>'Chart Comparison'!$U$2:$U$24</c:f>
              <c:numCache>
                <c:formatCode>General</c:formatCode>
                <c:ptCount val="23"/>
                <c:pt idx="0">
                  <c:v>5799.7854156494141</c:v>
                </c:pt>
                <c:pt idx="1">
                  <c:v>6908.4434814453125</c:v>
                </c:pt>
                <c:pt idx="2">
                  <c:v>8252.5433731079102</c:v>
                </c:pt>
                <c:pt idx="3">
                  <c:v>9866.86865234375</c:v>
                </c:pt>
                <c:pt idx="4">
                  <c:v>11654.589645385742</c:v>
                </c:pt>
                <c:pt idx="5">
                  <c:v>13496.68342590332</c:v>
                </c:pt>
                <c:pt idx="6">
                  <c:v>15461.133178710938</c:v>
                </c:pt>
                <c:pt idx="7">
                  <c:v>17368.722297668457</c:v>
                </c:pt>
                <c:pt idx="8">
                  <c:v>19291.800331115723</c:v>
                </c:pt>
                <c:pt idx="9">
                  <c:v>21110.270668029785</c:v>
                </c:pt>
                <c:pt idx="10">
                  <c:v>22615.994529724121</c:v>
                </c:pt>
                <c:pt idx="11">
                  <c:v>24079.754196166992</c:v>
                </c:pt>
                <c:pt idx="12">
                  <c:v>25241.568336486816</c:v>
                </c:pt>
                <c:pt idx="13">
                  <c:v>26124.068161010742</c:v>
                </c:pt>
                <c:pt idx="14">
                  <c:v>26617.840278625488</c:v>
                </c:pt>
                <c:pt idx="15">
                  <c:v>26700.979766845703</c:v>
                </c:pt>
                <c:pt idx="16">
                  <c:v>26294.304229736328</c:v>
                </c:pt>
                <c:pt idx="17">
                  <c:v>25381.323532104492</c:v>
                </c:pt>
                <c:pt idx="18">
                  <c:v>23846.349197387695</c:v>
                </c:pt>
                <c:pt idx="19">
                  <c:v>21735.933952331543</c:v>
                </c:pt>
                <c:pt idx="20">
                  <c:v>18854.560340881348</c:v>
                </c:pt>
                <c:pt idx="21">
                  <c:v>15205.368301391602</c:v>
                </c:pt>
                <c:pt idx="22">
                  <c:v>11202.514656066895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578-44AE-9234-A3D61140F1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0536816"/>
        <c:axId val="545100800"/>
      </c:lineChart>
      <c:dateAx>
        <c:axId val="620536816"/>
        <c:scaling>
          <c:orientation val="minMax"/>
        </c:scaling>
        <c:delete val="0"/>
        <c:axPos val="b"/>
        <c:numFmt formatCode="dd/mm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100800"/>
        <c:crosses val="autoZero"/>
        <c:auto val="1"/>
        <c:lblOffset val="100"/>
        <c:baseTimeUnit val="months"/>
      </c:dateAx>
      <c:valAx>
        <c:axId val="54510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536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Linear Trend</a:t>
            </a:r>
          </a:p>
        </c:rich>
      </c:tx>
      <c:layout>
        <c:manualLayout>
          <c:xMode val="edge"/>
          <c:yMode val="edge"/>
          <c:x val="0.41731013353060598"/>
          <c:y val="2.70270270270270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9025371828521433E-2"/>
          <c:y val="0.17171296296296298"/>
          <c:w val="0.86486351706036746"/>
          <c:h val="0.50755395158938466"/>
        </c:manualLayout>
      </c:layout>
      <c:lineChart>
        <c:grouping val="standard"/>
        <c:varyColors val="0"/>
        <c:ser>
          <c:idx val="0"/>
          <c:order val="0"/>
          <c:tx>
            <c:strRef>
              <c:f>'Linear Trendline'!$B$4</c:f>
              <c:strCache>
                <c:ptCount val="1"/>
                <c:pt idx="0">
                  <c:v>Actuals (y)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'Linear Trendline'!$A$5:$A$27</c:f>
              <c:numCache>
                <c:formatCode>0.00</c:formatCode>
                <c:ptCount val="23"/>
                <c:pt idx="0">
                  <c:v>41395</c:v>
                </c:pt>
                <c:pt idx="1">
                  <c:v>41426</c:v>
                </c:pt>
                <c:pt idx="2">
                  <c:v>41456</c:v>
                </c:pt>
                <c:pt idx="3">
                  <c:v>41487</c:v>
                </c:pt>
                <c:pt idx="4">
                  <c:v>41518</c:v>
                </c:pt>
                <c:pt idx="5">
                  <c:v>41548</c:v>
                </c:pt>
                <c:pt idx="6">
                  <c:v>41579</c:v>
                </c:pt>
                <c:pt idx="7">
                  <c:v>41609</c:v>
                </c:pt>
                <c:pt idx="8">
                  <c:v>41640</c:v>
                </c:pt>
                <c:pt idx="9">
                  <c:v>41671</c:v>
                </c:pt>
                <c:pt idx="10">
                  <c:v>41699</c:v>
                </c:pt>
                <c:pt idx="11">
                  <c:v>41730</c:v>
                </c:pt>
                <c:pt idx="12">
                  <c:v>41760</c:v>
                </c:pt>
                <c:pt idx="13">
                  <c:v>41791</c:v>
                </c:pt>
                <c:pt idx="14">
                  <c:v>41821</c:v>
                </c:pt>
                <c:pt idx="15">
                  <c:v>41852</c:v>
                </c:pt>
                <c:pt idx="16">
                  <c:v>41883</c:v>
                </c:pt>
                <c:pt idx="17">
                  <c:v>41913</c:v>
                </c:pt>
                <c:pt idx="18">
                  <c:v>41944</c:v>
                </c:pt>
                <c:pt idx="19">
                  <c:v>41974</c:v>
                </c:pt>
                <c:pt idx="20">
                  <c:v>42005</c:v>
                </c:pt>
                <c:pt idx="21">
                  <c:v>42036</c:v>
                </c:pt>
                <c:pt idx="22">
                  <c:v>42064</c:v>
                </c:pt>
              </c:numCache>
            </c:numRef>
          </c:cat>
          <c:val>
            <c:numRef>
              <c:f>'Linear Trendline'!$B$5:$B$27</c:f>
              <c:numCache>
                <c:formatCode>0</c:formatCode>
                <c:ptCount val="23"/>
                <c:pt idx="0">
                  <c:v>3411.58</c:v>
                </c:pt>
                <c:pt idx="1">
                  <c:v>7401.1399999999994</c:v>
                </c:pt>
                <c:pt idx="2">
                  <c:v>5770.2100000000019</c:v>
                </c:pt>
                <c:pt idx="3">
                  <c:v>9407.7100000000009</c:v>
                </c:pt>
                <c:pt idx="4">
                  <c:v>18151.690000000002</c:v>
                </c:pt>
                <c:pt idx="5">
                  <c:v>15915.650000000001</c:v>
                </c:pt>
                <c:pt idx="6">
                  <c:v>19427.440000000002</c:v>
                </c:pt>
                <c:pt idx="7">
                  <c:v>18272.479999999992</c:v>
                </c:pt>
                <c:pt idx="8">
                  <c:v>15391.42</c:v>
                </c:pt>
                <c:pt idx="9">
                  <c:v>17521.940000000002</c:v>
                </c:pt>
                <c:pt idx="10">
                  <c:v>21798.85</c:v>
                </c:pt>
                <c:pt idx="11">
                  <c:v>20310.409999999993</c:v>
                </c:pt>
                <c:pt idx="12">
                  <c:v>24829.47</c:v>
                </c:pt>
                <c:pt idx="13">
                  <c:v>28204.03</c:v>
                </c:pt>
                <c:pt idx="14">
                  <c:v>25760.629999999997</c:v>
                </c:pt>
                <c:pt idx="15">
                  <c:v>24127.400000000005</c:v>
                </c:pt>
                <c:pt idx="16">
                  <c:v>26603.609999999993</c:v>
                </c:pt>
                <c:pt idx="17">
                  <c:v>25815.109999999993</c:v>
                </c:pt>
                <c:pt idx="18">
                  <c:v>22678.340000000004</c:v>
                </c:pt>
                <c:pt idx="19">
                  <c:v>29134.39</c:v>
                </c:pt>
                <c:pt idx="20">
                  <c:v>20397.880000000005</c:v>
                </c:pt>
                <c:pt idx="21">
                  <c:v>19540.779999999995</c:v>
                </c:pt>
                <c:pt idx="22">
                  <c:v>3239.2400000000007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69-4036-AF35-5A3895608754}"/>
            </c:ext>
          </c:extLst>
        </c:ser>
        <c:ser>
          <c:idx val="1"/>
          <c:order val="1"/>
          <c:tx>
            <c:strRef>
              <c:f>'Linear Trendline'!$C$4</c:f>
              <c:strCache>
                <c:ptCount val="1"/>
                <c:pt idx="0">
                  <c:v>Trend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'Linear Trendline'!$A$5:$A$27</c:f>
              <c:numCache>
                <c:formatCode>0.00</c:formatCode>
                <c:ptCount val="23"/>
                <c:pt idx="0">
                  <c:v>41395</c:v>
                </c:pt>
                <c:pt idx="1">
                  <c:v>41426</c:v>
                </c:pt>
                <c:pt idx="2">
                  <c:v>41456</c:v>
                </c:pt>
                <c:pt idx="3">
                  <c:v>41487</c:v>
                </c:pt>
                <c:pt idx="4">
                  <c:v>41518</c:v>
                </c:pt>
                <c:pt idx="5">
                  <c:v>41548</c:v>
                </c:pt>
                <c:pt idx="6">
                  <c:v>41579</c:v>
                </c:pt>
                <c:pt idx="7">
                  <c:v>41609</c:v>
                </c:pt>
                <c:pt idx="8">
                  <c:v>41640</c:v>
                </c:pt>
                <c:pt idx="9">
                  <c:v>41671</c:v>
                </c:pt>
                <c:pt idx="10">
                  <c:v>41699</c:v>
                </c:pt>
                <c:pt idx="11">
                  <c:v>41730</c:v>
                </c:pt>
                <c:pt idx="12">
                  <c:v>41760</c:v>
                </c:pt>
                <c:pt idx="13">
                  <c:v>41791</c:v>
                </c:pt>
                <c:pt idx="14">
                  <c:v>41821</c:v>
                </c:pt>
                <c:pt idx="15">
                  <c:v>41852</c:v>
                </c:pt>
                <c:pt idx="16">
                  <c:v>41883</c:v>
                </c:pt>
                <c:pt idx="17">
                  <c:v>41913</c:v>
                </c:pt>
                <c:pt idx="18">
                  <c:v>41944</c:v>
                </c:pt>
                <c:pt idx="19">
                  <c:v>41974</c:v>
                </c:pt>
                <c:pt idx="20">
                  <c:v>42005</c:v>
                </c:pt>
                <c:pt idx="21">
                  <c:v>42036</c:v>
                </c:pt>
                <c:pt idx="22">
                  <c:v>42064</c:v>
                </c:pt>
              </c:numCache>
            </c:numRef>
          </c:cat>
          <c:val>
            <c:numRef>
              <c:f>'Linear Trendline'!$C$5:$C$27</c:f>
              <c:numCache>
                <c:formatCode>General</c:formatCode>
                <c:ptCount val="23"/>
                <c:pt idx="0">
                  <c:v>11693.362963641062</c:v>
                </c:pt>
                <c:pt idx="1">
                  <c:v>12312.736422288581</c:v>
                </c:pt>
                <c:pt idx="2">
                  <c:v>12912.130091947503</c:v>
                </c:pt>
                <c:pt idx="3">
                  <c:v>13531.503550594905</c:v>
                </c:pt>
                <c:pt idx="4">
                  <c:v>14150.877009242424</c:v>
                </c:pt>
                <c:pt idx="5">
                  <c:v>14750.270678901346</c:v>
                </c:pt>
                <c:pt idx="6">
                  <c:v>15369.644137548748</c:v>
                </c:pt>
                <c:pt idx="7">
                  <c:v>15969.037807207671</c:v>
                </c:pt>
                <c:pt idx="8">
                  <c:v>16588.411265855189</c:v>
                </c:pt>
                <c:pt idx="9">
                  <c:v>17207.784724502708</c:v>
                </c:pt>
                <c:pt idx="10">
                  <c:v>17767.218816184322</c:v>
                </c:pt>
                <c:pt idx="11">
                  <c:v>18386.592274831724</c:v>
                </c:pt>
                <c:pt idx="12">
                  <c:v>18985.985944490647</c:v>
                </c:pt>
                <c:pt idx="13">
                  <c:v>19605.359403138165</c:v>
                </c:pt>
                <c:pt idx="14">
                  <c:v>20204.753072796972</c:v>
                </c:pt>
                <c:pt idx="15">
                  <c:v>20824.12653144449</c:v>
                </c:pt>
                <c:pt idx="16">
                  <c:v>21443.499990092008</c:v>
                </c:pt>
                <c:pt idx="17">
                  <c:v>22042.893659750815</c:v>
                </c:pt>
                <c:pt idx="18">
                  <c:v>22662.267118398333</c:v>
                </c:pt>
                <c:pt idx="19">
                  <c:v>23261.660788057256</c:v>
                </c:pt>
                <c:pt idx="20">
                  <c:v>23881.034246704658</c:v>
                </c:pt>
                <c:pt idx="21">
                  <c:v>24500.407705352176</c:v>
                </c:pt>
                <c:pt idx="22">
                  <c:v>25059.84179703379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69-4036-AF35-5A38956087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7436640"/>
        <c:axId val="615203328"/>
      </c:lineChart>
      <c:catAx>
        <c:axId val="617436640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203328"/>
        <c:crosses val="autoZero"/>
        <c:auto val="1"/>
        <c:lblAlgn val="ctr"/>
        <c:lblOffset val="100"/>
        <c:noMultiLvlLbl val="0"/>
      </c:catAx>
      <c:valAx>
        <c:axId val="61520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436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Logarithmic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'Logarithmic Trendline'!$B$4</c:f>
              <c:strCache>
                <c:ptCount val="1"/>
                <c:pt idx="0">
                  <c:v>Actuals (y)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'Logarithmic Trendline'!$A$5:$A$26</c:f>
              <c:numCache>
                <c:formatCode>dd/mm/yyyy</c:formatCode>
                <c:ptCount val="22"/>
                <c:pt idx="0">
                  <c:v>41395</c:v>
                </c:pt>
                <c:pt idx="1">
                  <c:v>41426</c:v>
                </c:pt>
                <c:pt idx="2">
                  <c:v>41456</c:v>
                </c:pt>
                <c:pt idx="3">
                  <c:v>41487</c:v>
                </c:pt>
                <c:pt idx="4">
                  <c:v>41518</c:v>
                </c:pt>
                <c:pt idx="5">
                  <c:v>41548</c:v>
                </c:pt>
                <c:pt idx="6">
                  <c:v>41579</c:v>
                </c:pt>
                <c:pt idx="7">
                  <c:v>41609</c:v>
                </c:pt>
                <c:pt idx="8">
                  <c:v>41640</c:v>
                </c:pt>
                <c:pt idx="9">
                  <c:v>41671</c:v>
                </c:pt>
                <c:pt idx="10">
                  <c:v>41699</c:v>
                </c:pt>
                <c:pt idx="11">
                  <c:v>41730</c:v>
                </c:pt>
                <c:pt idx="12">
                  <c:v>41760</c:v>
                </c:pt>
                <c:pt idx="13">
                  <c:v>41791</c:v>
                </c:pt>
                <c:pt idx="14">
                  <c:v>41821</c:v>
                </c:pt>
                <c:pt idx="15">
                  <c:v>41852</c:v>
                </c:pt>
                <c:pt idx="16">
                  <c:v>41883</c:v>
                </c:pt>
                <c:pt idx="17">
                  <c:v>41913</c:v>
                </c:pt>
                <c:pt idx="18">
                  <c:v>41944</c:v>
                </c:pt>
                <c:pt idx="19">
                  <c:v>41974</c:v>
                </c:pt>
                <c:pt idx="20">
                  <c:v>42005</c:v>
                </c:pt>
                <c:pt idx="21">
                  <c:v>42036</c:v>
                </c:pt>
              </c:numCache>
            </c:numRef>
          </c:cat>
          <c:val>
            <c:numRef>
              <c:f>'Logarithmic Trendline'!$B$5:$B$26</c:f>
              <c:numCache>
                <c:formatCode>0</c:formatCode>
                <c:ptCount val="22"/>
                <c:pt idx="0">
                  <c:v>3411.58</c:v>
                </c:pt>
                <c:pt idx="1">
                  <c:v>7401.1399999999994</c:v>
                </c:pt>
                <c:pt idx="2">
                  <c:v>5770.2100000000019</c:v>
                </c:pt>
                <c:pt idx="3">
                  <c:v>9407.7100000000009</c:v>
                </c:pt>
                <c:pt idx="4">
                  <c:v>18151.690000000002</c:v>
                </c:pt>
                <c:pt idx="5">
                  <c:v>15915.650000000003</c:v>
                </c:pt>
                <c:pt idx="6">
                  <c:v>19427.440000000002</c:v>
                </c:pt>
                <c:pt idx="7">
                  <c:v>18272.479999999992</c:v>
                </c:pt>
                <c:pt idx="8">
                  <c:v>15391.42</c:v>
                </c:pt>
                <c:pt idx="9">
                  <c:v>17521.940000000002</c:v>
                </c:pt>
                <c:pt idx="10">
                  <c:v>22233.93</c:v>
                </c:pt>
                <c:pt idx="11">
                  <c:v>20310.409999999996</c:v>
                </c:pt>
                <c:pt idx="12">
                  <c:v>24829.470000000005</c:v>
                </c:pt>
                <c:pt idx="13">
                  <c:v>28204.03</c:v>
                </c:pt>
                <c:pt idx="14">
                  <c:v>25760.629999999997</c:v>
                </c:pt>
                <c:pt idx="15">
                  <c:v>24127.399999999998</c:v>
                </c:pt>
                <c:pt idx="16">
                  <c:v>26603.609999999986</c:v>
                </c:pt>
                <c:pt idx="17">
                  <c:v>25815.109999999993</c:v>
                </c:pt>
                <c:pt idx="18">
                  <c:v>22678.340000000004</c:v>
                </c:pt>
                <c:pt idx="19">
                  <c:v>29134.39</c:v>
                </c:pt>
                <c:pt idx="20">
                  <c:v>20397.880000000005</c:v>
                </c:pt>
                <c:pt idx="21">
                  <c:v>19540.779999999995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C6-487E-A1A3-E2009A4D7709}"/>
            </c:ext>
          </c:extLst>
        </c:ser>
        <c:ser>
          <c:idx val="2"/>
          <c:order val="1"/>
          <c:tx>
            <c:strRef>
              <c:f>'Logarithmic Trendline'!$C$4</c:f>
              <c:strCache>
                <c:ptCount val="1"/>
                <c:pt idx="0">
                  <c:v>Trend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'Logarithmic Trendline'!$A$5:$A$26</c:f>
              <c:numCache>
                <c:formatCode>dd/mm/yyyy</c:formatCode>
                <c:ptCount val="22"/>
                <c:pt idx="0">
                  <c:v>41395</c:v>
                </c:pt>
                <c:pt idx="1">
                  <c:v>41426</c:v>
                </c:pt>
                <c:pt idx="2">
                  <c:v>41456</c:v>
                </c:pt>
                <c:pt idx="3">
                  <c:v>41487</c:v>
                </c:pt>
                <c:pt idx="4">
                  <c:v>41518</c:v>
                </c:pt>
                <c:pt idx="5">
                  <c:v>41548</c:v>
                </c:pt>
                <c:pt idx="6">
                  <c:v>41579</c:v>
                </c:pt>
                <c:pt idx="7">
                  <c:v>41609</c:v>
                </c:pt>
                <c:pt idx="8">
                  <c:v>41640</c:v>
                </c:pt>
                <c:pt idx="9">
                  <c:v>41671</c:v>
                </c:pt>
                <c:pt idx="10">
                  <c:v>41699</c:v>
                </c:pt>
                <c:pt idx="11">
                  <c:v>41730</c:v>
                </c:pt>
                <c:pt idx="12">
                  <c:v>41760</c:v>
                </c:pt>
                <c:pt idx="13">
                  <c:v>41791</c:v>
                </c:pt>
                <c:pt idx="14">
                  <c:v>41821</c:v>
                </c:pt>
                <c:pt idx="15">
                  <c:v>41852</c:v>
                </c:pt>
                <c:pt idx="16">
                  <c:v>41883</c:v>
                </c:pt>
                <c:pt idx="17">
                  <c:v>41913</c:v>
                </c:pt>
                <c:pt idx="18">
                  <c:v>41944</c:v>
                </c:pt>
                <c:pt idx="19">
                  <c:v>41974</c:v>
                </c:pt>
                <c:pt idx="20">
                  <c:v>42005</c:v>
                </c:pt>
                <c:pt idx="21">
                  <c:v>42036</c:v>
                </c:pt>
              </c:numCache>
            </c:numRef>
          </c:cat>
          <c:val>
            <c:numRef>
              <c:f>'Logarithmic Trendline'!$C$5:$C$26</c:f>
              <c:numCache>
                <c:formatCode>General</c:formatCode>
                <c:ptCount val="22"/>
                <c:pt idx="0">
                  <c:v>11617.605768820271</c:v>
                </c:pt>
                <c:pt idx="1">
                  <c:v>12252.358747830614</c:v>
                </c:pt>
                <c:pt idx="2">
                  <c:v>12866.183723045513</c:v>
                </c:pt>
                <c:pt idx="3">
                  <c:v>13500.003050385043</c:v>
                </c:pt>
                <c:pt idx="4">
                  <c:v>14133.348950797692</c:v>
                </c:pt>
                <c:pt idx="5">
                  <c:v>14745.81423847191</c:v>
                </c:pt>
                <c:pt idx="6">
                  <c:v>15378.230618910864</c:v>
                </c:pt>
                <c:pt idx="7">
                  <c:v>15989.797690836713</c:v>
                </c:pt>
                <c:pt idx="8">
                  <c:v>16621.287275690585</c:v>
                </c:pt>
                <c:pt idx="9">
                  <c:v>17252.306906303391</c:v>
                </c:pt>
                <c:pt idx="10">
                  <c:v>17821.85676677525</c:v>
                </c:pt>
                <c:pt idx="11">
                  <c:v>18451.983898097649</c:v>
                </c:pt>
                <c:pt idx="12">
                  <c:v>19061.338809626177</c:v>
                </c:pt>
                <c:pt idx="13">
                  <c:v>19690.545838052407</c:v>
                </c:pt>
                <c:pt idx="14">
                  <c:v>20299.011627137661</c:v>
                </c:pt>
                <c:pt idx="15">
                  <c:v>20927.301235791296</c:v>
                </c:pt>
                <c:pt idx="16">
                  <c:v>21555.125639226288</c:v>
                </c:pt>
                <c:pt idx="17">
                  <c:v>22162.255353620276</c:v>
                </c:pt>
                <c:pt idx="18">
                  <c:v>22789.16636181809</c:v>
                </c:pt>
                <c:pt idx="19">
                  <c:v>23395.413430875167</c:v>
                </c:pt>
                <c:pt idx="20">
                  <c:v>24021.413697699085</c:v>
                </c:pt>
                <c:pt idx="21">
                  <c:v>24646.952142076567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C6-487E-A1A3-E2009A4D77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7979440"/>
        <c:axId val="612918656"/>
      </c:lineChart>
      <c:dateAx>
        <c:axId val="607979440"/>
        <c:scaling>
          <c:orientation val="minMax"/>
        </c:scaling>
        <c:delete val="0"/>
        <c:axPos val="b"/>
        <c:numFmt formatCode="dd/mm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918656"/>
        <c:crosses val="autoZero"/>
        <c:auto val="1"/>
        <c:lblOffset val="100"/>
        <c:baseTimeUnit val="months"/>
      </c:dateAx>
      <c:valAx>
        <c:axId val="61291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97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Power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'Power Trendline'!$B$4</c:f>
              <c:strCache>
                <c:ptCount val="1"/>
                <c:pt idx="0">
                  <c:v>Actuals (y)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'Power Trendline'!$A$5:$A$26</c:f>
              <c:numCache>
                <c:formatCode>dd/mm/yyyy</c:formatCode>
                <c:ptCount val="22"/>
                <c:pt idx="0">
                  <c:v>41395</c:v>
                </c:pt>
                <c:pt idx="1">
                  <c:v>41426</c:v>
                </c:pt>
                <c:pt idx="2">
                  <c:v>41456</c:v>
                </c:pt>
                <c:pt idx="3">
                  <c:v>41487</c:v>
                </c:pt>
                <c:pt idx="4">
                  <c:v>41518</c:v>
                </c:pt>
                <c:pt idx="5">
                  <c:v>41548</c:v>
                </c:pt>
                <c:pt idx="6">
                  <c:v>41579</c:v>
                </c:pt>
                <c:pt idx="7">
                  <c:v>41609</c:v>
                </c:pt>
                <c:pt idx="8">
                  <c:v>41640</c:v>
                </c:pt>
                <c:pt idx="9">
                  <c:v>41671</c:v>
                </c:pt>
                <c:pt idx="10">
                  <c:v>41699</c:v>
                </c:pt>
                <c:pt idx="11">
                  <c:v>41730</c:v>
                </c:pt>
                <c:pt idx="12">
                  <c:v>41760</c:v>
                </c:pt>
                <c:pt idx="13">
                  <c:v>41791</c:v>
                </c:pt>
                <c:pt idx="14">
                  <c:v>41821</c:v>
                </c:pt>
                <c:pt idx="15">
                  <c:v>41852</c:v>
                </c:pt>
                <c:pt idx="16">
                  <c:v>41883</c:v>
                </c:pt>
                <c:pt idx="17">
                  <c:v>41913</c:v>
                </c:pt>
                <c:pt idx="18">
                  <c:v>41944</c:v>
                </c:pt>
                <c:pt idx="19">
                  <c:v>41974</c:v>
                </c:pt>
                <c:pt idx="20">
                  <c:v>42005</c:v>
                </c:pt>
                <c:pt idx="21">
                  <c:v>42036</c:v>
                </c:pt>
              </c:numCache>
            </c:numRef>
          </c:cat>
          <c:val>
            <c:numRef>
              <c:f>'Power Trendline'!$B$5:$B$26</c:f>
              <c:numCache>
                <c:formatCode>General</c:formatCode>
                <c:ptCount val="22"/>
                <c:pt idx="0">
                  <c:v>3411.58</c:v>
                </c:pt>
                <c:pt idx="1">
                  <c:v>7401.1399999999994</c:v>
                </c:pt>
                <c:pt idx="2">
                  <c:v>5770.2100000000019</c:v>
                </c:pt>
                <c:pt idx="3">
                  <c:v>9407.7100000000009</c:v>
                </c:pt>
                <c:pt idx="4">
                  <c:v>18151.690000000002</c:v>
                </c:pt>
                <c:pt idx="5">
                  <c:v>15915.650000000003</c:v>
                </c:pt>
                <c:pt idx="6">
                  <c:v>19427.440000000002</c:v>
                </c:pt>
                <c:pt idx="7">
                  <c:v>18272.479999999992</c:v>
                </c:pt>
                <c:pt idx="8">
                  <c:v>15391.42</c:v>
                </c:pt>
                <c:pt idx="9">
                  <c:v>17521.940000000002</c:v>
                </c:pt>
                <c:pt idx="10">
                  <c:v>22233.93</c:v>
                </c:pt>
                <c:pt idx="11">
                  <c:v>20310.409999999996</c:v>
                </c:pt>
                <c:pt idx="12">
                  <c:v>24829.470000000005</c:v>
                </c:pt>
                <c:pt idx="13">
                  <c:v>28204.03</c:v>
                </c:pt>
                <c:pt idx="14">
                  <c:v>25760.629999999997</c:v>
                </c:pt>
                <c:pt idx="15">
                  <c:v>24127.399999999998</c:v>
                </c:pt>
                <c:pt idx="16">
                  <c:v>26603.609999999986</c:v>
                </c:pt>
                <c:pt idx="17">
                  <c:v>25815.109999999993</c:v>
                </c:pt>
                <c:pt idx="18">
                  <c:v>22678.340000000004</c:v>
                </c:pt>
                <c:pt idx="19">
                  <c:v>29134.39</c:v>
                </c:pt>
                <c:pt idx="20">
                  <c:v>20397.880000000005</c:v>
                </c:pt>
                <c:pt idx="21">
                  <c:v>19540.779999999995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DD-4229-94A6-55BC98BA1CD2}"/>
            </c:ext>
          </c:extLst>
        </c:ser>
        <c:ser>
          <c:idx val="2"/>
          <c:order val="1"/>
          <c:tx>
            <c:strRef>
              <c:f>'Power Trendline'!$C$4</c:f>
              <c:strCache>
                <c:ptCount val="1"/>
                <c:pt idx="0">
                  <c:v>Trend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'Power Trendline'!$A$5:$A$26</c:f>
              <c:numCache>
                <c:formatCode>dd/mm/yyyy</c:formatCode>
                <c:ptCount val="22"/>
                <c:pt idx="0">
                  <c:v>41395</c:v>
                </c:pt>
                <c:pt idx="1">
                  <c:v>41426</c:v>
                </c:pt>
                <c:pt idx="2">
                  <c:v>41456</c:v>
                </c:pt>
                <c:pt idx="3">
                  <c:v>41487</c:v>
                </c:pt>
                <c:pt idx="4">
                  <c:v>41518</c:v>
                </c:pt>
                <c:pt idx="5">
                  <c:v>41548</c:v>
                </c:pt>
                <c:pt idx="6">
                  <c:v>41579</c:v>
                </c:pt>
                <c:pt idx="7">
                  <c:v>41609</c:v>
                </c:pt>
                <c:pt idx="8">
                  <c:v>41640</c:v>
                </c:pt>
                <c:pt idx="9">
                  <c:v>41671</c:v>
                </c:pt>
                <c:pt idx="10">
                  <c:v>41699</c:v>
                </c:pt>
                <c:pt idx="11">
                  <c:v>41730</c:v>
                </c:pt>
                <c:pt idx="12">
                  <c:v>41760</c:v>
                </c:pt>
                <c:pt idx="13">
                  <c:v>41791</c:v>
                </c:pt>
                <c:pt idx="14">
                  <c:v>41821</c:v>
                </c:pt>
                <c:pt idx="15">
                  <c:v>41852</c:v>
                </c:pt>
                <c:pt idx="16">
                  <c:v>41883</c:v>
                </c:pt>
                <c:pt idx="17">
                  <c:v>41913</c:v>
                </c:pt>
                <c:pt idx="18">
                  <c:v>41944</c:v>
                </c:pt>
                <c:pt idx="19">
                  <c:v>41974</c:v>
                </c:pt>
                <c:pt idx="20">
                  <c:v>42005</c:v>
                </c:pt>
                <c:pt idx="21">
                  <c:v>42036</c:v>
                </c:pt>
              </c:numCache>
            </c:numRef>
          </c:cat>
          <c:val>
            <c:numRef>
              <c:f>'Power Trendline'!$C$5:$C$26</c:f>
              <c:numCache>
                <c:formatCode>0.00</c:formatCode>
                <c:ptCount val="22"/>
                <c:pt idx="0">
                  <c:v>10152.125882212409</c:v>
                </c:pt>
                <c:pt idx="1">
                  <c:v>10594.775037805695</c:v>
                </c:pt>
                <c:pt idx="2">
                  <c:v>11041.177423661347</c:v>
                </c:pt>
                <c:pt idx="3">
                  <c:v>11521.867367731735</c:v>
                </c:pt>
                <c:pt idx="4">
                  <c:v>12023.101969695022</c:v>
                </c:pt>
                <c:pt idx="5">
                  <c:v>12528.540370685756</c:v>
                </c:pt>
                <c:pt idx="6">
                  <c:v>13072.751136118135</c:v>
                </c:pt>
                <c:pt idx="7">
                  <c:v>13621.493018272162</c:v>
                </c:pt>
                <c:pt idx="8">
                  <c:v>14212.293470303852</c:v>
                </c:pt>
                <c:pt idx="9">
                  <c:v>14828.249968878388</c:v>
                </c:pt>
                <c:pt idx="10">
                  <c:v>15407.093467470098</c:v>
                </c:pt>
                <c:pt idx="11">
                  <c:v>16073.867655032816</c:v>
                </c:pt>
                <c:pt idx="12">
                  <c:v>16746.093501454325</c:v>
                </c:pt>
                <c:pt idx="13">
                  <c:v>17469.734944394102</c:v>
                </c:pt>
                <c:pt idx="14">
                  <c:v>18199.249419451891</c:v>
                </c:pt>
                <c:pt idx="15">
                  <c:v>18984.514380258675</c:v>
                </c:pt>
                <c:pt idx="16">
                  <c:v>19803.042701481612</c:v>
                </c:pt>
                <c:pt idx="17">
                  <c:v>20628.140077497108</c:v>
                </c:pt>
                <c:pt idx="18">
                  <c:v>21516.212868023569</c:v>
                </c:pt>
                <c:pt idx="19">
                  <c:v>22411.359750044667</c:v>
                </c:pt>
                <c:pt idx="20">
                  <c:v>23374.771483845208</c:v>
                </c:pt>
                <c:pt idx="21">
                  <c:v>24378.841032055388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DD-4229-94A6-55BC98BA1C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7979440"/>
        <c:axId val="612918656"/>
      </c:lineChart>
      <c:dateAx>
        <c:axId val="607979440"/>
        <c:scaling>
          <c:orientation val="minMax"/>
        </c:scaling>
        <c:delete val="0"/>
        <c:axPos val="b"/>
        <c:numFmt formatCode="dd/mm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918656"/>
        <c:crosses val="autoZero"/>
        <c:auto val="1"/>
        <c:lblOffset val="100"/>
        <c:baseTimeUnit val="months"/>
      </c:dateAx>
      <c:valAx>
        <c:axId val="61291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97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Exponential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0799123037123266E-2"/>
          <c:y val="8.1374973302174108E-2"/>
          <c:w val="0.90940572304495326"/>
          <c:h val="0.52876852730691359"/>
        </c:manualLayout>
      </c:layout>
      <c:lineChart>
        <c:grouping val="standard"/>
        <c:varyColors val="0"/>
        <c:ser>
          <c:idx val="1"/>
          <c:order val="0"/>
          <c:tx>
            <c:strRef>
              <c:f>'Exponential Trendline'!$B$4</c:f>
              <c:strCache>
                <c:ptCount val="1"/>
                <c:pt idx="0">
                  <c:v>Actuals (y)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'Exponential Trendline'!$A$5:$A$26</c:f>
              <c:numCache>
                <c:formatCode>dd/mm/yyyy</c:formatCode>
                <c:ptCount val="22"/>
                <c:pt idx="0">
                  <c:v>41395</c:v>
                </c:pt>
                <c:pt idx="1">
                  <c:v>41426</c:v>
                </c:pt>
                <c:pt idx="2">
                  <c:v>41456</c:v>
                </c:pt>
                <c:pt idx="3">
                  <c:v>41487</c:v>
                </c:pt>
                <c:pt idx="4">
                  <c:v>41518</c:v>
                </c:pt>
                <c:pt idx="5">
                  <c:v>41548</c:v>
                </c:pt>
                <c:pt idx="6">
                  <c:v>41579</c:v>
                </c:pt>
                <c:pt idx="7">
                  <c:v>41609</c:v>
                </c:pt>
                <c:pt idx="8">
                  <c:v>41640</c:v>
                </c:pt>
                <c:pt idx="9">
                  <c:v>41671</c:v>
                </c:pt>
                <c:pt idx="10">
                  <c:v>41699</c:v>
                </c:pt>
                <c:pt idx="11">
                  <c:v>41730</c:v>
                </c:pt>
                <c:pt idx="12">
                  <c:v>41760</c:v>
                </c:pt>
                <c:pt idx="13">
                  <c:v>41791</c:v>
                </c:pt>
                <c:pt idx="14">
                  <c:v>41821</c:v>
                </c:pt>
                <c:pt idx="15">
                  <c:v>41852</c:v>
                </c:pt>
                <c:pt idx="16">
                  <c:v>41883</c:v>
                </c:pt>
                <c:pt idx="17">
                  <c:v>41913</c:v>
                </c:pt>
                <c:pt idx="18">
                  <c:v>41944</c:v>
                </c:pt>
                <c:pt idx="19">
                  <c:v>41974</c:v>
                </c:pt>
                <c:pt idx="20">
                  <c:v>42005</c:v>
                </c:pt>
                <c:pt idx="21">
                  <c:v>42036</c:v>
                </c:pt>
              </c:numCache>
            </c:numRef>
          </c:cat>
          <c:val>
            <c:numRef>
              <c:f>'Exponential Trendline'!$B$5:$B$26</c:f>
              <c:numCache>
                <c:formatCode>General</c:formatCode>
                <c:ptCount val="22"/>
                <c:pt idx="0">
                  <c:v>3411.58</c:v>
                </c:pt>
                <c:pt idx="1">
                  <c:v>7401.1399999999994</c:v>
                </c:pt>
                <c:pt idx="2">
                  <c:v>5770.2100000000019</c:v>
                </c:pt>
                <c:pt idx="3">
                  <c:v>9407.7100000000009</c:v>
                </c:pt>
                <c:pt idx="4">
                  <c:v>18151.690000000002</c:v>
                </c:pt>
                <c:pt idx="5">
                  <c:v>15915.650000000003</c:v>
                </c:pt>
                <c:pt idx="6">
                  <c:v>19427.440000000002</c:v>
                </c:pt>
                <c:pt idx="7">
                  <c:v>18272.479999999992</c:v>
                </c:pt>
                <c:pt idx="8">
                  <c:v>15391.42</c:v>
                </c:pt>
                <c:pt idx="9">
                  <c:v>17521.940000000002</c:v>
                </c:pt>
                <c:pt idx="10">
                  <c:v>22233.93</c:v>
                </c:pt>
                <c:pt idx="11">
                  <c:v>20310.409999999996</c:v>
                </c:pt>
                <c:pt idx="12">
                  <c:v>24829.470000000005</c:v>
                </c:pt>
                <c:pt idx="13">
                  <c:v>28204.03</c:v>
                </c:pt>
                <c:pt idx="14">
                  <c:v>25760.629999999997</c:v>
                </c:pt>
                <c:pt idx="15">
                  <c:v>24127.399999999998</c:v>
                </c:pt>
                <c:pt idx="16">
                  <c:v>26603.609999999986</c:v>
                </c:pt>
                <c:pt idx="17">
                  <c:v>25815.109999999993</c:v>
                </c:pt>
                <c:pt idx="18">
                  <c:v>22678.340000000004</c:v>
                </c:pt>
                <c:pt idx="19">
                  <c:v>29134.39</c:v>
                </c:pt>
                <c:pt idx="20">
                  <c:v>20397.880000000005</c:v>
                </c:pt>
                <c:pt idx="21">
                  <c:v>19540.779999999995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DA-4A25-BC8C-0068E95F6CD4}"/>
            </c:ext>
          </c:extLst>
        </c:ser>
        <c:ser>
          <c:idx val="2"/>
          <c:order val="1"/>
          <c:tx>
            <c:strRef>
              <c:f>'Exponential Trendline'!$C$4</c:f>
              <c:strCache>
                <c:ptCount val="1"/>
                <c:pt idx="0">
                  <c:v>Trend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'Exponential Trendline'!$A$5:$A$26</c:f>
              <c:numCache>
                <c:formatCode>dd/mm/yyyy</c:formatCode>
                <c:ptCount val="22"/>
                <c:pt idx="0">
                  <c:v>41395</c:v>
                </c:pt>
                <c:pt idx="1">
                  <c:v>41426</c:v>
                </c:pt>
                <c:pt idx="2">
                  <c:v>41456</c:v>
                </c:pt>
                <c:pt idx="3">
                  <c:v>41487</c:v>
                </c:pt>
                <c:pt idx="4">
                  <c:v>41518</c:v>
                </c:pt>
                <c:pt idx="5">
                  <c:v>41548</c:v>
                </c:pt>
                <c:pt idx="6">
                  <c:v>41579</c:v>
                </c:pt>
                <c:pt idx="7">
                  <c:v>41609</c:v>
                </c:pt>
                <c:pt idx="8">
                  <c:v>41640</c:v>
                </c:pt>
                <c:pt idx="9">
                  <c:v>41671</c:v>
                </c:pt>
                <c:pt idx="10">
                  <c:v>41699</c:v>
                </c:pt>
                <c:pt idx="11">
                  <c:v>41730</c:v>
                </c:pt>
                <c:pt idx="12">
                  <c:v>41760</c:v>
                </c:pt>
                <c:pt idx="13">
                  <c:v>41791</c:v>
                </c:pt>
                <c:pt idx="14">
                  <c:v>41821</c:v>
                </c:pt>
                <c:pt idx="15">
                  <c:v>41852</c:v>
                </c:pt>
                <c:pt idx="16">
                  <c:v>41883</c:v>
                </c:pt>
                <c:pt idx="17">
                  <c:v>41913</c:v>
                </c:pt>
                <c:pt idx="18">
                  <c:v>41944</c:v>
                </c:pt>
                <c:pt idx="19">
                  <c:v>41974</c:v>
                </c:pt>
                <c:pt idx="20">
                  <c:v>42005</c:v>
                </c:pt>
                <c:pt idx="21">
                  <c:v>42036</c:v>
                </c:pt>
              </c:numCache>
            </c:numRef>
          </c:cat>
          <c:val>
            <c:numRef>
              <c:f>'Exponential Trendline'!$C$5:$C$26</c:f>
              <c:numCache>
                <c:formatCode>General</c:formatCode>
                <c:ptCount val="22"/>
                <c:pt idx="0">
                  <c:v>10180.148218159708</c:v>
                </c:pt>
                <c:pt idx="1">
                  <c:v>10619.000861019793</c:v>
                </c:pt>
                <c:pt idx="2">
                  <c:v>11061.701501069427</c:v>
                </c:pt>
                <c:pt idx="3">
                  <c:v>11538.556732863923</c:v>
                </c:pt>
                <c:pt idx="4">
                  <c:v>12035.968559145147</c:v>
                </c:pt>
                <c:pt idx="5">
                  <c:v>12537.741847845971</c:v>
                </c:pt>
                <c:pt idx="6">
                  <c:v>13078.227214808381</c:v>
                </c:pt>
                <c:pt idx="7">
                  <c:v>13623.451726463065</c:v>
                </c:pt>
                <c:pt idx="8">
                  <c:v>14210.740601527785</c:v>
                </c:pt>
                <c:pt idx="9">
                  <c:v>14823.346718485274</c:v>
                </c:pt>
                <c:pt idx="10">
                  <c:v>15399.335958735253</c:v>
                </c:pt>
                <c:pt idx="11">
                  <c:v>16063.180839866252</c:v>
                </c:pt>
                <c:pt idx="12">
                  <c:v>16732.846520480842</c:v>
                </c:pt>
                <c:pt idx="13">
                  <c:v>17454.177267413004</c:v>
                </c:pt>
                <c:pt idx="14">
                  <c:v>18181.832867874215</c:v>
                </c:pt>
                <c:pt idx="15">
                  <c:v>18965.627488061778</c:v>
                </c:pt>
                <c:pt idx="16">
                  <c:v>19783.210451322306</c:v>
                </c:pt>
                <c:pt idx="17">
                  <c:v>20607.962237640309</c:v>
                </c:pt>
                <c:pt idx="18">
                  <c:v>21496.344066483922</c:v>
                </c:pt>
                <c:pt idx="19">
                  <c:v>22392.515504975134</c:v>
                </c:pt>
                <c:pt idx="20">
                  <c:v>23357.827050450869</c:v>
                </c:pt>
                <c:pt idx="21">
                  <c:v>24364.751892102191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DA-4A25-BC8C-0068E95F6C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7979440"/>
        <c:axId val="612918656"/>
      </c:lineChart>
      <c:dateAx>
        <c:axId val="607979440"/>
        <c:scaling>
          <c:orientation val="minMax"/>
        </c:scaling>
        <c:delete val="0"/>
        <c:axPos val="b"/>
        <c:numFmt formatCode="dd/mm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918656"/>
        <c:crosses val="autoZero"/>
        <c:auto val="1"/>
        <c:lblOffset val="100"/>
        <c:baseTimeUnit val="months"/>
      </c:dateAx>
      <c:valAx>
        <c:axId val="61291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97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2nd Order Polynomial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'2nd Order Polynomial Trend'!$B$4</c:f>
              <c:strCache>
                <c:ptCount val="1"/>
                <c:pt idx="0">
                  <c:v>Actuals (y)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'2nd Order Polynomial Trend'!$A$5:$A$27</c:f>
              <c:numCache>
                <c:formatCode>dd/mm/yyyy</c:formatCode>
                <c:ptCount val="23"/>
                <c:pt idx="0">
                  <c:v>41395</c:v>
                </c:pt>
                <c:pt idx="1">
                  <c:v>41426</c:v>
                </c:pt>
                <c:pt idx="2">
                  <c:v>41456</c:v>
                </c:pt>
                <c:pt idx="3">
                  <c:v>41487</c:v>
                </c:pt>
                <c:pt idx="4">
                  <c:v>41518</c:v>
                </c:pt>
                <c:pt idx="5">
                  <c:v>41548</c:v>
                </c:pt>
                <c:pt idx="6">
                  <c:v>41579</c:v>
                </c:pt>
                <c:pt idx="7">
                  <c:v>41609</c:v>
                </c:pt>
                <c:pt idx="8">
                  <c:v>41640</c:v>
                </c:pt>
                <c:pt idx="9">
                  <c:v>41671</c:v>
                </c:pt>
                <c:pt idx="10">
                  <c:v>41699</c:v>
                </c:pt>
                <c:pt idx="11">
                  <c:v>41730</c:v>
                </c:pt>
                <c:pt idx="12">
                  <c:v>41760</c:v>
                </c:pt>
                <c:pt idx="13">
                  <c:v>41791</c:v>
                </c:pt>
                <c:pt idx="14">
                  <c:v>41821</c:v>
                </c:pt>
                <c:pt idx="15">
                  <c:v>41852</c:v>
                </c:pt>
                <c:pt idx="16">
                  <c:v>41883</c:v>
                </c:pt>
                <c:pt idx="17">
                  <c:v>41913</c:v>
                </c:pt>
                <c:pt idx="18">
                  <c:v>41944</c:v>
                </c:pt>
                <c:pt idx="19">
                  <c:v>41974</c:v>
                </c:pt>
                <c:pt idx="20">
                  <c:v>42005</c:v>
                </c:pt>
                <c:pt idx="21">
                  <c:v>42036</c:v>
                </c:pt>
                <c:pt idx="22">
                  <c:v>42064</c:v>
                </c:pt>
              </c:numCache>
            </c:numRef>
          </c:cat>
          <c:val>
            <c:numRef>
              <c:f>'2nd Order Polynomial Trend'!$B$5:$B$27</c:f>
              <c:numCache>
                <c:formatCode>General</c:formatCode>
                <c:ptCount val="23"/>
                <c:pt idx="0">
                  <c:v>3411.58</c:v>
                </c:pt>
                <c:pt idx="1">
                  <c:v>7401.1399999999994</c:v>
                </c:pt>
                <c:pt idx="2">
                  <c:v>5770.2100000000019</c:v>
                </c:pt>
                <c:pt idx="3">
                  <c:v>9407.7100000000009</c:v>
                </c:pt>
                <c:pt idx="4">
                  <c:v>18151.690000000002</c:v>
                </c:pt>
                <c:pt idx="5">
                  <c:v>15915.650000000003</c:v>
                </c:pt>
                <c:pt idx="6">
                  <c:v>19427.440000000002</c:v>
                </c:pt>
                <c:pt idx="7">
                  <c:v>18272.479999999992</c:v>
                </c:pt>
                <c:pt idx="8">
                  <c:v>15391.42</c:v>
                </c:pt>
                <c:pt idx="9">
                  <c:v>17521.940000000002</c:v>
                </c:pt>
                <c:pt idx="10">
                  <c:v>22233.93</c:v>
                </c:pt>
                <c:pt idx="11">
                  <c:v>20310.409999999996</c:v>
                </c:pt>
                <c:pt idx="12">
                  <c:v>24829.470000000005</c:v>
                </c:pt>
                <c:pt idx="13">
                  <c:v>28204.03</c:v>
                </c:pt>
                <c:pt idx="14">
                  <c:v>25760.629999999997</c:v>
                </c:pt>
                <c:pt idx="15">
                  <c:v>24127.399999999998</c:v>
                </c:pt>
                <c:pt idx="16">
                  <c:v>26603.609999999986</c:v>
                </c:pt>
                <c:pt idx="17">
                  <c:v>25815.109999999993</c:v>
                </c:pt>
                <c:pt idx="18">
                  <c:v>22678.340000000004</c:v>
                </c:pt>
                <c:pt idx="19">
                  <c:v>29134.39</c:v>
                </c:pt>
                <c:pt idx="20">
                  <c:v>20397.880000000005</c:v>
                </c:pt>
                <c:pt idx="21">
                  <c:v>19540.779999999995</c:v>
                </c:pt>
                <c:pt idx="22">
                  <c:v>4083.6200000000003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75-4DB6-89E6-FBA1D236B654}"/>
            </c:ext>
          </c:extLst>
        </c:ser>
        <c:ser>
          <c:idx val="2"/>
          <c:order val="1"/>
          <c:tx>
            <c:strRef>
              <c:f>'2nd Order Polynomial Trend'!$C$4</c:f>
              <c:strCache>
                <c:ptCount val="1"/>
                <c:pt idx="0">
                  <c:v>Trend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'2nd Order Polynomial Trend'!$A$5:$A$27</c:f>
              <c:numCache>
                <c:formatCode>dd/mm/yyyy</c:formatCode>
                <c:ptCount val="23"/>
                <c:pt idx="0">
                  <c:v>41395</c:v>
                </c:pt>
                <c:pt idx="1">
                  <c:v>41426</c:v>
                </c:pt>
                <c:pt idx="2">
                  <c:v>41456</c:v>
                </c:pt>
                <c:pt idx="3">
                  <c:v>41487</c:v>
                </c:pt>
                <c:pt idx="4">
                  <c:v>41518</c:v>
                </c:pt>
                <c:pt idx="5">
                  <c:v>41548</c:v>
                </c:pt>
                <c:pt idx="6">
                  <c:v>41579</c:v>
                </c:pt>
                <c:pt idx="7">
                  <c:v>41609</c:v>
                </c:pt>
                <c:pt idx="8">
                  <c:v>41640</c:v>
                </c:pt>
                <c:pt idx="9">
                  <c:v>41671</c:v>
                </c:pt>
                <c:pt idx="10">
                  <c:v>41699</c:v>
                </c:pt>
                <c:pt idx="11">
                  <c:v>41730</c:v>
                </c:pt>
                <c:pt idx="12">
                  <c:v>41760</c:v>
                </c:pt>
                <c:pt idx="13">
                  <c:v>41791</c:v>
                </c:pt>
                <c:pt idx="14">
                  <c:v>41821</c:v>
                </c:pt>
                <c:pt idx="15">
                  <c:v>41852</c:v>
                </c:pt>
                <c:pt idx="16">
                  <c:v>41883</c:v>
                </c:pt>
                <c:pt idx="17">
                  <c:v>41913</c:v>
                </c:pt>
                <c:pt idx="18">
                  <c:v>41944</c:v>
                </c:pt>
                <c:pt idx="19">
                  <c:v>41974</c:v>
                </c:pt>
                <c:pt idx="20">
                  <c:v>42005</c:v>
                </c:pt>
                <c:pt idx="21">
                  <c:v>42036</c:v>
                </c:pt>
                <c:pt idx="22">
                  <c:v>42064</c:v>
                </c:pt>
              </c:numCache>
            </c:numRef>
          </c:cat>
          <c:val>
            <c:numRef>
              <c:f>'2nd Order Polynomial Trend'!$C$5:$C$27</c:f>
              <c:numCache>
                <c:formatCode>0.00</c:formatCode>
                <c:ptCount val="23"/>
                <c:pt idx="0">
                  <c:v>1747.5012272298336</c:v>
                </c:pt>
                <c:pt idx="1">
                  <c:v>5114.6180354356766</c:v>
                </c:pt>
                <c:pt idx="2">
                  <c:v>8120.4212258756161</c:v>
                </c:pt>
                <c:pt idx="3">
                  <c:v>10965.297677874565</c:v>
                </c:pt>
                <c:pt idx="4">
                  <c:v>13544.77329313755</c:v>
                </c:pt>
                <c:pt idx="5">
                  <c:v>15788.343070983887</c:v>
                </c:pt>
                <c:pt idx="6">
                  <c:v>17845.578330010176</c:v>
                </c:pt>
                <c:pt idx="7">
                  <c:v>19583.754214733839</c:v>
                </c:pt>
                <c:pt idx="8">
                  <c:v>21118.749117553234</c:v>
                </c:pt>
                <c:pt idx="9">
                  <c:v>22388.343183577061</c:v>
                </c:pt>
                <c:pt idx="10">
                  <c:v>23306.955627053976</c:v>
                </c:pt>
                <c:pt idx="11">
                  <c:v>24071.431971490383</c:v>
                </c:pt>
                <c:pt idx="12">
                  <c:v>24558.550842136145</c:v>
                </c:pt>
                <c:pt idx="13">
                  <c:v>24800.786830365658</c:v>
                </c:pt>
                <c:pt idx="14">
                  <c:v>24782.511807858944</c:v>
                </c:pt>
                <c:pt idx="15">
                  <c:v>24502.507439881563</c:v>
                </c:pt>
                <c:pt idx="16">
                  <c:v>23957.102235108614</c:v>
                </c:pt>
                <c:pt idx="17">
                  <c:v>23176.593800127506</c:v>
                </c:pt>
                <c:pt idx="18">
                  <c:v>22108.948239147663</c:v>
                </c:pt>
                <c:pt idx="19">
                  <c:v>20823.045910984278</c:v>
                </c:pt>
                <c:pt idx="20">
                  <c:v>19233.159993767738</c:v>
                </c:pt>
                <c:pt idx="21">
                  <c:v>17377.873239815235</c:v>
                </c:pt>
                <c:pt idx="22">
                  <c:v>15474.012684494257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75-4DB6-89E6-FBA1D236B6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7979440"/>
        <c:axId val="612918656"/>
      </c:lineChart>
      <c:dateAx>
        <c:axId val="607979440"/>
        <c:scaling>
          <c:orientation val="minMax"/>
        </c:scaling>
        <c:delete val="0"/>
        <c:axPos val="b"/>
        <c:numFmt formatCode="dd/mm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918656"/>
        <c:crosses val="autoZero"/>
        <c:auto val="1"/>
        <c:lblOffset val="100"/>
        <c:baseTimeUnit val="months"/>
      </c:dateAx>
      <c:valAx>
        <c:axId val="61291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97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3rd Order Polynomial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'3rd Order Polynomial Trend'!$B$4</c:f>
              <c:strCache>
                <c:ptCount val="1"/>
                <c:pt idx="0">
                  <c:v>Actuals (y)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'3rd Order Polynomial Trend'!$A$5:$A$27</c:f>
              <c:numCache>
                <c:formatCode>0.00</c:formatCode>
                <c:ptCount val="23"/>
                <c:pt idx="0">
                  <c:v>41395</c:v>
                </c:pt>
                <c:pt idx="1">
                  <c:v>41426</c:v>
                </c:pt>
                <c:pt idx="2">
                  <c:v>41456</c:v>
                </c:pt>
                <c:pt idx="3">
                  <c:v>41487</c:v>
                </c:pt>
                <c:pt idx="4">
                  <c:v>41518</c:v>
                </c:pt>
                <c:pt idx="5">
                  <c:v>41548</c:v>
                </c:pt>
                <c:pt idx="6">
                  <c:v>41579</c:v>
                </c:pt>
                <c:pt idx="7">
                  <c:v>41609</c:v>
                </c:pt>
                <c:pt idx="8">
                  <c:v>41640</c:v>
                </c:pt>
                <c:pt idx="9">
                  <c:v>41671</c:v>
                </c:pt>
                <c:pt idx="10">
                  <c:v>41699</c:v>
                </c:pt>
                <c:pt idx="11">
                  <c:v>41730</c:v>
                </c:pt>
                <c:pt idx="12">
                  <c:v>41760</c:v>
                </c:pt>
                <c:pt idx="13">
                  <c:v>41791</c:v>
                </c:pt>
                <c:pt idx="14">
                  <c:v>41821</c:v>
                </c:pt>
                <c:pt idx="15">
                  <c:v>41852</c:v>
                </c:pt>
                <c:pt idx="16">
                  <c:v>41883</c:v>
                </c:pt>
                <c:pt idx="17">
                  <c:v>41913</c:v>
                </c:pt>
                <c:pt idx="18">
                  <c:v>41944</c:v>
                </c:pt>
                <c:pt idx="19">
                  <c:v>41974</c:v>
                </c:pt>
                <c:pt idx="20">
                  <c:v>42005</c:v>
                </c:pt>
                <c:pt idx="21">
                  <c:v>42036</c:v>
                </c:pt>
                <c:pt idx="22">
                  <c:v>42064</c:v>
                </c:pt>
              </c:numCache>
            </c:numRef>
          </c:cat>
          <c:val>
            <c:numRef>
              <c:f>'3rd Order Polynomial Trend'!$B$5:$B$27</c:f>
              <c:numCache>
                <c:formatCode>0</c:formatCode>
                <c:ptCount val="23"/>
                <c:pt idx="0">
                  <c:v>3411.58</c:v>
                </c:pt>
                <c:pt idx="1">
                  <c:v>7401.1399999999994</c:v>
                </c:pt>
                <c:pt idx="2">
                  <c:v>5770.2100000000019</c:v>
                </c:pt>
                <c:pt idx="3">
                  <c:v>9407.7100000000009</c:v>
                </c:pt>
                <c:pt idx="4">
                  <c:v>18151.690000000002</c:v>
                </c:pt>
                <c:pt idx="5">
                  <c:v>15915.650000000001</c:v>
                </c:pt>
                <c:pt idx="6">
                  <c:v>19427.440000000002</c:v>
                </c:pt>
                <c:pt idx="7">
                  <c:v>18272.479999999992</c:v>
                </c:pt>
                <c:pt idx="8">
                  <c:v>15391.42</c:v>
                </c:pt>
                <c:pt idx="9">
                  <c:v>17521.940000000002</c:v>
                </c:pt>
                <c:pt idx="10">
                  <c:v>21798.85</c:v>
                </c:pt>
                <c:pt idx="11">
                  <c:v>20310.409999999993</c:v>
                </c:pt>
                <c:pt idx="12">
                  <c:v>24829.47</c:v>
                </c:pt>
                <c:pt idx="13">
                  <c:v>28204.03</c:v>
                </c:pt>
                <c:pt idx="14">
                  <c:v>25760.629999999997</c:v>
                </c:pt>
                <c:pt idx="15">
                  <c:v>24127.400000000005</c:v>
                </c:pt>
                <c:pt idx="16">
                  <c:v>26603.609999999993</c:v>
                </c:pt>
                <c:pt idx="17">
                  <c:v>25815.109999999993</c:v>
                </c:pt>
                <c:pt idx="18">
                  <c:v>22678.340000000004</c:v>
                </c:pt>
                <c:pt idx="19">
                  <c:v>29134.39</c:v>
                </c:pt>
                <c:pt idx="20">
                  <c:v>20397.880000000005</c:v>
                </c:pt>
                <c:pt idx="21">
                  <c:v>19540.779999999995</c:v>
                </c:pt>
                <c:pt idx="22">
                  <c:v>3239.2400000000007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C9-4603-9C16-EB30758B7BCB}"/>
            </c:ext>
          </c:extLst>
        </c:ser>
        <c:ser>
          <c:idx val="2"/>
          <c:order val="1"/>
          <c:tx>
            <c:strRef>
              <c:f>'3rd Order Polynomial Trend'!$C$4</c:f>
              <c:strCache>
                <c:ptCount val="1"/>
                <c:pt idx="0">
                  <c:v>Trend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'3rd Order Polynomial Trend'!$A$5:$A$27</c:f>
              <c:numCache>
                <c:formatCode>0.00</c:formatCode>
                <c:ptCount val="23"/>
                <c:pt idx="0">
                  <c:v>41395</c:v>
                </c:pt>
                <c:pt idx="1">
                  <c:v>41426</c:v>
                </c:pt>
                <c:pt idx="2">
                  <c:v>41456</c:v>
                </c:pt>
                <c:pt idx="3">
                  <c:v>41487</c:v>
                </c:pt>
                <c:pt idx="4">
                  <c:v>41518</c:v>
                </c:pt>
                <c:pt idx="5">
                  <c:v>41548</c:v>
                </c:pt>
                <c:pt idx="6">
                  <c:v>41579</c:v>
                </c:pt>
                <c:pt idx="7">
                  <c:v>41609</c:v>
                </c:pt>
                <c:pt idx="8">
                  <c:v>41640</c:v>
                </c:pt>
                <c:pt idx="9">
                  <c:v>41671</c:v>
                </c:pt>
                <c:pt idx="10">
                  <c:v>41699</c:v>
                </c:pt>
                <c:pt idx="11">
                  <c:v>41730</c:v>
                </c:pt>
                <c:pt idx="12">
                  <c:v>41760</c:v>
                </c:pt>
                <c:pt idx="13">
                  <c:v>41791</c:v>
                </c:pt>
                <c:pt idx="14">
                  <c:v>41821</c:v>
                </c:pt>
                <c:pt idx="15">
                  <c:v>41852</c:v>
                </c:pt>
                <c:pt idx="16">
                  <c:v>41883</c:v>
                </c:pt>
                <c:pt idx="17">
                  <c:v>41913</c:v>
                </c:pt>
                <c:pt idx="18">
                  <c:v>41944</c:v>
                </c:pt>
                <c:pt idx="19">
                  <c:v>41974</c:v>
                </c:pt>
                <c:pt idx="20">
                  <c:v>42005</c:v>
                </c:pt>
                <c:pt idx="21">
                  <c:v>42036</c:v>
                </c:pt>
                <c:pt idx="22">
                  <c:v>42064</c:v>
                </c:pt>
              </c:numCache>
            </c:numRef>
          </c:cat>
          <c:val>
            <c:numRef>
              <c:f>'3rd Order Polynomial Trend'!$C$5:$C$27</c:f>
              <c:numCache>
                <c:formatCode>General</c:formatCode>
                <c:ptCount val="23"/>
                <c:pt idx="0">
                  <c:v>5799.7854156494141</c:v>
                </c:pt>
                <c:pt idx="1">
                  <c:v>6908.4434814453125</c:v>
                </c:pt>
                <c:pt idx="2">
                  <c:v>8252.5433731079102</c:v>
                </c:pt>
                <c:pt idx="3">
                  <c:v>9866.86865234375</c:v>
                </c:pt>
                <c:pt idx="4">
                  <c:v>11654.589645385742</c:v>
                </c:pt>
                <c:pt idx="5">
                  <c:v>13496.68342590332</c:v>
                </c:pt>
                <c:pt idx="6">
                  <c:v>15461.133178710938</c:v>
                </c:pt>
                <c:pt idx="7">
                  <c:v>17368.722297668457</c:v>
                </c:pt>
                <c:pt idx="8">
                  <c:v>19291.800331115723</c:v>
                </c:pt>
                <c:pt idx="9">
                  <c:v>21110.270668029785</c:v>
                </c:pt>
                <c:pt idx="10">
                  <c:v>22615.994529724121</c:v>
                </c:pt>
                <c:pt idx="11">
                  <c:v>24079.754196166992</c:v>
                </c:pt>
                <c:pt idx="12">
                  <c:v>25241.568336486816</c:v>
                </c:pt>
                <c:pt idx="13">
                  <c:v>26124.068161010742</c:v>
                </c:pt>
                <c:pt idx="14">
                  <c:v>26617.840278625488</c:v>
                </c:pt>
                <c:pt idx="15">
                  <c:v>26700.979766845703</c:v>
                </c:pt>
                <c:pt idx="16">
                  <c:v>26294.304229736328</c:v>
                </c:pt>
                <c:pt idx="17">
                  <c:v>25381.323532104492</c:v>
                </c:pt>
                <c:pt idx="18">
                  <c:v>23846.349197387695</c:v>
                </c:pt>
                <c:pt idx="19">
                  <c:v>21735.933952331543</c:v>
                </c:pt>
                <c:pt idx="20">
                  <c:v>18854.560340881348</c:v>
                </c:pt>
                <c:pt idx="21">
                  <c:v>15205.368301391602</c:v>
                </c:pt>
                <c:pt idx="22">
                  <c:v>11202.514656066895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C9-4603-9C16-EB30758B7B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7979440"/>
        <c:axId val="612918656"/>
      </c:lineChart>
      <c:catAx>
        <c:axId val="607979440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918656"/>
        <c:crosses val="autoZero"/>
        <c:auto val="1"/>
        <c:lblAlgn val="ctr"/>
        <c:lblOffset val="100"/>
        <c:noMultiLvlLbl val="0"/>
      </c:catAx>
      <c:valAx>
        <c:axId val="61291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97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4th Order Polynomial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'4th Order Polynomial Trend'!$B$4</c:f>
              <c:strCache>
                <c:ptCount val="1"/>
                <c:pt idx="0">
                  <c:v>Actuals (y)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'4th Order Polynomial Trend'!$A$5:$A$27</c:f>
              <c:numCache>
                <c:formatCode>0.00</c:formatCode>
                <c:ptCount val="23"/>
                <c:pt idx="0">
                  <c:v>41395</c:v>
                </c:pt>
                <c:pt idx="1">
                  <c:v>41426</c:v>
                </c:pt>
                <c:pt idx="2">
                  <c:v>41456</c:v>
                </c:pt>
                <c:pt idx="3">
                  <c:v>41487</c:v>
                </c:pt>
                <c:pt idx="4">
                  <c:v>41518</c:v>
                </c:pt>
                <c:pt idx="5">
                  <c:v>41548</c:v>
                </c:pt>
                <c:pt idx="6">
                  <c:v>41579</c:v>
                </c:pt>
                <c:pt idx="7">
                  <c:v>41609</c:v>
                </c:pt>
                <c:pt idx="8">
                  <c:v>41640</c:v>
                </c:pt>
                <c:pt idx="9">
                  <c:v>41671</c:v>
                </c:pt>
                <c:pt idx="10">
                  <c:v>41699</c:v>
                </c:pt>
                <c:pt idx="11">
                  <c:v>41730</c:v>
                </c:pt>
                <c:pt idx="12">
                  <c:v>41760</c:v>
                </c:pt>
                <c:pt idx="13">
                  <c:v>41791</c:v>
                </c:pt>
                <c:pt idx="14">
                  <c:v>41821</c:v>
                </c:pt>
                <c:pt idx="15">
                  <c:v>41852</c:v>
                </c:pt>
                <c:pt idx="16">
                  <c:v>41883</c:v>
                </c:pt>
                <c:pt idx="17">
                  <c:v>41913</c:v>
                </c:pt>
                <c:pt idx="18">
                  <c:v>41944</c:v>
                </c:pt>
                <c:pt idx="19">
                  <c:v>41974</c:v>
                </c:pt>
                <c:pt idx="20">
                  <c:v>42005</c:v>
                </c:pt>
                <c:pt idx="21">
                  <c:v>42036</c:v>
                </c:pt>
                <c:pt idx="22">
                  <c:v>42064</c:v>
                </c:pt>
              </c:numCache>
            </c:numRef>
          </c:cat>
          <c:val>
            <c:numRef>
              <c:f>'4th Order Polynomial Trend'!$B$5:$B$27</c:f>
              <c:numCache>
                <c:formatCode>0</c:formatCode>
                <c:ptCount val="23"/>
                <c:pt idx="0">
                  <c:v>3411.58</c:v>
                </c:pt>
                <c:pt idx="1">
                  <c:v>7401.1399999999994</c:v>
                </c:pt>
                <c:pt idx="2">
                  <c:v>5770.2100000000019</c:v>
                </c:pt>
                <c:pt idx="3">
                  <c:v>9407.7100000000009</c:v>
                </c:pt>
                <c:pt idx="4">
                  <c:v>18151.690000000002</c:v>
                </c:pt>
                <c:pt idx="5">
                  <c:v>15915.650000000001</c:v>
                </c:pt>
                <c:pt idx="6">
                  <c:v>19427.440000000002</c:v>
                </c:pt>
                <c:pt idx="7">
                  <c:v>18272.479999999992</c:v>
                </c:pt>
                <c:pt idx="8">
                  <c:v>15391.42</c:v>
                </c:pt>
                <c:pt idx="9">
                  <c:v>17521.940000000002</c:v>
                </c:pt>
                <c:pt idx="10">
                  <c:v>21798.85</c:v>
                </c:pt>
                <c:pt idx="11">
                  <c:v>20310.409999999993</c:v>
                </c:pt>
                <c:pt idx="12">
                  <c:v>24829.47</c:v>
                </c:pt>
                <c:pt idx="13">
                  <c:v>28204.03</c:v>
                </c:pt>
                <c:pt idx="14">
                  <c:v>25760.629999999997</c:v>
                </c:pt>
                <c:pt idx="15">
                  <c:v>24127.400000000005</c:v>
                </c:pt>
                <c:pt idx="16">
                  <c:v>26603.609999999993</c:v>
                </c:pt>
                <c:pt idx="17">
                  <c:v>25815.109999999993</c:v>
                </c:pt>
                <c:pt idx="18">
                  <c:v>22678.340000000004</c:v>
                </c:pt>
                <c:pt idx="19">
                  <c:v>29134.39</c:v>
                </c:pt>
                <c:pt idx="20">
                  <c:v>20397.880000000005</c:v>
                </c:pt>
                <c:pt idx="21">
                  <c:v>19540.779999999995</c:v>
                </c:pt>
                <c:pt idx="22">
                  <c:v>3239.2400000000007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47-4511-A7F2-740404D1514C}"/>
            </c:ext>
          </c:extLst>
        </c:ser>
        <c:ser>
          <c:idx val="2"/>
          <c:order val="1"/>
          <c:tx>
            <c:strRef>
              <c:f>'4th Order Polynomial Trend'!$C$4</c:f>
              <c:strCache>
                <c:ptCount val="1"/>
                <c:pt idx="0">
                  <c:v>Trend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'4th Order Polynomial Trend'!$A$5:$A$27</c:f>
              <c:numCache>
                <c:formatCode>0.00</c:formatCode>
                <c:ptCount val="23"/>
                <c:pt idx="0">
                  <c:v>41395</c:v>
                </c:pt>
                <c:pt idx="1">
                  <c:v>41426</c:v>
                </c:pt>
                <c:pt idx="2">
                  <c:v>41456</c:v>
                </c:pt>
                <c:pt idx="3">
                  <c:v>41487</c:v>
                </c:pt>
                <c:pt idx="4">
                  <c:v>41518</c:v>
                </c:pt>
                <c:pt idx="5">
                  <c:v>41548</c:v>
                </c:pt>
                <c:pt idx="6">
                  <c:v>41579</c:v>
                </c:pt>
                <c:pt idx="7">
                  <c:v>41609</c:v>
                </c:pt>
                <c:pt idx="8">
                  <c:v>41640</c:v>
                </c:pt>
                <c:pt idx="9">
                  <c:v>41671</c:v>
                </c:pt>
                <c:pt idx="10">
                  <c:v>41699</c:v>
                </c:pt>
                <c:pt idx="11">
                  <c:v>41730</c:v>
                </c:pt>
                <c:pt idx="12">
                  <c:v>41760</c:v>
                </c:pt>
                <c:pt idx="13">
                  <c:v>41791</c:v>
                </c:pt>
                <c:pt idx="14">
                  <c:v>41821</c:v>
                </c:pt>
                <c:pt idx="15">
                  <c:v>41852</c:v>
                </c:pt>
                <c:pt idx="16">
                  <c:v>41883</c:v>
                </c:pt>
                <c:pt idx="17">
                  <c:v>41913</c:v>
                </c:pt>
                <c:pt idx="18">
                  <c:v>41944</c:v>
                </c:pt>
                <c:pt idx="19">
                  <c:v>41974</c:v>
                </c:pt>
                <c:pt idx="20">
                  <c:v>42005</c:v>
                </c:pt>
                <c:pt idx="21">
                  <c:v>42036</c:v>
                </c:pt>
                <c:pt idx="22">
                  <c:v>42064</c:v>
                </c:pt>
              </c:numCache>
            </c:numRef>
          </c:cat>
          <c:val>
            <c:numRef>
              <c:f>'4th Order Polynomial Trend'!$C$5:$C$27</c:f>
              <c:numCache>
                <c:formatCode>General</c:formatCode>
                <c:ptCount val="23"/>
                <c:pt idx="0">
                  <c:v>5800.6507930755615</c:v>
                </c:pt>
                <c:pt idx="1">
                  <c:v>6913.311056137085</c:v>
                </c:pt>
                <c:pt idx="2">
                  <c:v>8258.2828502655029</c:v>
                </c:pt>
                <c:pt idx="3">
                  <c:v>9871.3685207366943</c:v>
                </c:pt>
                <c:pt idx="4">
                  <c:v>11656.527925491333</c:v>
                </c:pt>
                <c:pt idx="5">
                  <c:v>13495.581022262573</c:v>
                </c:pt>
                <c:pt idx="6">
                  <c:v>15456.907709121704</c:v>
                </c:pt>
                <c:pt idx="7">
                  <c:v>17361.952108383179</c:v>
                </c:pt>
                <c:pt idx="8">
                  <c:v>19283.254072189331</c:v>
                </c:pt>
                <c:pt idx="9">
                  <c:v>21101.058992385864</c:v>
                </c:pt>
                <c:pt idx="10">
                  <c:v>22607.240308761597</c:v>
                </c:pt>
                <c:pt idx="11">
                  <c:v>24072.680875778198</c:v>
                </c:pt>
                <c:pt idx="12">
                  <c:v>25237.189065933228</c:v>
                </c:pt>
                <c:pt idx="13">
                  <c:v>26123.342866897583</c:v>
                </c:pt>
                <c:pt idx="14">
                  <c:v>26621.155660629272</c:v>
                </c:pt>
                <c:pt idx="15">
                  <c:v>26708.519582748413</c:v>
                </c:pt>
                <c:pt idx="16">
                  <c:v>26305.51561164856</c:v>
                </c:pt>
                <c:pt idx="17">
                  <c:v>25394.87184715271</c:v>
                </c:pt>
                <c:pt idx="18">
                  <c:v>23860.222127914429</c:v>
                </c:pt>
                <c:pt idx="19">
                  <c:v>21747.185747146606</c:v>
                </c:pt>
                <c:pt idx="20">
                  <c:v>18858.99757194519</c:v>
                </c:pt>
                <c:pt idx="21">
                  <c:v>15197.60431098938</c:v>
                </c:pt>
                <c:pt idx="22">
                  <c:v>11177.979455947876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47-4511-A7F2-740404D151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7979440"/>
        <c:axId val="612918656"/>
      </c:lineChart>
      <c:catAx>
        <c:axId val="607979440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918656"/>
        <c:crosses val="autoZero"/>
        <c:auto val="1"/>
        <c:lblAlgn val="ctr"/>
        <c:lblOffset val="100"/>
        <c:noMultiLvlLbl val="0"/>
      </c:catAx>
      <c:valAx>
        <c:axId val="61291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97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109537</xdr:colOff>
      <xdr:row>0</xdr:row>
      <xdr:rowOff>95249</xdr:rowOff>
    </xdr:from>
    <xdr:to>
      <xdr:col>12</xdr:col>
      <xdr:colOff>523875</xdr:colOff>
      <xdr:row>38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150B8A-B4FF-460A-A9E4-C452AA83EB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180975</xdr:rowOff>
    </xdr:from>
    <xdr:to>
      <xdr:col>6</xdr:col>
      <xdr:colOff>428625</xdr:colOff>
      <xdr:row>26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6251EAD-3DCD-498A-8A25-64971EF6FE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571499</xdr:colOff>
      <xdr:row>11</xdr:row>
      <xdr:rowOff>142874</xdr:rowOff>
    </xdr:from>
    <xdr:to>
      <xdr:col>8</xdr:col>
      <xdr:colOff>238124</xdr:colOff>
      <xdr:row>27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46AC09-46CA-463A-A5E6-2195C76307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171449</xdr:colOff>
      <xdr:row>10</xdr:row>
      <xdr:rowOff>190499</xdr:rowOff>
    </xdr:from>
    <xdr:to>
      <xdr:col>7</xdr:col>
      <xdr:colOff>1390649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6FACB6-65FC-4900-AF2E-F194C6692D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1057273</xdr:colOff>
      <xdr:row>11</xdr:row>
      <xdr:rowOff>66674</xdr:rowOff>
    </xdr:from>
    <xdr:to>
      <xdr:col>7</xdr:col>
      <xdr:colOff>1876424</xdr:colOff>
      <xdr:row>27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914A99-B24B-472B-8A38-0CF2B56715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571498</xdr:colOff>
      <xdr:row>10</xdr:row>
      <xdr:rowOff>161924</xdr:rowOff>
    </xdr:from>
    <xdr:to>
      <xdr:col>7</xdr:col>
      <xdr:colOff>1390649</xdr:colOff>
      <xdr:row>26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960E3D-939D-477B-9564-900C5837E6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219073</xdr:colOff>
      <xdr:row>28</xdr:row>
      <xdr:rowOff>38099</xdr:rowOff>
    </xdr:from>
    <xdr:to>
      <xdr:col>6</xdr:col>
      <xdr:colOff>2181224</xdr:colOff>
      <xdr:row>44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845080-26D2-4F93-8C90-B140A164B8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219073</xdr:colOff>
      <xdr:row>28</xdr:row>
      <xdr:rowOff>38099</xdr:rowOff>
    </xdr:from>
    <xdr:to>
      <xdr:col>7</xdr:col>
      <xdr:colOff>2181224</xdr:colOff>
      <xdr:row>44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F2DCD0-8728-4AA7-95C7-1C11A82219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2"/>
  <sheetViews>
    <sheetView topLeftCell="A13" workbookViewId="0">
      <selection activeCell="B37" sqref="B37"/>
    </sheetView>
  </sheetViews>
  <sheetFormatPr defaultRowHeight="15" x14ac:dyDescent="0.25"/>
  <cols>
    <col min="1" max="1" width="59.28515625" style="4" customWidth="1"/>
  </cols>
  <sheetData>
    <row r="2" spans="1:2" ht="16.5" x14ac:dyDescent="0.25">
      <c r="A2" s="3" t="s">
        <v>0</v>
      </c>
    </row>
    <row r="4" spans="1:2" x14ac:dyDescent="0.25">
      <c r="A4" s="1" t="s">
        <v>1</v>
      </c>
    </row>
    <row r="5" spans="1:2" x14ac:dyDescent="0.25">
      <c r="A5" s="1" t="s">
        <v>2</v>
      </c>
    </row>
    <row r="6" spans="1:2" x14ac:dyDescent="0.25">
      <c r="A6" s="1" t="s">
        <v>3</v>
      </c>
    </row>
    <row r="8" spans="1:2" ht="16.5" x14ac:dyDescent="0.25">
      <c r="A8" s="3" t="s">
        <v>4</v>
      </c>
    </row>
    <row r="10" spans="1:2" x14ac:dyDescent="0.25">
      <c r="A10" s="1" t="s">
        <v>5</v>
      </c>
      <c r="B10" t="s">
        <v>36</v>
      </c>
    </row>
    <row r="11" spans="1:2" x14ac:dyDescent="0.25">
      <c r="A11" s="1" t="s">
        <v>6</v>
      </c>
    </row>
    <row r="12" spans="1:2" x14ac:dyDescent="0.25">
      <c r="A12" s="1" t="s">
        <v>7</v>
      </c>
    </row>
    <row r="14" spans="1:2" ht="16.5" x14ac:dyDescent="0.25">
      <c r="A14" s="3" t="s">
        <v>8</v>
      </c>
    </row>
    <row r="16" spans="1:2" x14ac:dyDescent="0.25">
      <c r="A16" s="1" t="s">
        <v>9</v>
      </c>
    </row>
    <row r="17" spans="1:1" x14ac:dyDescent="0.25">
      <c r="A17" s="1" t="s">
        <v>10</v>
      </c>
    </row>
    <row r="18" spans="1:1" x14ac:dyDescent="0.25">
      <c r="A18" s="1" t="s">
        <v>11</v>
      </c>
    </row>
    <row r="20" spans="1:1" ht="16.5" x14ac:dyDescent="0.25">
      <c r="A20" s="3" t="s">
        <v>12</v>
      </c>
    </row>
    <row r="22" spans="1:1" x14ac:dyDescent="0.25">
      <c r="A22" s="1" t="s">
        <v>13</v>
      </c>
    </row>
    <row r="23" spans="1:1" x14ac:dyDescent="0.25">
      <c r="A23" s="1" t="s">
        <v>14</v>
      </c>
    </row>
    <row r="24" spans="1:1" x14ac:dyDescent="0.25">
      <c r="A24" s="1" t="s">
        <v>15</v>
      </c>
    </row>
    <row r="26" spans="1:1" ht="16.5" x14ac:dyDescent="0.25">
      <c r="A26" s="3" t="s">
        <v>16</v>
      </c>
    </row>
    <row r="28" spans="1:1" x14ac:dyDescent="0.25">
      <c r="A28" s="1" t="s">
        <v>17</v>
      </c>
    </row>
    <row r="29" spans="1:1" x14ac:dyDescent="0.25">
      <c r="A29" s="1" t="s">
        <v>18</v>
      </c>
    </row>
    <row r="30" spans="1:1" x14ac:dyDescent="0.25">
      <c r="A30" s="1" t="s">
        <v>19</v>
      </c>
    </row>
    <row r="31" spans="1:1" x14ac:dyDescent="0.25">
      <c r="A31" s="1" t="s">
        <v>20</v>
      </c>
    </row>
    <row r="33" spans="1:1" ht="16.5" x14ac:dyDescent="0.25">
      <c r="A33" s="3" t="s">
        <v>21</v>
      </c>
    </row>
    <row r="35" spans="1:1" x14ac:dyDescent="0.25">
      <c r="A35" s="1" t="s">
        <v>22</v>
      </c>
    </row>
    <row r="36" spans="1:1" x14ac:dyDescent="0.25">
      <c r="A36" s="1" t="s">
        <v>23</v>
      </c>
    </row>
    <row r="37" spans="1:1" x14ac:dyDescent="0.25">
      <c r="A37" s="1" t="s">
        <v>24</v>
      </c>
    </row>
    <row r="38" spans="1:1" x14ac:dyDescent="0.25">
      <c r="A38" s="1" t="s">
        <v>25</v>
      </c>
    </row>
    <row r="39" spans="1:1" x14ac:dyDescent="0.25">
      <c r="A39" s="1" t="s">
        <v>26</v>
      </c>
    </row>
    <row r="41" spans="1:1" ht="16.5" x14ac:dyDescent="0.25">
      <c r="A41" s="3" t="s">
        <v>27</v>
      </c>
    </row>
    <row r="42" spans="1:1" x14ac:dyDescent="0.25">
      <c r="A42" s="5" t="s">
        <v>28</v>
      </c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7"/>
  <sheetViews>
    <sheetView workbookViewId="0">
      <selection activeCell="I5" sqref="I5"/>
    </sheetView>
  </sheetViews>
  <sheetFormatPr defaultRowHeight="15" x14ac:dyDescent="0.25"/>
  <cols>
    <col min="1" max="1" width="17.42578125" style="8" customWidth="1"/>
    <col min="2" max="2" width="15" style="11" customWidth="1"/>
    <col min="3" max="4" width="9.140625" style="15"/>
    <col min="5" max="5" width="22.140625" style="15" customWidth="1"/>
    <col min="6" max="6" width="34.85546875" style="15" customWidth="1"/>
    <col min="7" max="7" width="36.42578125" style="15" customWidth="1"/>
    <col min="8" max="8" width="35.85546875" style="15" customWidth="1"/>
    <col min="9" max="10" width="32" style="15" customWidth="1"/>
    <col min="11" max="11" width="38.42578125" style="15" customWidth="1"/>
    <col min="12" max="16384" width="9.140625" style="15"/>
  </cols>
  <sheetData>
    <row r="2" spans="1:11" x14ac:dyDescent="0.25">
      <c r="E2" s="2"/>
      <c r="F2" s="2"/>
      <c r="G2" s="2"/>
    </row>
    <row r="3" spans="1:11" x14ac:dyDescent="0.25">
      <c r="F3" s="15" t="s">
        <v>106</v>
      </c>
      <c r="G3" s="15" t="s">
        <v>100</v>
      </c>
      <c r="H3" s="15" t="s">
        <v>95</v>
      </c>
      <c r="I3" s="15" t="s">
        <v>96</v>
      </c>
      <c r="J3" s="15" t="s">
        <v>59</v>
      </c>
    </row>
    <row r="4" spans="1:11" x14ac:dyDescent="0.25">
      <c r="A4" s="9" t="s">
        <v>46</v>
      </c>
      <c r="B4" s="10" t="s">
        <v>47</v>
      </c>
      <c r="C4" s="15" t="s">
        <v>60</v>
      </c>
      <c r="E4" s="2" t="s">
        <v>53</v>
      </c>
      <c r="F4" s="15" t="s">
        <v>107</v>
      </c>
      <c r="G4" s="15" t="s">
        <v>108</v>
      </c>
      <c r="H4" s="15" t="s">
        <v>109</v>
      </c>
      <c r="I4" s="15" t="s">
        <v>110</v>
      </c>
      <c r="J4" s="15" t="s">
        <v>111</v>
      </c>
      <c r="K4" s="15" t="s">
        <v>104</v>
      </c>
    </row>
    <row r="5" spans="1:11" x14ac:dyDescent="0.25">
      <c r="A5" s="9">
        <v>41395</v>
      </c>
      <c r="B5" s="11">
        <v>3411.58</v>
      </c>
      <c r="C5" s="15">
        <f>K5</f>
        <v>5800.6507930755615</v>
      </c>
      <c r="E5" s="15">
        <f>LINEST(LN(B5:B27),A5:A27)</f>
        <v>1.2797302173867338E-3</v>
      </c>
      <c r="F5" s="15">
        <f>INDEX(LINEST(B5:B27,A5:A27^{1,2,3,4}),1)</f>
        <v>-5.6415888638776155E-9</v>
      </c>
      <c r="G5" s="15">
        <f>INDEX(LINEST(B5:B27,A5:A27^{1,2,3,4}),1,2)</f>
        <v>6.2556833262099451E-4</v>
      </c>
      <c r="H5" s="15">
        <f>INDEX(LINEST(B5:B27,A5:A27^{1,2,3,4}),1,3)</f>
        <v>-19.508485752371257</v>
      </c>
      <c r="I5" s="15">
        <f>INDEX(LINEST(B5:B27,A5:A27^{1,2,3,4}),1,4)</f>
        <v>0</v>
      </c>
      <c r="J5" s="15">
        <f>INDEX(LINEST(B5:B27,A5:A27^{1,2,3,4}),1,5)</f>
        <v>5620791116.955122</v>
      </c>
      <c r="K5" s="8">
        <f>($F$5 * A5^4) + ($G$5 * A5^3) + ($H$5 * A5^2) + ($I$5 * A5 ^1) + $J$5</f>
        <v>5800.6507930755615</v>
      </c>
    </row>
    <row r="6" spans="1:11" x14ac:dyDescent="0.25">
      <c r="A6" s="9">
        <v>41426</v>
      </c>
      <c r="B6" s="11">
        <v>7401.1399999999994</v>
      </c>
      <c r="C6" s="15">
        <f t="shared" ref="C6:C27" si="0">K6</f>
        <v>6913.311056137085</v>
      </c>
      <c r="K6" s="8">
        <f t="shared" ref="K6:K27" si="1">($F$5 * A6^4) + ($G$5 * A6^3) + ($H$5 * A6^2) + ($I$5 * A6 ^1) + $J$5</f>
        <v>6913.311056137085</v>
      </c>
    </row>
    <row r="7" spans="1:11" x14ac:dyDescent="0.25">
      <c r="A7" s="9">
        <v>41456</v>
      </c>
      <c r="B7" s="11">
        <v>5770.2100000000019</v>
      </c>
      <c r="C7" s="15">
        <f t="shared" si="0"/>
        <v>8258.2828502655029</v>
      </c>
      <c r="K7" s="8">
        <f t="shared" si="1"/>
        <v>8258.2828502655029</v>
      </c>
    </row>
    <row r="8" spans="1:11" x14ac:dyDescent="0.25">
      <c r="A8" s="9">
        <v>41487</v>
      </c>
      <c r="B8" s="11">
        <v>9407.7100000000009</v>
      </c>
      <c r="C8" s="15">
        <f t="shared" si="0"/>
        <v>9871.3685207366943</v>
      </c>
      <c r="K8" s="8">
        <f t="shared" si="1"/>
        <v>9871.3685207366943</v>
      </c>
    </row>
    <row r="9" spans="1:11" x14ac:dyDescent="0.25">
      <c r="A9" s="9">
        <v>41518</v>
      </c>
      <c r="B9" s="11">
        <v>18151.690000000002</v>
      </c>
      <c r="C9" s="15">
        <f t="shared" si="0"/>
        <v>11656.527925491333</v>
      </c>
      <c r="K9" s="8">
        <f t="shared" si="1"/>
        <v>11656.527925491333</v>
      </c>
    </row>
    <row r="10" spans="1:11" x14ac:dyDescent="0.25">
      <c r="A10" s="9">
        <v>41548</v>
      </c>
      <c r="B10" s="11">
        <v>15915.650000000001</v>
      </c>
      <c r="C10" s="15">
        <f t="shared" si="0"/>
        <v>13495.581022262573</v>
      </c>
      <c r="K10" s="8">
        <f t="shared" si="1"/>
        <v>13495.581022262573</v>
      </c>
    </row>
    <row r="11" spans="1:11" x14ac:dyDescent="0.25">
      <c r="A11" s="9">
        <v>41579</v>
      </c>
      <c r="B11" s="11">
        <v>19427.440000000002</v>
      </c>
      <c r="C11" s="15">
        <f t="shared" si="0"/>
        <v>15456.907709121704</v>
      </c>
      <c r="K11" s="8">
        <f t="shared" si="1"/>
        <v>15456.907709121704</v>
      </c>
    </row>
    <row r="12" spans="1:11" x14ac:dyDescent="0.25">
      <c r="A12" s="9">
        <v>41609</v>
      </c>
      <c r="B12" s="11">
        <v>18272.479999999992</v>
      </c>
      <c r="C12" s="15">
        <f t="shared" si="0"/>
        <v>17361.952108383179</v>
      </c>
      <c r="K12" s="8">
        <f t="shared" si="1"/>
        <v>17361.952108383179</v>
      </c>
    </row>
    <row r="13" spans="1:11" x14ac:dyDescent="0.25">
      <c r="A13" s="9">
        <v>41640</v>
      </c>
      <c r="B13" s="11">
        <v>15391.42</v>
      </c>
      <c r="C13" s="15">
        <f t="shared" si="0"/>
        <v>19283.254072189331</v>
      </c>
      <c r="K13" s="8">
        <f t="shared" si="1"/>
        <v>19283.254072189331</v>
      </c>
    </row>
    <row r="14" spans="1:11" x14ac:dyDescent="0.25">
      <c r="A14" s="9">
        <v>41671</v>
      </c>
      <c r="B14" s="11">
        <v>17521.940000000002</v>
      </c>
      <c r="C14" s="15">
        <f t="shared" si="0"/>
        <v>21101.058992385864</v>
      </c>
      <c r="K14" s="8">
        <f t="shared" si="1"/>
        <v>21101.058992385864</v>
      </c>
    </row>
    <row r="15" spans="1:11" x14ac:dyDescent="0.25">
      <c r="A15" s="9">
        <v>41699</v>
      </c>
      <c r="B15" s="11">
        <v>21798.85</v>
      </c>
      <c r="C15" s="15">
        <f t="shared" si="0"/>
        <v>22607.240308761597</v>
      </c>
      <c r="K15" s="8">
        <f t="shared" si="1"/>
        <v>22607.240308761597</v>
      </c>
    </row>
    <row r="16" spans="1:11" x14ac:dyDescent="0.25">
      <c r="A16" s="9">
        <v>41730</v>
      </c>
      <c r="B16" s="11">
        <v>20310.409999999993</v>
      </c>
      <c r="C16" s="15">
        <f t="shared" si="0"/>
        <v>24072.680875778198</v>
      </c>
      <c r="K16" s="8">
        <f t="shared" si="1"/>
        <v>24072.680875778198</v>
      </c>
    </row>
    <row r="17" spans="1:11" x14ac:dyDescent="0.25">
      <c r="A17" s="9">
        <v>41760</v>
      </c>
      <c r="B17" s="11">
        <v>24829.47</v>
      </c>
      <c r="C17" s="15">
        <f t="shared" si="0"/>
        <v>25237.189065933228</v>
      </c>
      <c r="K17" s="8">
        <f t="shared" si="1"/>
        <v>25237.189065933228</v>
      </c>
    </row>
    <row r="18" spans="1:11" x14ac:dyDescent="0.25">
      <c r="A18" s="9">
        <v>41791</v>
      </c>
      <c r="B18" s="11">
        <v>28204.03</v>
      </c>
      <c r="C18" s="15">
        <f t="shared" si="0"/>
        <v>26123.342866897583</v>
      </c>
      <c r="K18" s="8">
        <f t="shared" si="1"/>
        <v>26123.342866897583</v>
      </c>
    </row>
    <row r="19" spans="1:11" x14ac:dyDescent="0.25">
      <c r="A19" s="9">
        <v>41821</v>
      </c>
      <c r="B19" s="11">
        <v>25760.629999999997</v>
      </c>
      <c r="C19" s="15">
        <f t="shared" si="0"/>
        <v>26621.155660629272</v>
      </c>
      <c r="K19" s="8">
        <f t="shared" si="1"/>
        <v>26621.155660629272</v>
      </c>
    </row>
    <row r="20" spans="1:11" x14ac:dyDescent="0.25">
      <c r="A20" s="9">
        <v>41852</v>
      </c>
      <c r="B20" s="11">
        <v>24127.400000000005</v>
      </c>
      <c r="C20" s="15">
        <f t="shared" si="0"/>
        <v>26708.519582748413</v>
      </c>
      <c r="K20" s="8">
        <f t="shared" si="1"/>
        <v>26708.519582748413</v>
      </c>
    </row>
    <row r="21" spans="1:11" x14ac:dyDescent="0.25">
      <c r="A21" s="9">
        <v>41883</v>
      </c>
      <c r="B21" s="11">
        <v>26603.609999999993</v>
      </c>
      <c r="C21" s="15">
        <f t="shared" si="0"/>
        <v>26305.51561164856</v>
      </c>
      <c r="K21" s="8">
        <f t="shared" si="1"/>
        <v>26305.51561164856</v>
      </c>
    </row>
    <row r="22" spans="1:11" x14ac:dyDescent="0.25">
      <c r="A22" s="9">
        <v>41913</v>
      </c>
      <c r="B22" s="11">
        <v>25815.109999999993</v>
      </c>
      <c r="C22" s="15">
        <f t="shared" si="0"/>
        <v>25394.87184715271</v>
      </c>
      <c r="K22" s="8">
        <f t="shared" si="1"/>
        <v>25394.87184715271</v>
      </c>
    </row>
    <row r="23" spans="1:11" x14ac:dyDescent="0.25">
      <c r="A23" s="9">
        <v>41944</v>
      </c>
      <c r="B23" s="11">
        <v>22678.340000000004</v>
      </c>
      <c r="C23" s="15">
        <f t="shared" si="0"/>
        <v>23860.222127914429</v>
      </c>
      <c r="K23" s="8">
        <f t="shared" si="1"/>
        <v>23860.222127914429</v>
      </c>
    </row>
    <row r="24" spans="1:11" x14ac:dyDescent="0.25">
      <c r="A24" s="9">
        <v>41974</v>
      </c>
      <c r="B24" s="11">
        <v>29134.39</v>
      </c>
      <c r="C24" s="15">
        <f t="shared" si="0"/>
        <v>21747.185747146606</v>
      </c>
      <c r="K24" s="8">
        <f t="shared" si="1"/>
        <v>21747.185747146606</v>
      </c>
    </row>
    <row r="25" spans="1:11" x14ac:dyDescent="0.25">
      <c r="A25" s="9">
        <v>42005</v>
      </c>
      <c r="B25" s="11">
        <v>20397.880000000005</v>
      </c>
      <c r="C25" s="15">
        <f t="shared" si="0"/>
        <v>18858.99757194519</v>
      </c>
      <c r="K25" s="8">
        <f t="shared" si="1"/>
        <v>18858.99757194519</v>
      </c>
    </row>
    <row r="26" spans="1:11" x14ac:dyDescent="0.25">
      <c r="A26" s="9">
        <v>42036</v>
      </c>
      <c r="B26" s="11">
        <v>19540.779999999995</v>
      </c>
      <c r="C26" s="15">
        <f t="shared" si="0"/>
        <v>15197.60431098938</v>
      </c>
      <c r="K26" s="8">
        <f t="shared" si="1"/>
        <v>15197.60431098938</v>
      </c>
    </row>
    <row r="27" spans="1:11" x14ac:dyDescent="0.25">
      <c r="A27" s="9">
        <v>42064</v>
      </c>
      <c r="B27" s="11">
        <v>3239.2400000000007</v>
      </c>
      <c r="C27" s="15">
        <f t="shared" si="0"/>
        <v>11177.979455947876</v>
      </c>
      <c r="K27" s="8">
        <f t="shared" si="1"/>
        <v>11177.979455947876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showGridLines="0" workbookViewId="0">
      <selection activeCell="C34" sqref="C34"/>
    </sheetView>
  </sheetViews>
  <sheetFormatPr defaultRowHeight="15" x14ac:dyDescent="0.25"/>
  <cols>
    <col min="1" max="1" width="9.140625" style="15"/>
    <col min="2" max="2" width="22.140625" style="15" customWidth="1"/>
    <col min="3" max="3" width="41.28515625" style="6" customWidth="1"/>
    <col min="4" max="4" width="41.7109375" style="6" customWidth="1"/>
    <col min="5" max="5" width="21.7109375" style="6" customWidth="1"/>
  </cols>
  <sheetData>
    <row r="1" spans="2:5" x14ac:dyDescent="0.25">
      <c r="C1" s="6" t="s">
        <v>32</v>
      </c>
      <c r="D1" s="6">
        <v>3</v>
      </c>
      <c r="E1" s="6" t="s">
        <v>33</v>
      </c>
    </row>
    <row r="2" spans="2:5" x14ac:dyDescent="0.25">
      <c r="C2" s="6" t="s">
        <v>29</v>
      </c>
      <c r="D2" s="6">
        <f>LN(D1)</f>
        <v>1.0986122886681098</v>
      </c>
      <c r="E2" s="6" t="s">
        <v>31</v>
      </c>
    </row>
    <row r="3" spans="2:5" x14ac:dyDescent="0.25">
      <c r="C3" s="6" t="s">
        <v>30</v>
      </c>
      <c r="D3" s="6">
        <f>EXP(D1)</f>
        <v>20.085536923187668</v>
      </c>
      <c r="E3" s="6" t="s">
        <v>30</v>
      </c>
    </row>
    <row r="4" spans="2:5" x14ac:dyDescent="0.25">
      <c r="C4" s="6" t="s">
        <v>31</v>
      </c>
      <c r="D4" s="6">
        <f>LOG(D1)</f>
        <v>0.47712125471966244</v>
      </c>
      <c r="E4" s="6" t="s">
        <v>34</v>
      </c>
    </row>
    <row r="5" spans="2:5" x14ac:dyDescent="0.25">
      <c r="C5" s="6" t="s">
        <v>37</v>
      </c>
      <c r="E5" s="6" t="s">
        <v>38</v>
      </c>
    </row>
    <row r="6" spans="2:5" x14ac:dyDescent="0.25">
      <c r="C6" s="6" t="s">
        <v>39</v>
      </c>
      <c r="E6" s="6" t="s">
        <v>40</v>
      </c>
    </row>
    <row r="9" spans="2:5" x14ac:dyDescent="0.25">
      <c r="C9" s="19"/>
      <c r="D9" s="19"/>
    </row>
    <row r="10" spans="2:5" ht="26.25" x14ac:dyDescent="0.4">
      <c r="B10" s="21"/>
      <c r="C10" s="25" t="s">
        <v>32</v>
      </c>
      <c r="D10" s="26" t="s">
        <v>33</v>
      </c>
    </row>
    <row r="11" spans="2:5" ht="18.75" x14ac:dyDescent="0.3">
      <c r="B11" s="17" t="s">
        <v>0</v>
      </c>
      <c r="C11" s="18"/>
      <c r="D11" s="18"/>
    </row>
    <row r="12" spans="2:5" x14ac:dyDescent="0.25">
      <c r="B12" s="15" t="s">
        <v>82</v>
      </c>
      <c r="C12" s="22" t="s">
        <v>83</v>
      </c>
      <c r="D12" s="24" t="s">
        <v>83</v>
      </c>
    </row>
    <row r="13" spans="2:5" x14ac:dyDescent="0.25">
      <c r="C13" s="22" t="s">
        <v>2</v>
      </c>
      <c r="D13" s="24" t="s">
        <v>77</v>
      </c>
    </row>
    <row r="14" spans="2:5" x14ac:dyDescent="0.25">
      <c r="C14" s="22" t="s">
        <v>3</v>
      </c>
      <c r="D14" s="24" t="s">
        <v>78</v>
      </c>
    </row>
    <row r="15" spans="2:5" x14ac:dyDescent="0.25">
      <c r="C15" s="22"/>
      <c r="D15" s="23"/>
    </row>
    <row r="16" spans="2:5" s="15" customFormat="1" ht="18.75" x14ac:dyDescent="0.3">
      <c r="B16" s="17" t="s">
        <v>4</v>
      </c>
      <c r="C16" s="18"/>
      <c r="D16" s="18"/>
      <c r="E16" s="6"/>
    </row>
    <row r="17" spans="2:5" x14ac:dyDescent="0.25">
      <c r="B17" s="15" t="s">
        <v>82</v>
      </c>
      <c r="C17" s="22" t="s">
        <v>84</v>
      </c>
      <c r="D17" s="24" t="s">
        <v>81</v>
      </c>
    </row>
    <row r="18" spans="2:5" x14ac:dyDescent="0.25">
      <c r="C18" s="22" t="s">
        <v>6</v>
      </c>
      <c r="D18" s="24" t="s">
        <v>79</v>
      </c>
    </row>
    <row r="19" spans="2:5" x14ac:dyDescent="0.25">
      <c r="C19" s="22" t="s">
        <v>7</v>
      </c>
      <c r="D19" s="24" t="s">
        <v>80</v>
      </c>
    </row>
    <row r="20" spans="2:5" x14ac:dyDescent="0.25">
      <c r="C20" s="22"/>
      <c r="D20" s="24"/>
    </row>
    <row r="21" spans="2:5" s="15" customFormat="1" ht="18.75" x14ac:dyDescent="0.3">
      <c r="B21" s="17" t="s">
        <v>8</v>
      </c>
      <c r="C21" s="18"/>
      <c r="D21" s="20"/>
      <c r="E21" s="6"/>
    </row>
    <row r="22" spans="2:5" x14ac:dyDescent="0.25">
      <c r="B22" s="15" t="s">
        <v>82</v>
      </c>
      <c r="C22" s="22" t="s">
        <v>67</v>
      </c>
      <c r="D22" s="24" t="s">
        <v>87</v>
      </c>
    </row>
    <row r="23" spans="2:5" x14ac:dyDescent="0.25">
      <c r="C23" s="22" t="s">
        <v>10</v>
      </c>
      <c r="D23" s="24" t="s">
        <v>88</v>
      </c>
    </row>
    <row r="24" spans="2:5" x14ac:dyDescent="0.25">
      <c r="C24" s="22" t="s">
        <v>11</v>
      </c>
      <c r="D24" s="24" t="s">
        <v>89</v>
      </c>
    </row>
    <row r="25" spans="2:5" x14ac:dyDescent="0.25">
      <c r="C25" s="22"/>
      <c r="D25" s="24"/>
    </row>
    <row r="26" spans="2:5" s="15" customFormat="1" ht="18.75" x14ac:dyDescent="0.3">
      <c r="B26" s="17" t="s">
        <v>12</v>
      </c>
      <c r="C26" s="18"/>
      <c r="D26" s="20"/>
      <c r="E26" s="6"/>
    </row>
    <row r="27" spans="2:5" x14ac:dyDescent="0.25">
      <c r="B27" s="15" t="s">
        <v>82</v>
      </c>
      <c r="C27" s="22" t="s">
        <v>85</v>
      </c>
      <c r="D27" s="24" t="s">
        <v>90</v>
      </c>
    </row>
    <row r="28" spans="2:5" x14ac:dyDescent="0.25">
      <c r="C28" s="22" t="s">
        <v>14</v>
      </c>
      <c r="D28" s="24" t="s">
        <v>91</v>
      </c>
    </row>
    <row r="29" spans="2:5" x14ac:dyDescent="0.25">
      <c r="C29" s="22" t="s">
        <v>15</v>
      </c>
      <c r="D29" s="24" t="s">
        <v>92</v>
      </c>
    </row>
    <row r="30" spans="2:5" x14ac:dyDescent="0.25">
      <c r="C30" s="22" t="s">
        <v>86</v>
      </c>
      <c r="D30" s="24" t="s">
        <v>93</v>
      </c>
    </row>
    <row r="31" spans="2:5" x14ac:dyDescent="0.25">
      <c r="D31" s="7"/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N1:U24"/>
  <sheetViews>
    <sheetView workbookViewId="0">
      <selection activeCell="R3" sqref="R3"/>
    </sheetView>
  </sheetViews>
  <sheetFormatPr defaultRowHeight="15" x14ac:dyDescent="0.25"/>
  <cols>
    <col min="14" max="14" width="10.7109375" style="12" bestFit="1" customWidth="1"/>
    <col min="16" max="16" width="12" customWidth="1"/>
    <col min="17" max="17" width="12.140625" customWidth="1"/>
    <col min="18" max="18" width="13.28515625" customWidth="1"/>
    <col min="19" max="19" width="13.42578125" customWidth="1"/>
    <col min="20" max="20" width="20.85546875" customWidth="1"/>
    <col min="21" max="21" width="22.7109375" customWidth="1"/>
  </cols>
  <sheetData>
    <row r="1" spans="14:21" s="2" customFormat="1" ht="30" x14ac:dyDescent="0.25">
      <c r="N1" s="14" t="s">
        <v>61</v>
      </c>
      <c r="O1" s="2" t="s">
        <v>41</v>
      </c>
      <c r="P1" s="2" t="s">
        <v>62</v>
      </c>
      <c r="Q1" s="2" t="s">
        <v>63</v>
      </c>
      <c r="R1" s="2" t="s">
        <v>64</v>
      </c>
      <c r="S1" s="2" t="s">
        <v>12</v>
      </c>
      <c r="T1" s="2" t="s">
        <v>16</v>
      </c>
      <c r="U1" s="2" t="s">
        <v>21</v>
      </c>
    </row>
    <row r="2" spans="14:21" x14ac:dyDescent="0.25">
      <c r="N2" s="13">
        <v>41395</v>
      </c>
      <c r="O2" s="11">
        <v>3411.58</v>
      </c>
      <c r="P2">
        <f>'Linear Trendline'!I5</f>
        <v>11693.362963641062</v>
      </c>
      <c r="Q2">
        <f>'Logarithmic Trendline'!I5</f>
        <v>11617.605768820271</v>
      </c>
      <c r="R2" s="8">
        <f>'Power Trendline'!I5</f>
        <v>10152.125882212409</v>
      </c>
      <c r="S2" s="8">
        <f>'Exponential Trendline'!I5</f>
        <v>10180.148218159708</v>
      </c>
      <c r="T2" t="e">
        <f>'2nd Order Polynomial Trend'!#REF!</f>
        <v>#REF!</v>
      </c>
      <c r="U2">
        <f>'3rd Order Polynomial Trend'!C5</f>
        <v>5799.7854156494141</v>
      </c>
    </row>
    <row r="3" spans="14:21" x14ac:dyDescent="0.25">
      <c r="N3" s="13">
        <v>41426</v>
      </c>
      <c r="O3" s="11">
        <v>7401.1399999999994</v>
      </c>
      <c r="P3" s="15">
        <f>'Linear Trendline'!I6</f>
        <v>12312.736422288581</v>
      </c>
      <c r="Q3" s="15">
        <f>'Logarithmic Trendline'!I6</f>
        <v>12252.358747830614</v>
      </c>
      <c r="R3" s="8">
        <f>'Power Trendline'!I6</f>
        <v>10594.775037805695</v>
      </c>
      <c r="S3" s="8">
        <f>'Exponential Trendline'!I6</f>
        <v>10619.000861019793</v>
      </c>
      <c r="T3" s="15">
        <f>'2nd Order Polynomial Trend'!C6</f>
        <v>5114.6180354356766</v>
      </c>
      <c r="U3" s="15">
        <f>'3rd Order Polynomial Trend'!C6</f>
        <v>6908.4434814453125</v>
      </c>
    </row>
    <row r="4" spans="14:21" x14ac:dyDescent="0.25">
      <c r="N4" s="13">
        <v>41456</v>
      </c>
      <c r="O4" s="11">
        <v>5770.2100000000019</v>
      </c>
      <c r="P4" s="15">
        <f>'Linear Trendline'!I7</f>
        <v>12912.130091947503</v>
      </c>
      <c r="Q4" s="15">
        <f>'Logarithmic Trendline'!I7</f>
        <v>12866.183723045513</v>
      </c>
      <c r="R4" s="8">
        <f>'Power Trendline'!I7</f>
        <v>11041.177423661347</v>
      </c>
      <c r="S4" s="8">
        <f>'Exponential Trendline'!I7</f>
        <v>11061.701501069427</v>
      </c>
      <c r="T4" s="15">
        <f>'2nd Order Polynomial Trend'!C7</f>
        <v>8120.4212258756161</v>
      </c>
      <c r="U4" s="15">
        <f>'3rd Order Polynomial Trend'!C7</f>
        <v>8252.5433731079102</v>
      </c>
    </row>
    <row r="5" spans="14:21" x14ac:dyDescent="0.25">
      <c r="N5" s="13">
        <v>41487</v>
      </c>
      <c r="O5" s="11">
        <v>9407.7100000000009</v>
      </c>
      <c r="P5" s="15">
        <f>'Linear Trendline'!I8</f>
        <v>13531.503550594905</v>
      </c>
      <c r="Q5" s="15">
        <f>'Logarithmic Trendline'!I8</f>
        <v>13500.003050385043</v>
      </c>
      <c r="R5" s="8">
        <f>'Power Trendline'!I8</f>
        <v>11521.867367731735</v>
      </c>
      <c r="S5" s="8">
        <f>'Exponential Trendline'!I8</f>
        <v>11538.556732863923</v>
      </c>
      <c r="T5" s="15">
        <f>'2nd Order Polynomial Trend'!C8</f>
        <v>10965.297677874565</v>
      </c>
      <c r="U5" s="15">
        <f>'3rd Order Polynomial Trend'!C8</f>
        <v>9866.86865234375</v>
      </c>
    </row>
    <row r="6" spans="14:21" x14ac:dyDescent="0.25">
      <c r="N6" s="13">
        <v>41518</v>
      </c>
      <c r="O6" s="11">
        <v>18151.690000000002</v>
      </c>
      <c r="P6" s="15">
        <f>'Linear Trendline'!I9</f>
        <v>14150.877009242424</v>
      </c>
      <c r="Q6" s="15">
        <f>'Logarithmic Trendline'!I9</f>
        <v>14133.348950797692</v>
      </c>
      <c r="R6" s="8">
        <f>'Power Trendline'!I9</f>
        <v>12023.101969695022</v>
      </c>
      <c r="S6" s="8">
        <f>'Exponential Trendline'!I9</f>
        <v>12035.968559145147</v>
      </c>
      <c r="T6" s="15">
        <f>'2nd Order Polynomial Trend'!C9</f>
        <v>13544.77329313755</v>
      </c>
      <c r="U6" s="15">
        <f>'3rd Order Polynomial Trend'!C9</f>
        <v>11654.589645385742</v>
      </c>
    </row>
    <row r="7" spans="14:21" x14ac:dyDescent="0.25">
      <c r="N7" s="13">
        <v>41548</v>
      </c>
      <c r="O7" s="11">
        <v>15915.650000000001</v>
      </c>
      <c r="P7" s="15">
        <f>'Linear Trendline'!I10</f>
        <v>14750.270678901346</v>
      </c>
      <c r="Q7" s="15">
        <f>'Logarithmic Trendline'!I10</f>
        <v>14745.81423847191</v>
      </c>
      <c r="R7" s="8">
        <f>'Power Trendline'!I10</f>
        <v>12528.540370685756</v>
      </c>
      <c r="S7" s="8">
        <f>'Exponential Trendline'!I10</f>
        <v>12537.741847845971</v>
      </c>
      <c r="T7" s="15">
        <f>'2nd Order Polynomial Trend'!C10</f>
        <v>15788.343070983887</v>
      </c>
      <c r="U7" s="15">
        <f>'3rd Order Polynomial Trend'!C10</f>
        <v>13496.68342590332</v>
      </c>
    </row>
    <row r="8" spans="14:21" x14ac:dyDescent="0.25">
      <c r="N8" s="13">
        <v>41579</v>
      </c>
      <c r="O8" s="11">
        <v>19427.440000000002</v>
      </c>
      <c r="P8" s="15">
        <f>'Linear Trendline'!I11</f>
        <v>15369.644137548748</v>
      </c>
      <c r="Q8" s="15">
        <f>'Logarithmic Trendline'!I11</f>
        <v>15378.230618910864</v>
      </c>
      <c r="R8" s="8">
        <f>'Power Trendline'!I11</f>
        <v>13072.751136118135</v>
      </c>
      <c r="S8" s="8">
        <f>'Exponential Trendline'!I11</f>
        <v>13078.227214808381</v>
      </c>
      <c r="T8" s="15">
        <f>'2nd Order Polynomial Trend'!C11</f>
        <v>17845.578330010176</v>
      </c>
      <c r="U8" s="15">
        <f>'3rd Order Polynomial Trend'!C11</f>
        <v>15461.133178710938</v>
      </c>
    </row>
    <row r="9" spans="14:21" x14ac:dyDescent="0.25">
      <c r="N9" s="13">
        <v>41609</v>
      </c>
      <c r="O9" s="11">
        <v>18272.479999999992</v>
      </c>
      <c r="P9" s="15">
        <f>'Linear Trendline'!I12</f>
        <v>15969.037807207671</v>
      </c>
      <c r="Q9" s="15">
        <f>'Logarithmic Trendline'!I12</f>
        <v>15989.797690836713</v>
      </c>
      <c r="R9" s="8">
        <f>'Power Trendline'!I12</f>
        <v>13621.493018272162</v>
      </c>
      <c r="S9" s="8">
        <f>'Exponential Trendline'!I12</f>
        <v>13623.451726463065</v>
      </c>
      <c r="T9" s="15">
        <f>'2nd Order Polynomial Trend'!C12</f>
        <v>19583.754214733839</v>
      </c>
      <c r="U9" s="15">
        <f>'3rd Order Polynomial Trend'!C12</f>
        <v>17368.722297668457</v>
      </c>
    </row>
    <row r="10" spans="14:21" x14ac:dyDescent="0.25">
      <c r="N10" s="13">
        <v>41640</v>
      </c>
      <c r="O10" s="11">
        <v>15391.42</v>
      </c>
      <c r="P10" s="15">
        <f>'Linear Trendline'!I13</f>
        <v>16588.411265855189</v>
      </c>
      <c r="Q10" s="15">
        <f>'Logarithmic Trendline'!I13</f>
        <v>16621.287275690585</v>
      </c>
      <c r="R10" s="8">
        <f>'Power Trendline'!I13</f>
        <v>14212.293470303852</v>
      </c>
      <c r="S10" s="8">
        <f>'Exponential Trendline'!I13</f>
        <v>14210.740601527785</v>
      </c>
      <c r="T10" s="15">
        <f>'2nd Order Polynomial Trend'!C13</f>
        <v>21118.749117553234</v>
      </c>
      <c r="U10" s="15">
        <f>'3rd Order Polynomial Trend'!C13</f>
        <v>19291.800331115723</v>
      </c>
    </row>
    <row r="11" spans="14:21" x14ac:dyDescent="0.25">
      <c r="N11" s="13">
        <v>41671</v>
      </c>
      <c r="O11" s="11">
        <v>17521.940000000002</v>
      </c>
      <c r="P11" s="15">
        <f>'Linear Trendline'!I14</f>
        <v>17207.784724502708</v>
      </c>
      <c r="Q11" s="15">
        <f>'Logarithmic Trendline'!I14</f>
        <v>17252.306906303391</v>
      </c>
      <c r="R11" s="8">
        <f>'Power Trendline'!I14</f>
        <v>14828.249968878388</v>
      </c>
      <c r="S11" s="8">
        <f>'Exponential Trendline'!I14</f>
        <v>14823.346718485274</v>
      </c>
      <c r="T11" s="15">
        <f>'2nd Order Polynomial Trend'!C14</f>
        <v>22388.343183577061</v>
      </c>
      <c r="U11" s="15">
        <f>'3rd Order Polynomial Trend'!C14</f>
        <v>21110.270668029785</v>
      </c>
    </row>
    <row r="12" spans="14:21" x14ac:dyDescent="0.25">
      <c r="N12" s="13">
        <v>41699</v>
      </c>
      <c r="O12" s="11">
        <v>21798.85</v>
      </c>
      <c r="P12" s="15">
        <f>'Linear Trendline'!I15</f>
        <v>17767.218816184322</v>
      </c>
      <c r="Q12" s="15">
        <f>'Logarithmic Trendline'!I15</f>
        <v>17821.85676677525</v>
      </c>
      <c r="R12" s="8">
        <f>'Power Trendline'!I15</f>
        <v>15407.093467470098</v>
      </c>
      <c r="S12" s="8">
        <f>'Exponential Trendline'!I15</f>
        <v>15399.335958735253</v>
      </c>
      <c r="T12" s="15">
        <f>'2nd Order Polynomial Trend'!C15</f>
        <v>23306.955627053976</v>
      </c>
      <c r="U12" s="15">
        <f>'3rd Order Polynomial Trend'!C15</f>
        <v>22615.994529724121</v>
      </c>
    </row>
    <row r="13" spans="14:21" x14ac:dyDescent="0.25">
      <c r="N13" s="13">
        <v>41730</v>
      </c>
      <c r="O13" s="11">
        <v>20310.409999999993</v>
      </c>
      <c r="P13" s="15">
        <f>'Linear Trendline'!I16</f>
        <v>18386.592274831724</v>
      </c>
      <c r="Q13" s="15">
        <f>'Logarithmic Trendline'!I16</f>
        <v>18451.983898097649</v>
      </c>
      <c r="R13" s="8">
        <f>'Power Trendline'!I16</f>
        <v>16073.867655032816</v>
      </c>
      <c r="S13" s="8">
        <f>'Exponential Trendline'!I16</f>
        <v>16063.180839866252</v>
      </c>
      <c r="T13" s="15">
        <f>'2nd Order Polynomial Trend'!C16</f>
        <v>24071.431971490383</v>
      </c>
      <c r="U13" s="15">
        <f>'3rd Order Polynomial Trend'!C16</f>
        <v>24079.754196166992</v>
      </c>
    </row>
    <row r="14" spans="14:21" x14ac:dyDescent="0.25">
      <c r="N14" s="13">
        <v>41760</v>
      </c>
      <c r="O14" s="11">
        <v>24829.47</v>
      </c>
      <c r="P14" s="15">
        <f>'Linear Trendline'!I17</f>
        <v>18985.985944490647</v>
      </c>
      <c r="Q14" s="15">
        <f>'Logarithmic Trendline'!I17</f>
        <v>19061.338809626177</v>
      </c>
      <c r="R14" s="8">
        <f>'Power Trendline'!I17</f>
        <v>16746.093501454325</v>
      </c>
      <c r="S14" s="8">
        <f>'Exponential Trendline'!I17</f>
        <v>16732.846520480842</v>
      </c>
      <c r="T14" s="15">
        <f>'2nd Order Polynomial Trend'!C17</f>
        <v>24558.550842136145</v>
      </c>
      <c r="U14" s="15">
        <f>'3rd Order Polynomial Trend'!C17</f>
        <v>25241.568336486816</v>
      </c>
    </row>
    <row r="15" spans="14:21" x14ac:dyDescent="0.25">
      <c r="N15" s="13">
        <v>41791</v>
      </c>
      <c r="O15" s="11">
        <v>28204.03</v>
      </c>
      <c r="P15" s="15">
        <f>'Linear Trendline'!I18</f>
        <v>19605.359403138165</v>
      </c>
      <c r="Q15" s="15">
        <f>'Logarithmic Trendline'!I18</f>
        <v>19690.545838052407</v>
      </c>
      <c r="R15" s="8">
        <f>'Power Trendline'!I18</f>
        <v>17469.734944394102</v>
      </c>
      <c r="S15" s="8">
        <f>'Exponential Trendline'!I18</f>
        <v>17454.177267413004</v>
      </c>
      <c r="T15" s="15">
        <f>'2nd Order Polynomial Trend'!C18</f>
        <v>24800.786830365658</v>
      </c>
      <c r="U15" s="15">
        <f>'3rd Order Polynomial Trend'!C18</f>
        <v>26124.068161010742</v>
      </c>
    </row>
    <row r="16" spans="14:21" x14ac:dyDescent="0.25">
      <c r="N16" s="13">
        <v>41821</v>
      </c>
      <c r="O16" s="11">
        <v>25760.629999999997</v>
      </c>
      <c r="P16" s="15">
        <f>'Linear Trendline'!I19</f>
        <v>20204.753072796972</v>
      </c>
      <c r="Q16" s="15">
        <f>'Logarithmic Trendline'!I19</f>
        <v>20299.011627137661</v>
      </c>
      <c r="R16" s="8">
        <f>'Power Trendline'!I19</f>
        <v>18199.249419451891</v>
      </c>
      <c r="S16" s="8">
        <f>'Exponential Trendline'!I19</f>
        <v>18181.832867874215</v>
      </c>
      <c r="T16" s="15">
        <f>'2nd Order Polynomial Trend'!C19</f>
        <v>24782.511807858944</v>
      </c>
      <c r="U16" s="15">
        <f>'3rd Order Polynomial Trend'!C19</f>
        <v>26617.840278625488</v>
      </c>
    </row>
    <row r="17" spans="14:21" x14ac:dyDescent="0.25">
      <c r="N17" s="13">
        <v>41852</v>
      </c>
      <c r="O17" s="11">
        <v>24127.400000000005</v>
      </c>
      <c r="P17" s="15">
        <f>'Linear Trendline'!I20</f>
        <v>20824.12653144449</v>
      </c>
      <c r="Q17" s="15">
        <f>'Logarithmic Trendline'!I20</f>
        <v>20927.301235791296</v>
      </c>
      <c r="R17" s="8">
        <f>'Power Trendline'!I20</f>
        <v>18984.514380258675</v>
      </c>
      <c r="S17" s="8">
        <f>'Exponential Trendline'!I20</f>
        <v>18965.627488061778</v>
      </c>
      <c r="T17" s="15">
        <f>'2nd Order Polynomial Trend'!C20</f>
        <v>24502.507439881563</v>
      </c>
      <c r="U17" s="15">
        <f>'3rd Order Polynomial Trend'!C20</f>
        <v>26700.979766845703</v>
      </c>
    </row>
    <row r="18" spans="14:21" x14ac:dyDescent="0.25">
      <c r="N18" s="13">
        <v>41883</v>
      </c>
      <c r="O18" s="11">
        <v>26603.609999999993</v>
      </c>
      <c r="P18" s="15">
        <f>'Linear Trendline'!I21</f>
        <v>21443.499990092008</v>
      </c>
      <c r="Q18" s="15">
        <f>'Logarithmic Trendline'!I21</f>
        <v>21555.125639226288</v>
      </c>
      <c r="R18" s="8">
        <f>'Power Trendline'!I21</f>
        <v>19803.042701481612</v>
      </c>
      <c r="S18" s="8">
        <f>'Exponential Trendline'!I21</f>
        <v>19783.210451322306</v>
      </c>
      <c r="T18" s="15">
        <f>'2nd Order Polynomial Trend'!C21</f>
        <v>23957.102235108614</v>
      </c>
      <c r="U18" s="15">
        <f>'3rd Order Polynomial Trend'!C21</f>
        <v>26294.304229736328</v>
      </c>
    </row>
    <row r="19" spans="14:21" x14ac:dyDescent="0.25">
      <c r="N19" s="13">
        <v>41913</v>
      </c>
      <c r="O19" s="11">
        <v>25815.109999999993</v>
      </c>
      <c r="P19" s="15">
        <f>'Linear Trendline'!I22</f>
        <v>22042.893659750815</v>
      </c>
      <c r="Q19" s="15">
        <f>'Logarithmic Trendline'!I22</f>
        <v>22162.255353620276</v>
      </c>
      <c r="R19" s="8">
        <f>'Power Trendline'!I22</f>
        <v>20628.140077497108</v>
      </c>
      <c r="S19" s="8">
        <f>'Exponential Trendline'!I22</f>
        <v>20607.962237640309</v>
      </c>
      <c r="T19" s="15">
        <f>'2nd Order Polynomial Trend'!C22</f>
        <v>23176.593800127506</v>
      </c>
      <c r="U19" s="15">
        <f>'3rd Order Polynomial Trend'!C22</f>
        <v>25381.323532104492</v>
      </c>
    </row>
    <row r="20" spans="14:21" x14ac:dyDescent="0.25">
      <c r="N20" s="13">
        <v>41944</v>
      </c>
      <c r="O20" s="11">
        <v>22678.340000000004</v>
      </c>
      <c r="P20" s="15">
        <f>'Linear Trendline'!I23</f>
        <v>22662.267118398333</v>
      </c>
      <c r="Q20" s="15">
        <f>'Logarithmic Trendline'!I23</f>
        <v>22789.16636181809</v>
      </c>
      <c r="R20" s="8">
        <f>'Power Trendline'!I23</f>
        <v>21516.212868023569</v>
      </c>
      <c r="S20" s="8">
        <f>'Exponential Trendline'!I23</f>
        <v>21496.344066483922</v>
      </c>
      <c r="T20" s="15">
        <f>'2nd Order Polynomial Trend'!C23</f>
        <v>22108.948239147663</v>
      </c>
      <c r="U20" s="15">
        <f>'3rd Order Polynomial Trend'!C23</f>
        <v>23846.349197387695</v>
      </c>
    </row>
    <row r="21" spans="14:21" x14ac:dyDescent="0.25">
      <c r="N21" s="13">
        <v>41974</v>
      </c>
      <c r="O21" s="11">
        <v>29134.39</v>
      </c>
      <c r="P21" s="15">
        <f>'Linear Trendline'!I24</f>
        <v>23261.660788057256</v>
      </c>
      <c r="Q21" s="15">
        <f>'Logarithmic Trendline'!I24</f>
        <v>23395.413430875167</v>
      </c>
      <c r="R21" s="8">
        <f>'Power Trendline'!I24</f>
        <v>22411.359750044667</v>
      </c>
      <c r="S21" s="8">
        <f>'Exponential Trendline'!I24</f>
        <v>22392.515504975134</v>
      </c>
      <c r="T21" s="15">
        <f>'2nd Order Polynomial Trend'!C24</f>
        <v>20823.045910984278</v>
      </c>
      <c r="U21" s="15">
        <f>'3rd Order Polynomial Trend'!C24</f>
        <v>21735.933952331543</v>
      </c>
    </row>
    <row r="22" spans="14:21" x14ac:dyDescent="0.25">
      <c r="N22" s="13">
        <v>42005</v>
      </c>
      <c r="O22" s="11">
        <v>20397.880000000005</v>
      </c>
      <c r="P22" s="15">
        <f>'Linear Trendline'!I25</f>
        <v>23881.034246704658</v>
      </c>
      <c r="Q22" s="15">
        <f>'Logarithmic Trendline'!I25</f>
        <v>24021.413697699085</v>
      </c>
      <c r="R22" s="8">
        <f>'Power Trendline'!I25</f>
        <v>23374.771483845208</v>
      </c>
      <c r="S22" s="8">
        <f>'Exponential Trendline'!I25</f>
        <v>23357.827050450869</v>
      </c>
      <c r="T22" s="15">
        <f>'2nd Order Polynomial Trend'!C25</f>
        <v>19233.159993767738</v>
      </c>
      <c r="U22" s="15">
        <f>'3rd Order Polynomial Trend'!C25</f>
        <v>18854.560340881348</v>
      </c>
    </row>
    <row r="23" spans="14:21" x14ac:dyDescent="0.25">
      <c r="N23" s="13">
        <v>42036</v>
      </c>
      <c r="O23" s="11">
        <v>19540.779999999995</v>
      </c>
      <c r="P23" s="15">
        <f>'Linear Trendline'!I26</f>
        <v>24500.407705352176</v>
      </c>
      <c r="Q23" s="15">
        <f>'Logarithmic Trendline'!I26</f>
        <v>24646.952142076567</v>
      </c>
      <c r="R23" s="8">
        <f>'Power Trendline'!I26</f>
        <v>24378.841032055388</v>
      </c>
      <c r="S23" s="8">
        <f>'Exponential Trendline'!I26</f>
        <v>24364.751892102191</v>
      </c>
      <c r="T23" s="15">
        <f>'2nd Order Polynomial Trend'!C26</f>
        <v>17377.873239815235</v>
      </c>
      <c r="U23" s="15">
        <f>'3rd Order Polynomial Trend'!C26</f>
        <v>15205.368301391602</v>
      </c>
    </row>
    <row r="24" spans="14:21" x14ac:dyDescent="0.25">
      <c r="N24" s="13">
        <v>42064</v>
      </c>
      <c r="O24" s="11">
        <v>3239.2400000000007</v>
      </c>
      <c r="P24" s="15">
        <f>'Linear Trendline'!I27</f>
        <v>25059.84179703379</v>
      </c>
      <c r="Q24" s="15">
        <f>'Logarithmic Trendline'!I27</f>
        <v>25211.558228125796</v>
      </c>
      <c r="R24" s="8">
        <f>'Power Trendline'!I27</f>
        <v>25322.088144688587</v>
      </c>
      <c r="S24" s="8">
        <f>'Exponential Trendline'!I27</f>
        <v>25311.490519871571</v>
      </c>
      <c r="T24" s="15">
        <f>'2nd Order Polynomial Trend'!C27</f>
        <v>15474.012684494257</v>
      </c>
      <c r="U24" s="15">
        <f>'3rd Order Polynomial Trend'!C27</f>
        <v>11202.514656066895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48"/>
  <sheetViews>
    <sheetView workbookViewId="0">
      <selection activeCell="C5" sqref="C5"/>
    </sheetView>
  </sheetViews>
  <sheetFormatPr defaultRowHeight="15" x14ac:dyDescent="0.25"/>
  <cols>
    <col min="1" max="1" width="17.42578125" style="8" customWidth="1"/>
    <col min="2" max="2" width="15" style="11" customWidth="1"/>
    <col min="6" max="6" width="70.140625" customWidth="1"/>
    <col min="7" max="7" width="22.5703125" style="15" customWidth="1"/>
    <col min="8" max="8" width="37.85546875" customWidth="1"/>
    <col min="9" max="9" width="25.28515625" style="15" customWidth="1"/>
    <col min="10" max="10" width="18.140625" style="15" customWidth="1"/>
    <col min="11" max="11" width="15.28515625" style="15" customWidth="1"/>
    <col min="12" max="12" width="18.140625" style="15" customWidth="1"/>
    <col min="13" max="13" width="10.28515625" customWidth="1"/>
    <col min="14" max="14" width="21.28515625" customWidth="1"/>
    <col min="15" max="15" width="22.140625" customWidth="1"/>
    <col min="16" max="16" width="27.5703125" customWidth="1"/>
    <col min="17" max="17" width="25.5703125" customWidth="1"/>
  </cols>
  <sheetData>
    <row r="1" spans="1:17" s="15" customFormat="1" x14ac:dyDescent="0.25">
      <c r="A1" s="8"/>
      <c r="B1" s="11"/>
    </row>
    <row r="2" spans="1:17" s="15" customFormat="1" ht="30" x14ac:dyDescent="0.25">
      <c r="A2" s="8"/>
      <c r="B2" s="11"/>
      <c r="F2" s="2" t="s">
        <v>56</v>
      </c>
      <c r="H2" s="2" t="s">
        <v>57</v>
      </c>
    </row>
    <row r="3" spans="1:17" s="15" customFormat="1" x14ac:dyDescent="0.25">
      <c r="A3" s="8"/>
      <c r="B3" s="11"/>
    </row>
    <row r="4" spans="1:17" x14ac:dyDescent="0.25">
      <c r="A4" s="9" t="s">
        <v>46</v>
      </c>
      <c r="B4" s="10" t="s">
        <v>47</v>
      </c>
      <c r="C4" t="s">
        <v>60</v>
      </c>
      <c r="E4" t="s">
        <v>42</v>
      </c>
      <c r="F4" s="2" t="s">
        <v>51</v>
      </c>
      <c r="G4" s="15" t="s">
        <v>54</v>
      </c>
      <c r="H4" t="s">
        <v>43</v>
      </c>
      <c r="I4" s="15" t="s">
        <v>55</v>
      </c>
      <c r="M4" t="s">
        <v>44</v>
      </c>
      <c r="N4" t="s">
        <v>45</v>
      </c>
      <c r="O4" s="1" t="s">
        <v>49</v>
      </c>
      <c r="P4" s="1" t="s">
        <v>52</v>
      </c>
      <c r="Q4" s="1" t="s">
        <v>53</v>
      </c>
    </row>
    <row r="5" spans="1:17" x14ac:dyDescent="0.25">
      <c r="A5" s="9">
        <v>41395</v>
      </c>
      <c r="B5" s="11">
        <v>3411.58</v>
      </c>
      <c r="C5">
        <f>I5</f>
        <v>11693.362963641062</v>
      </c>
      <c r="E5">
        <f>SLOPE(B:B,A:A)</f>
        <v>19.979788988628872</v>
      </c>
      <c r="F5">
        <f>LINEST(B5:B27,A5:A27)</f>
        <v>19.979788988628879</v>
      </c>
      <c r="G5" s="15">
        <f>LINEST($B$5:$B$27,$A$5:$A$27)*A5</f>
        <v>827063.36518429243</v>
      </c>
      <c r="H5">
        <f>INTERCEPT(B:B,A:A)</f>
        <v>-815370.00222065137</v>
      </c>
      <c r="I5" s="15">
        <f>G5+H5</f>
        <v>11693.362963641062</v>
      </c>
      <c r="M5">
        <f>LN(A:A)</f>
        <v>10.630915379572906</v>
      </c>
      <c r="N5">
        <f>LN(B:B)</f>
        <v>8.1349308060757952</v>
      </c>
      <c r="O5" s="8">
        <f>LINEST(B5:B27,LN(A5:A27))</f>
        <v>836015.89008859079</v>
      </c>
      <c r="P5" s="8">
        <f>LINEST(LN(B5:B27),LN(A5:A27))</f>
        <v>53.607581748844375</v>
      </c>
      <c r="Q5">
        <f>LINEST(LN(B5:B27),A5:A27)</f>
        <v>1.2797302173867338E-3</v>
      </c>
    </row>
    <row r="6" spans="1:17" x14ac:dyDescent="0.25">
      <c r="A6" s="9">
        <v>41426</v>
      </c>
      <c r="B6" s="11">
        <v>7401.1399999999994</v>
      </c>
      <c r="C6" s="15">
        <f t="shared" ref="C6:C27" si="0">I6</f>
        <v>12312.736422288581</v>
      </c>
      <c r="G6" s="15">
        <f>LINEST($B$5:$B$27,$A$5:$A$27)*A6</f>
        <v>827682.73864293995</v>
      </c>
      <c r="H6" s="15">
        <f>INTERCEPT(B:B,A:A)</f>
        <v>-815370.00222065137</v>
      </c>
      <c r="I6" s="15">
        <f t="shared" ref="I6:I27" si="1">G6+H6</f>
        <v>12312.736422288581</v>
      </c>
    </row>
    <row r="7" spans="1:17" x14ac:dyDescent="0.25">
      <c r="A7" s="9">
        <v>41456</v>
      </c>
      <c r="B7" s="11">
        <v>5770.2100000000019</v>
      </c>
      <c r="C7" s="15">
        <f t="shared" si="0"/>
        <v>12912.130091947503</v>
      </c>
      <c r="G7" s="15">
        <f>LINEST($B$5:$B$27,$A$5:$A$27)*A7</f>
        <v>828282.13231259887</v>
      </c>
      <c r="H7" s="15">
        <f>INTERCEPT(B:B,A:A)</f>
        <v>-815370.00222065137</v>
      </c>
      <c r="I7" s="15">
        <f t="shared" si="1"/>
        <v>12912.130091947503</v>
      </c>
    </row>
    <row r="8" spans="1:17" x14ac:dyDescent="0.25">
      <c r="A8" s="9">
        <v>41487</v>
      </c>
      <c r="B8" s="11">
        <v>9407.7100000000009</v>
      </c>
      <c r="C8" s="15">
        <f t="shared" si="0"/>
        <v>13531.503550594905</v>
      </c>
      <c r="G8" s="15">
        <f>LINEST($B$5:$B$27,$A$5:$A$27)*A8</f>
        <v>828901.50577124627</v>
      </c>
      <c r="H8" s="15">
        <f>INTERCEPT(B:B,A:A)</f>
        <v>-815370.00222065137</v>
      </c>
      <c r="I8" s="15">
        <f t="shared" si="1"/>
        <v>13531.503550594905</v>
      </c>
    </row>
    <row r="9" spans="1:17" x14ac:dyDescent="0.25">
      <c r="A9" s="9">
        <v>41518</v>
      </c>
      <c r="B9" s="11">
        <v>18151.690000000002</v>
      </c>
      <c r="C9" s="15">
        <f t="shared" si="0"/>
        <v>14150.877009242424</v>
      </c>
      <c r="G9" s="15">
        <f>LINEST($B$5:$B$27,$A$5:$A$27)*A9</f>
        <v>829520.87922989379</v>
      </c>
      <c r="H9" s="15">
        <f>INTERCEPT(B:B,A:A)</f>
        <v>-815370.00222065137</v>
      </c>
      <c r="I9" s="15">
        <f t="shared" si="1"/>
        <v>14150.877009242424</v>
      </c>
    </row>
    <row r="10" spans="1:17" x14ac:dyDescent="0.25">
      <c r="A10" s="9">
        <v>41548</v>
      </c>
      <c r="B10" s="11">
        <v>15915.650000000001</v>
      </c>
      <c r="C10" s="15">
        <f t="shared" si="0"/>
        <v>14750.270678901346</v>
      </c>
      <c r="G10" s="15">
        <f>LINEST($B$5:$B$27,$A$5:$A$27)*A10</f>
        <v>830120.27289955271</v>
      </c>
      <c r="H10" s="15">
        <f>INTERCEPT(B:B,A:A)</f>
        <v>-815370.00222065137</v>
      </c>
      <c r="I10" s="15">
        <f t="shared" si="1"/>
        <v>14750.270678901346</v>
      </c>
    </row>
    <row r="11" spans="1:17" x14ac:dyDescent="0.25">
      <c r="A11" s="9">
        <v>41579</v>
      </c>
      <c r="B11" s="11">
        <v>19427.440000000002</v>
      </c>
      <c r="C11" s="15">
        <f t="shared" si="0"/>
        <v>15369.644137548748</v>
      </c>
      <c r="G11" s="15">
        <f>LINEST($B$5:$B$27,$A$5:$A$27)*A11</f>
        <v>830739.64635820012</v>
      </c>
      <c r="H11" s="15">
        <f>INTERCEPT(B:B,A:A)</f>
        <v>-815370.00222065137</v>
      </c>
      <c r="I11" s="15">
        <f t="shared" si="1"/>
        <v>15369.644137548748</v>
      </c>
    </row>
    <row r="12" spans="1:17" x14ac:dyDescent="0.25">
      <c r="A12" s="9">
        <v>41609</v>
      </c>
      <c r="B12" s="11">
        <v>18272.479999999992</v>
      </c>
      <c r="C12" s="15">
        <f t="shared" si="0"/>
        <v>15969.037807207671</v>
      </c>
      <c r="G12" s="15">
        <f>LINEST($B$5:$B$27,$A$5:$A$27)*A12</f>
        <v>831339.04002785904</v>
      </c>
      <c r="H12" s="15">
        <f>INTERCEPT(B:B,A:A)</f>
        <v>-815370.00222065137</v>
      </c>
      <c r="I12" s="15">
        <f t="shared" si="1"/>
        <v>15969.037807207671</v>
      </c>
    </row>
    <row r="13" spans="1:17" x14ac:dyDescent="0.25">
      <c r="A13" s="9">
        <v>41640</v>
      </c>
      <c r="B13" s="11">
        <v>15391.42</v>
      </c>
      <c r="C13" s="15">
        <f t="shared" si="0"/>
        <v>16588.411265855189</v>
      </c>
      <c r="G13" s="15">
        <f>LINEST($B$5:$B$27,$A$5:$A$27)*A13</f>
        <v>831958.41348650656</v>
      </c>
      <c r="H13" s="15">
        <f>INTERCEPT(B:B,A:A)</f>
        <v>-815370.00222065137</v>
      </c>
      <c r="I13" s="15">
        <f t="shared" si="1"/>
        <v>16588.411265855189</v>
      </c>
    </row>
    <row r="14" spans="1:17" x14ac:dyDescent="0.25">
      <c r="A14" s="9">
        <v>41671</v>
      </c>
      <c r="B14" s="11">
        <v>17521.940000000002</v>
      </c>
      <c r="C14" s="15">
        <f t="shared" si="0"/>
        <v>17207.784724502708</v>
      </c>
      <c r="G14" s="15">
        <f>LINEST($B$5:$B$27,$A$5:$A$27)*A14</f>
        <v>832577.78694515408</v>
      </c>
      <c r="H14" s="15">
        <f>INTERCEPT(B:B,A:A)</f>
        <v>-815370.00222065137</v>
      </c>
      <c r="I14" s="15">
        <f t="shared" si="1"/>
        <v>17207.784724502708</v>
      </c>
    </row>
    <row r="15" spans="1:17" x14ac:dyDescent="0.25">
      <c r="A15" s="9">
        <v>41699</v>
      </c>
      <c r="B15" s="11">
        <v>21798.85</v>
      </c>
      <c r="C15" s="15">
        <f t="shared" si="0"/>
        <v>17767.218816184322</v>
      </c>
      <c r="G15" s="15">
        <f>LINEST($B$5:$B$27,$A$5:$A$27)*A15</f>
        <v>833137.22103683569</v>
      </c>
      <c r="H15" s="15">
        <f>INTERCEPT(B:B,A:A)</f>
        <v>-815370.00222065137</v>
      </c>
      <c r="I15" s="15">
        <f t="shared" si="1"/>
        <v>17767.218816184322</v>
      </c>
    </row>
    <row r="16" spans="1:17" x14ac:dyDescent="0.25">
      <c r="A16" s="9">
        <v>41730</v>
      </c>
      <c r="B16" s="11">
        <v>20310.409999999993</v>
      </c>
      <c r="C16" s="15">
        <f t="shared" si="0"/>
        <v>18386.592274831724</v>
      </c>
      <c r="G16" s="15">
        <f>LINEST($B$5:$B$27,$A$5:$A$27)*A16</f>
        <v>833756.59449548309</v>
      </c>
      <c r="H16" s="15">
        <f>INTERCEPT(B:B,A:A)</f>
        <v>-815370.00222065137</v>
      </c>
      <c r="I16" s="15">
        <f t="shared" si="1"/>
        <v>18386.592274831724</v>
      </c>
    </row>
    <row r="17" spans="1:9" x14ac:dyDescent="0.25">
      <c r="A17" s="9">
        <v>41760</v>
      </c>
      <c r="B17" s="11">
        <v>24829.47</v>
      </c>
      <c r="C17" s="15">
        <f t="shared" si="0"/>
        <v>18985.985944490647</v>
      </c>
      <c r="G17" s="15">
        <f>LINEST($B$5:$B$27,$A$5:$A$27)*A17</f>
        <v>834355.98816514201</v>
      </c>
      <c r="H17" s="15">
        <f>INTERCEPT(B:B,A:A)</f>
        <v>-815370.00222065137</v>
      </c>
      <c r="I17" s="15">
        <f t="shared" si="1"/>
        <v>18985.985944490647</v>
      </c>
    </row>
    <row r="18" spans="1:9" x14ac:dyDescent="0.25">
      <c r="A18" s="9">
        <v>41791</v>
      </c>
      <c r="B18" s="11">
        <v>28204.03</v>
      </c>
      <c r="C18" s="15">
        <f t="shared" si="0"/>
        <v>19605.359403138165</v>
      </c>
      <c r="G18" s="15">
        <f>LINEST($B$5:$B$27,$A$5:$A$27)*A18</f>
        <v>834975.36162378953</v>
      </c>
      <c r="H18" s="15">
        <f>INTERCEPT(B:B,A:A)</f>
        <v>-815370.00222065137</v>
      </c>
      <c r="I18" s="15">
        <f t="shared" si="1"/>
        <v>19605.359403138165</v>
      </c>
    </row>
    <row r="19" spans="1:9" x14ac:dyDescent="0.25">
      <c r="A19" s="9">
        <v>41821</v>
      </c>
      <c r="B19" s="11">
        <v>25760.629999999997</v>
      </c>
      <c r="C19" s="15">
        <f t="shared" si="0"/>
        <v>20204.753072796972</v>
      </c>
      <c r="G19" s="15">
        <f>LINEST($B$5:$B$27,$A$5:$A$27)*A19</f>
        <v>835574.75529344834</v>
      </c>
      <c r="H19" s="15">
        <f>INTERCEPT(B:B,A:A)</f>
        <v>-815370.00222065137</v>
      </c>
      <c r="I19" s="15">
        <f t="shared" si="1"/>
        <v>20204.753072796972</v>
      </c>
    </row>
    <row r="20" spans="1:9" x14ac:dyDescent="0.25">
      <c r="A20" s="9">
        <v>41852</v>
      </c>
      <c r="B20" s="11">
        <v>24127.400000000005</v>
      </c>
      <c r="C20" s="15">
        <f t="shared" si="0"/>
        <v>20824.12653144449</v>
      </c>
      <c r="G20" s="15">
        <f>LINEST($B$5:$B$27,$A$5:$A$27)*A20</f>
        <v>836194.12875209586</v>
      </c>
      <c r="H20" s="15">
        <f>INTERCEPT(B:B,A:A)</f>
        <v>-815370.00222065137</v>
      </c>
      <c r="I20" s="15">
        <f t="shared" si="1"/>
        <v>20824.12653144449</v>
      </c>
    </row>
    <row r="21" spans="1:9" x14ac:dyDescent="0.25">
      <c r="A21" s="9">
        <v>41883</v>
      </c>
      <c r="B21" s="11">
        <v>26603.609999999993</v>
      </c>
      <c r="C21" s="15">
        <f t="shared" si="0"/>
        <v>21443.499990092008</v>
      </c>
      <c r="G21" s="15">
        <f>LINEST($B$5:$B$27,$A$5:$A$27)*A21</f>
        <v>836813.50221074338</v>
      </c>
      <c r="H21" s="15">
        <f>INTERCEPT(B:B,A:A)</f>
        <v>-815370.00222065137</v>
      </c>
      <c r="I21" s="15">
        <f t="shared" si="1"/>
        <v>21443.499990092008</v>
      </c>
    </row>
    <row r="22" spans="1:9" x14ac:dyDescent="0.25">
      <c r="A22" s="9">
        <v>41913</v>
      </c>
      <c r="B22" s="11">
        <v>25815.109999999993</v>
      </c>
      <c r="C22" s="15">
        <f t="shared" si="0"/>
        <v>22042.893659750815</v>
      </c>
      <c r="G22" s="15">
        <f>LINEST($B$5:$B$27,$A$5:$A$27)*A22</f>
        <v>837412.89588040218</v>
      </c>
      <c r="H22" s="15">
        <f>INTERCEPT(B:B,A:A)</f>
        <v>-815370.00222065137</v>
      </c>
      <c r="I22" s="15">
        <f t="shared" si="1"/>
        <v>22042.893659750815</v>
      </c>
    </row>
    <row r="23" spans="1:9" x14ac:dyDescent="0.25">
      <c r="A23" s="9">
        <v>41944</v>
      </c>
      <c r="B23" s="11">
        <v>22678.340000000004</v>
      </c>
      <c r="C23" s="15">
        <f t="shared" si="0"/>
        <v>22662.267118398333</v>
      </c>
      <c r="G23" s="15">
        <f>LINEST($B$5:$B$27,$A$5:$A$27)*A23</f>
        <v>838032.2693390497</v>
      </c>
      <c r="H23" s="15">
        <f>INTERCEPT(B:B,A:A)</f>
        <v>-815370.00222065137</v>
      </c>
      <c r="I23" s="15">
        <f t="shared" si="1"/>
        <v>22662.267118398333</v>
      </c>
    </row>
    <row r="24" spans="1:9" x14ac:dyDescent="0.25">
      <c r="A24" s="9">
        <v>41974</v>
      </c>
      <c r="B24" s="11">
        <v>29134.39</v>
      </c>
      <c r="C24" s="15">
        <f t="shared" si="0"/>
        <v>23261.660788057256</v>
      </c>
      <c r="G24" s="15">
        <f>LINEST($B$5:$B$27,$A$5:$A$27)*A24</f>
        <v>838631.66300870862</v>
      </c>
      <c r="H24" s="15">
        <f>INTERCEPT(B:B,A:A)</f>
        <v>-815370.00222065137</v>
      </c>
      <c r="I24" s="15">
        <f t="shared" si="1"/>
        <v>23261.660788057256</v>
      </c>
    </row>
    <row r="25" spans="1:9" x14ac:dyDescent="0.25">
      <c r="A25" s="9">
        <v>42005</v>
      </c>
      <c r="B25" s="11">
        <v>20397.880000000005</v>
      </c>
      <c r="C25" s="15">
        <f t="shared" si="0"/>
        <v>23881.034246704658</v>
      </c>
      <c r="G25" s="15">
        <f>LINEST($B$5:$B$27,$A$5:$A$27)*A25</f>
        <v>839251.03646735603</v>
      </c>
      <c r="H25" s="15">
        <f>INTERCEPT(B:B,A:A)</f>
        <v>-815370.00222065137</v>
      </c>
      <c r="I25" s="15">
        <f t="shared" si="1"/>
        <v>23881.034246704658</v>
      </c>
    </row>
    <row r="26" spans="1:9" x14ac:dyDescent="0.25">
      <c r="A26" s="9">
        <v>42036</v>
      </c>
      <c r="B26" s="11">
        <v>19540.779999999995</v>
      </c>
      <c r="C26" s="15">
        <f t="shared" si="0"/>
        <v>24500.407705352176</v>
      </c>
      <c r="G26" s="15">
        <f>LINEST($B$5:$B$27,$A$5:$A$27)*A26</f>
        <v>839870.40992600354</v>
      </c>
      <c r="H26" s="15">
        <f>INTERCEPT(B:B,A:A)</f>
        <v>-815370.00222065137</v>
      </c>
      <c r="I26" s="15">
        <f t="shared" si="1"/>
        <v>24500.407705352176</v>
      </c>
    </row>
    <row r="27" spans="1:9" x14ac:dyDescent="0.25">
      <c r="A27" s="9">
        <v>42064</v>
      </c>
      <c r="B27" s="11">
        <v>3239.2400000000007</v>
      </c>
      <c r="C27" s="15">
        <f t="shared" si="0"/>
        <v>25059.84179703379</v>
      </c>
      <c r="G27" s="15">
        <f>LINEST($B$5:$B$27,$A$5:$A$27)*A27</f>
        <v>840429.84401768516</v>
      </c>
      <c r="H27" s="15">
        <f>INTERCEPT(B:B,A:A)</f>
        <v>-815370.00222065137</v>
      </c>
      <c r="I27" s="15">
        <f t="shared" si="1"/>
        <v>25059.84179703379</v>
      </c>
    </row>
    <row r="28" spans="1:9" x14ac:dyDescent="0.25">
      <c r="H28" s="15"/>
    </row>
    <row r="29" spans="1:9" x14ac:dyDescent="0.25">
      <c r="H29" s="15"/>
    </row>
    <row r="30" spans="1:9" x14ac:dyDescent="0.25">
      <c r="H30" s="15"/>
    </row>
    <row r="31" spans="1:9" x14ac:dyDescent="0.25">
      <c r="H31" s="15"/>
    </row>
    <row r="32" spans="1:9" x14ac:dyDescent="0.25">
      <c r="H32" s="15"/>
    </row>
    <row r="33" spans="8:8" x14ac:dyDescent="0.25">
      <c r="H33" s="15"/>
    </row>
    <row r="34" spans="8:8" x14ac:dyDescent="0.25">
      <c r="H34" s="15"/>
    </row>
    <row r="35" spans="8:8" x14ac:dyDescent="0.25">
      <c r="H35" s="15"/>
    </row>
    <row r="36" spans="8:8" x14ac:dyDescent="0.25">
      <c r="H36" s="15"/>
    </row>
    <row r="37" spans="8:8" x14ac:dyDescent="0.25">
      <c r="H37" s="15"/>
    </row>
    <row r="38" spans="8:8" x14ac:dyDescent="0.25">
      <c r="H38" s="15"/>
    </row>
    <row r="39" spans="8:8" x14ac:dyDescent="0.25">
      <c r="H39" s="15"/>
    </row>
    <row r="40" spans="8:8" x14ac:dyDescent="0.25">
      <c r="H40" s="15"/>
    </row>
    <row r="41" spans="8:8" x14ac:dyDescent="0.25">
      <c r="H41" s="15"/>
    </row>
    <row r="42" spans="8:8" x14ac:dyDescent="0.25">
      <c r="H42" s="15"/>
    </row>
    <row r="43" spans="8:8" x14ac:dyDescent="0.25">
      <c r="H43" s="15"/>
    </row>
    <row r="44" spans="8:8" x14ac:dyDescent="0.25">
      <c r="H44" s="15"/>
    </row>
    <row r="45" spans="8:8" x14ac:dyDescent="0.25">
      <c r="H45" s="15"/>
    </row>
    <row r="46" spans="8:8" x14ac:dyDescent="0.25">
      <c r="H46" s="15"/>
    </row>
    <row r="47" spans="8:8" x14ac:dyDescent="0.25">
      <c r="H47" s="15"/>
    </row>
    <row r="48" spans="8:8" x14ac:dyDescent="0.25">
      <c r="H48" s="15"/>
    </row>
  </sheetData>
  <pageMargins left="0.7" right="0.7" top="0.75" bottom="0.75" header="0.3" footer="0.3"/>
  <pageSetup orientation="portrait" horizontalDpi="300" verticalDpi="30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8"/>
  <sheetViews>
    <sheetView workbookViewId="0">
      <selection activeCell="C5" sqref="C5"/>
    </sheetView>
  </sheetViews>
  <sheetFormatPr defaultRowHeight="15" x14ac:dyDescent="0.25"/>
  <cols>
    <col min="1" max="1" width="17.42578125" style="8" customWidth="1"/>
    <col min="2" max="2" width="15" style="11" customWidth="1"/>
    <col min="3" max="5" width="9.140625" style="15"/>
    <col min="6" max="6" width="18.28515625" style="15" customWidth="1"/>
    <col min="7" max="7" width="27.140625" style="15" customWidth="1"/>
    <col min="8" max="8" width="28" style="15" customWidth="1"/>
    <col min="9" max="9" width="23.85546875" style="15" customWidth="1"/>
    <col min="10" max="16384" width="9.140625" style="15"/>
  </cols>
  <sheetData>
    <row r="2" spans="1:9" x14ac:dyDescent="0.25">
      <c r="F2" s="2"/>
      <c r="G2" s="15" t="s">
        <v>75</v>
      </c>
      <c r="H2" s="15" t="s">
        <v>76</v>
      </c>
    </row>
    <row r="3" spans="1:9" x14ac:dyDescent="0.25">
      <c r="G3" s="15" t="s">
        <v>58</v>
      </c>
      <c r="H3" s="15" t="s">
        <v>59</v>
      </c>
    </row>
    <row r="4" spans="1:9" x14ac:dyDescent="0.25">
      <c r="A4" s="9" t="s">
        <v>46</v>
      </c>
      <c r="B4" s="10" t="s">
        <v>47</v>
      </c>
      <c r="C4" s="15" t="s">
        <v>60</v>
      </c>
      <c r="E4" s="15" t="s">
        <v>44</v>
      </c>
      <c r="F4" s="2" t="s">
        <v>49</v>
      </c>
      <c r="G4" s="16" t="s">
        <v>48</v>
      </c>
      <c r="H4" s="16" t="s">
        <v>50</v>
      </c>
      <c r="I4" s="15" t="s">
        <v>35</v>
      </c>
    </row>
    <row r="5" spans="1:9" x14ac:dyDescent="0.25">
      <c r="A5" s="13">
        <v>41395</v>
      </c>
      <c r="B5" s="11">
        <v>3411.58</v>
      </c>
      <c r="C5" s="15">
        <f>I5</f>
        <v>11617.605768820271</v>
      </c>
      <c r="E5" s="15">
        <f>LN(A:A)</f>
        <v>10.630915379572906</v>
      </c>
      <c r="F5" s="15">
        <f>LINEST(B5:B27,LN(A5:A27))</f>
        <v>847917.32289774122</v>
      </c>
      <c r="G5" s="16">
        <f>INDEX(LINEST(B5:B27,LN(A5:A27)),1)</f>
        <v>847917.32289774122</v>
      </c>
      <c r="H5" s="16">
        <f>INDEX(LINEST(B5:B27,LN(A5:A27)),1,2)</f>
        <v>-9002519.7028310634</v>
      </c>
      <c r="I5" s="15">
        <f>(INDEX(LINEST($B$5:$B$27,LN($A$5:$A$27)),1)*LN(A5))+INDEX(LINEST($B$5:$B$27,LN($A$5:$A$27)),1,2)</f>
        <v>11617.605768820271</v>
      </c>
    </row>
    <row r="6" spans="1:9" x14ac:dyDescent="0.25">
      <c r="A6" s="13">
        <v>41426</v>
      </c>
      <c r="B6" s="11">
        <v>7401.1399999999994</v>
      </c>
      <c r="C6" s="28">
        <f t="shared" ref="C6:C27" si="0">I6</f>
        <v>12252.358747830614</v>
      </c>
      <c r="I6" s="28">
        <f t="shared" ref="I6:I27" si="1">(INDEX(LINEST($B$5:$B$27,LN($A$5:$A$27)),1)*LN(A6))+INDEX(LINEST($B$5:$B$27,LN($A$5:$A$27)),1,2)</f>
        <v>12252.358747830614</v>
      </c>
    </row>
    <row r="7" spans="1:9" x14ac:dyDescent="0.25">
      <c r="A7" s="13">
        <v>41456</v>
      </c>
      <c r="B7" s="11">
        <v>5770.2100000000019</v>
      </c>
      <c r="C7" s="28">
        <f t="shared" si="0"/>
        <v>12866.183723045513</v>
      </c>
      <c r="I7" s="28">
        <f t="shared" si="1"/>
        <v>12866.183723045513</v>
      </c>
    </row>
    <row r="8" spans="1:9" x14ac:dyDescent="0.25">
      <c r="A8" s="13">
        <v>41487</v>
      </c>
      <c r="B8" s="11">
        <v>9407.7100000000009</v>
      </c>
      <c r="C8" s="28">
        <f t="shared" si="0"/>
        <v>13500.003050385043</v>
      </c>
      <c r="I8" s="28">
        <f t="shared" si="1"/>
        <v>13500.003050385043</v>
      </c>
    </row>
    <row r="9" spans="1:9" x14ac:dyDescent="0.25">
      <c r="A9" s="13">
        <v>41518</v>
      </c>
      <c r="B9" s="11">
        <v>18151.690000000002</v>
      </c>
      <c r="C9" s="28">
        <f t="shared" si="0"/>
        <v>14133.348950797692</v>
      </c>
      <c r="I9" s="28">
        <f t="shared" si="1"/>
        <v>14133.348950797692</v>
      </c>
    </row>
    <row r="10" spans="1:9" x14ac:dyDescent="0.25">
      <c r="A10" s="13">
        <v>41548</v>
      </c>
      <c r="B10" s="11">
        <v>15915.650000000003</v>
      </c>
      <c r="C10" s="28">
        <f t="shared" si="0"/>
        <v>14745.81423847191</v>
      </c>
      <c r="I10" s="28">
        <f t="shared" si="1"/>
        <v>14745.81423847191</v>
      </c>
    </row>
    <row r="11" spans="1:9" x14ac:dyDescent="0.25">
      <c r="A11" s="13">
        <v>41579</v>
      </c>
      <c r="B11" s="11">
        <v>19427.440000000002</v>
      </c>
      <c r="C11" s="28">
        <f t="shared" si="0"/>
        <v>15378.230618910864</v>
      </c>
      <c r="I11" s="28">
        <f t="shared" si="1"/>
        <v>15378.230618910864</v>
      </c>
    </row>
    <row r="12" spans="1:9" x14ac:dyDescent="0.25">
      <c r="A12" s="13">
        <v>41609</v>
      </c>
      <c r="B12" s="11">
        <v>18272.479999999992</v>
      </c>
      <c r="C12" s="28">
        <f t="shared" si="0"/>
        <v>15989.797690836713</v>
      </c>
      <c r="I12" s="28">
        <f t="shared" si="1"/>
        <v>15989.797690836713</v>
      </c>
    </row>
    <row r="13" spans="1:9" x14ac:dyDescent="0.25">
      <c r="A13" s="13">
        <v>41640</v>
      </c>
      <c r="B13" s="11">
        <v>15391.42</v>
      </c>
      <c r="C13" s="28">
        <f t="shared" si="0"/>
        <v>16621.287275690585</v>
      </c>
      <c r="I13" s="28">
        <f t="shared" si="1"/>
        <v>16621.287275690585</v>
      </c>
    </row>
    <row r="14" spans="1:9" x14ac:dyDescent="0.25">
      <c r="A14" s="13">
        <v>41671</v>
      </c>
      <c r="B14" s="11">
        <v>17521.940000000002</v>
      </c>
      <c r="C14" s="28">
        <f t="shared" si="0"/>
        <v>17252.306906303391</v>
      </c>
      <c r="I14" s="28">
        <f t="shared" si="1"/>
        <v>17252.306906303391</v>
      </c>
    </row>
    <row r="15" spans="1:9" x14ac:dyDescent="0.25">
      <c r="A15" s="13">
        <v>41699</v>
      </c>
      <c r="B15" s="11">
        <v>22233.93</v>
      </c>
      <c r="C15" s="28">
        <f t="shared" si="0"/>
        <v>17821.85676677525</v>
      </c>
      <c r="I15" s="28">
        <f t="shared" si="1"/>
        <v>17821.85676677525</v>
      </c>
    </row>
    <row r="16" spans="1:9" x14ac:dyDescent="0.25">
      <c r="A16" s="13">
        <v>41730</v>
      </c>
      <c r="B16" s="11">
        <v>20310.409999999996</v>
      </c>
      <c r="C16" s="28">
        <f t="shared" si="0"/>
        <v>18451.983898097649</v>
      </c>
      <c r="I16" s="28">
        <f t="shared" si="1"/>
        <v>18451.983898097649</v>
      </c>
    </row>
    <row r="17" spans="1:9" x14ac:dyDescent="0.25">
      <c r="A17" s="13">
        <v>41760</v>
      </c>
      <c r="B17" s="11">
        <v>24829.470000000005</v>
      </c>
      <c r="C17" s="28">
        <f t="shared" si="0"/>
        <v>19061.338809626177</v>
      </c>
      <c r="I17" s="28">
        <f t="shared" si="1"/>
        <v>19061.338809626177</v>
      </c>
    </row>
    <row r="18" spans="1:9" x14ac:dyDescent="0.25">
      <c r="A18" s="13">
        <v>41791</v>
      </c>
      <c r="B18" s="11">
        <v>28204.03</v>
      </c>
      <c r="C18" s="28">
        <f t="shared" si="0"/>
        <v>19690.545838052407</v>
      </c>
      <c r="I18" s="28">
        <f t="shared" si="1"/>
        <v>19690.545838052407</v>
      </c>
    </row>
    <row r="19" spans="1:9" x14ac:dyDescent="0.25">
      <c r="A19" s="13">
        <v>41821</v>
      </c>
      <c r="B19" s="11">
        <v>25760.629999999997</v>
      </c>
      <c r="C19" s="28">
        <f t="shared" si="0"/>
        <v>20299.011627137661</v>
      </c>
      <c r="I19" s="28">
        <f t="shared" si="1"/>
        <v>20299.011627137661</v>
      </c>
    </row>
    <row r="20" spans="1:9" x14ac:dyDescent="0.25">
      <c r="A20" s="13">
        <v>41852</v>
      </c>
      <c r="B20" s="11">
        <v>24127.399999999998</v>
      </c>
      <c r="C20" s="28">
        <f t="shared" si="0"/>
        <v>20927.301235791296</v>
      </c>
      <c r="I20" s="28">
        <f t="shared" si="1"/>
        <v>20927.301235791296</v>
      </c>
    </row>
    <row r="21" spans="1:9" x14ac:dyDescent="0.25">
      <c r="A21" s="13">
        <v>41883</v>
      </c>
      <c r="B21" s="11">
        <v>26603.609999999986</v>
      </c>
      <c r="C21" s="28">
        <f t="shared" si="0"/>
        <v>21555.125639226288</v>
      </c>
      <c r="I21" s="28">
        <f t="shared" si="1"/>
        <v>21555.125639226288</v>
      </c>
    </row>
    <row r="22" spans="1:9" x14ac:dyDescent="0.25">
      <c r="A22" s="13">
        <v>41913</v>
      </c>
      <c r="B22" s="11">
        <v>25815.109999999993</v>
      </c>
      <c r="C22" s="28">
        <f t="shared" si="0"/>
        <v>22162.255353620276</v>
      </c>
      <c r="I22" s="28">
        <f t="shared" si="1"/>
        <v>22162.255353620276</v>
      </c>
    </row>
    <row r="23" spans="1:9" x14ac:dyDescent="0.25">
      <c r="A23" s="13">
        <v>41944</v>
      </c>
      <c r="B23" s="11">
        <v>22678.340000000004</v>
      </c>
      <c r="C23" s="28">
        <f t="shared" si="0"/>
        <v>22789.16636181809</v>
      </c>
      <c r="I23" s="28">
        <f t="shared" si="1"/>
        <v>22789.16636181809</v>
      </c>
    </row>
    <row r="24" spans="1:9" x14ac:dyDescent="0.25">
      <c r="A24" s="13">
        <v>41974</v>
      </c>
      <c r="B24" s="11">
        <v>29134.39</v>
      </c>
      <c r="C24" s="28">
        <f t="shared" si="0"/>
        <v>23395.413430875167</v>
      </c>
      <c r="I24" s="28">
        <f t="shared" si="1"/>
        <v>23395.413430875167</v>
      </c>
    </row>
    <row r="25" spans="1:9" x14ac:dyDescent="0.25">
      <c r="A25" s="13">
        <v>42005</v>
      </c>
      <c r="B25" s="11">
        <v>20397.880000000005</v>
      </c>
      <c r="C25" s="28">
        <f t="shared" si="0"/>
        <v>24021.413697699085</v>
      </c>
      <c r="I25" s="28">
        <f t="shared" si="1"/>
        <v>24021.413697699085</v>
      </c>
    </row>
    <row r="26" spans="1:9" x14ac:dyDescent="0.25">
      <c r="A26" s="13">
        <v>42036</v>
      </c>
      <c r="B26" s="11">
        <v>19540.779999999995</v>
      </c>
      <c r="C26" s="28">
        <f t="shared" si="0"/>
        <v>24646.952142076567</v>
      </c>
      <c r="I26" s="28">
        <f t="shared" si="1"/>
        <v>24646.952142076567</v>
      </c>
    </row>
    <row r="27" spans="1:9" x14ac:dyDescent="0.25">
      <c r="A27" s="12">
        <v>42064</v>
      </c>
      <c r="B27" s="11">
        <v>4083.6200000000003</v>
      </c>
      <c r="C27" s="28">
        <f t="shared" si="0"/>
        <v>25211.558228125796</v>
      </c>
      <c r="I27" s="28">
        <f t="shared" si="1"/>
        <v>25211.558228125796</v>
      </c>
    </row>
    <row r="28" spans="1:9" x14ac:dyDescent="0.25">
      <c r="I28" s="28"/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8"/>
  <sheetViews>
    <sheetView tabSelected="1" workbookViewId="0">
      <selection activeCell="C29" sqref="C29"/>
    </sheetView>
  </sheetViews>
  <sheetFormatPr defaultRowHeight="15" x14ac:dyDescent="0.25"/>
  <cols>
    <col min="1" max="1" width="17.42578125" style="8" customWidth="1"/>
    <col min="2" max="2" width="15" style="11" customWidth="1"/>
    <col min="3" max="5" width="9.140625" style="15"/>
    <col min="6" max="6" width="22.140625" style="15" customWidth="1"/>
    <col min="7" max="7" width="41" style="15" customWidth="1"/>
    <col min="8" max="8" width="32" style="15" customWidth="1"/>
    <col min="9" max="9" width="23.85546875" style="15" customWidth="1"/>
    <col min="10" max="16384" width="9.140625" style="15"/>
  </cols>
  <sheetData>
    <row r="2" spans="1:9" x14ac:dyDescent="0.25">
      <c r="F2" s="2"/>
    </row>
    <row r="3" spans="1:9" x14ac:dyDescent="0.25">
      <c r="G3" s="15" t="s">
        <v>58</v>
      </c>
      <c r="H3" s="15" t="s">
        <v>59</v>
      </c>
    </row>
    <row r="4" spans="1:9" ht="30" x14ac:dyDescent="0.25">
      <c r="A4" s="9" t="s">
        <v>46</v>
      </c>
      <c r="B4" s="10" t="s">
        <v>47</v>
      </c>
      <c r="C4" s="15" t="s">
        <v>60</v>
      </c>
      <c r="E4" s="15" t="s">
        <v>44</v>
      </c>
      <c r="F4" s="2" t="s">
        <v>52</v>
      </c>
      <c r="G4" s="15" t="s">
        <v>65</v>
      </c>
      <c r="H4" s="15" t="s">
        <v>66</v>
      </c>
      <c r="I4" s="15" t="s">
        <v>67</v>
      </c>
    </row>
    <row r="5" spans="1:9" x14ac:dyDescent="0.25">
      <c r="A5" s="13">
        <v>41395</v>
      </c>
      <c r="B5" s="28">
        <v>3411.58</v>
      </c>
      <c r="C5" s="8">
        <f>I5</f>
        <v>10152.125882212409</v>
      </c>
      <c r="E5" s="15">
        <f>LN(A:A)</f>
        <v>10.630915379572906</v>
      </c>
      <c r="F5" s="15">
        <f>LINEST(LN(B5:B27),LN(A5:A27))</f>
        <v>57.010004408351108</v>
      </c>
      <c r="G5" s="15">
        <f>EXP(INDEX(LINEST(LN(B5:B27),LN(A5:A27)),1,2))</f>
        <v>6.2278423045746663E-260</v>
      </c>
      <c r="H5" s="15">
        <f>INDEX(LINEST(LN(B5:B27),LN(A5:A27)),1)</f>
        <v>57.010004408351108</v>
      </c>
      <c r="I5" s="8">
        <f>EXP(INDEX(LINEST(LN($B$5:$B$27),LN($A$5:$A$27)),1,2))*A5^INDEX(LINEST(LN($B$5:$B$27),LN($A$5:$A$27)),1)</f>
        <v>10152.125882212409</v>
      </c>
    </row>
    <row r="6" spans="1:9" x14ac:dyDescent="0.25">
      <c r="A6" s="13">
        <v>41426</v>
      </c>
      <c r="B6" s="28">
        <v>7401.1399999999994</v>
      </c>
      <c r="C6" s="8">
        <f t="shared" ref="C6:C27" si="0">I6</f>
        <v>10594.775037805695</v>
      </c>
      <c r="I6" s="8">
        <f t="shared" ref="I6:I28" si="1">EXP(INDEX(LINEST(LN($B$5:$B$27),LN($A$5:$A$27)),1,2))*A6^INDEX(LINEST(LN($B$5:$B$27),LN($A$5:$A$27)),1)</f>
        <v>10594.775037805695</v>
      </c>
    </row>
    <row r="7" spans="1:9" x14ac:dyDescent="0.25">
      <c r="A7" s="13">
        <v>41456</v>
      </c>
      <c r="B7" s="28">
        <v>5770.2100000000019</v>
      </c>
      <c r="C7" s="8">
        <f t="shared" si="0"/>
        <v>11041.177423661347</v>
      </c>
      <c r="I7" s="8">
        <f t="shared" si="1"/>
        <v>11041.177423661347</v>
      </c>
    </row>
    <row r="8" spans="1:9" x14ac:dyDescent="0.25">
      <c r="A8" s="13">
        <v>41487</v>
      </c>
      <c r="B8" s="28">
        <v>9407.7100000000009</v>
      </c>
      <c r="C8" s="8">
        <f t="shared" si="0"/>
        <v>11521.867367731735</v>
      </c>
      <c r="I8" s="8">
        <f t="shared" si="1"/>
        <v>11521.867367731735</v>
      </c>
    </row>
    <row r="9" spans="1:9" x14ac:dyDescent="0.25">
      <c r="A9" s="13">
        <v>41518</v>
      </c>
      <c r="B9" s="28">
        <v>18151.690000000002</v>
      </c>
      <c r="C9" s="8">
        <f t="shared" si="0"/>
        <v>12023.101969695022</v>
      </c>
      <c r="I9" s="8">
        <f t="shared" si="1"/>
        <v>12023.101969695022</v>
      </c>
    </row>
    <row r="10" spans="1:9" x14ac:dyDescent="0.25">
      <c r="A10" s="13">
        <v>41548</v>
      </c>
      <c r="B10" s="28">
        <v>15915.650000000003</v>
      </c>
      <c r="C10" s="8">
        <f t="shared" si="0"/>
        <v>12528.540370685756</v>
      </c>
      <c r="I10" s="8">
        <f t="shared" si="1"/>
        <v>12528.540370685756</v>
      </c>
    </row>
    <row r="11" spans="1:9" x14ac:dyDescent="0.25">
      <c r="A11" s="13">
        <v>41579</v>
      </c>
      <c r="B11" s="28">
        <v>19427.440000000002</v>
      </c>
      <c r="C11" s="8">
        <f t="shared" si="0"/>
        <v>13072.751136118135</v>
      </c>
      <c r="I11" s="8">
        <f t="shared" si="1"/>
        <v>13072.751136118135</v>
      </c>
    </row>
    <row r="12" spans="1:9" x14ac:dyDescent="0.25">
      <c r="A12" s="13">
        <v>41609</v>
      </c>
      <c r="B12" s="28">
        <v>18272.479999999992</v>
      </c>
      <c r="C12" s="8">
        <f t="shared" si="0"/>
        <v>13621.493018272162</v>
      </c>
      <c r="I12" s="8">
        <f t="shared" si="1"/>
        <v>13621.493018272162</v>
      </c>
    </row>
    <row r="13" spans="1:9" x14ac:dyDescent="0.25">
      <c r="A13" s="13">
        <v>41640</v>
      </c>
      <c r="B13" s="28">
        <v>15391.42</v>
      </c>
      <c r="C13" s="8">
        <f t="shared" si="0"/>
        <v>14212.293470303852</v>
      </c>
      <c r="I13" s="8">
        <f t="shared" si="1"/>
        <v>14212.293470303852</v>
      </c>
    </row>
    <row r="14" spans="1:9" x14ac:dyDescent="0.25">
      <c r="A14" s="13">
        <v>41671</v>
      </c>
      <c r="B14" s="28">
        <v>17521.940000000002</v>
      </c>
      <c r="C14" s="8">
        <f t="shared" si="0"/>
        <v>14828.249968878388</v>
      </c>
      <c r="I14" s="8">
        <f t="shared" si="1"/>
        <v>14828.249968878388</v>
      </c>
    </row>
    <row r="15" spans="1:9" x14ac:dyDescent="0.25">
      <c r="A15" s="13">
        <v>41699</v>
      </c>
      <c r="B15" s="28">
        <v>22233.93</v>
      </c>
      <c r="C15" s="8">
        <f t="shared" si="0"/>
        <v>15407.093467470098</v>
      </c>
      <c r="I15" s="8">
        <f t="shared" si="1"/>
        <v>15407.093467470098</v>
      </c>
    </row>
    <row r="16" spans="1:9" x14ac:dyDescent="0.25">
      <c r="A16" s="13">
        <v>41730</v>
      </c>
      <c r="B16" s="28">
        <v>20310.409999999996</v>
      </c>
      <c r="C16" s="8">
        <f t="shared" si="0"/>
        <v>16073.867655032816</v>
      </c>
      <c r="I16" s="8">
        <f t="shared" si="1"/>
        <v>16073.867655032816</v>
      </c>
    </row>
    <row r="17" spans="1:9" x14ac:dyDescent="0.25">
      <c r="A17" s="13">
        <v>41760</v>
      </c>
      <c r="B17" s="28">
        <v>24829.470000000005</v>
      </c>
      <c r="C17" s="8">
        <f t="shared" si="0"/>
        <v>16746.093501454325</v>
      </c>
      <c r="I17" s="8">
        <f t="shared" si="1"/>
        <v>16746.093501454325</v>
      </c>
    </row>
    <row r="18" spans="1:9" x14ac:dyDescent="0.25">
      <c r="A18" s="13">
        <v>41791</v>
      </c>
      <c r="B18" s="28">
        <v>28204.03</v>
      </c>
      <c r="C18" s="8">
        <f t="shared" si="0"/>
        <v>17469.734944394102</v>
      </c>
      <c r="I18" s="8">
        <f t="shared" si="1"/>
        <v>17469.734944394102</v>
      </c>
    </row>
    <row r="19" spans="1:9" x14ac:dyDescent="0.25">
      <c r="A19" s="13">
        <v>41821</v>
      </c>
      <c r="B19" s="28">
        <v>25760.629999999997</v>
      </c>
      <c r="C19" s="8">
        <f t="shared" si="0"/>
        <v>18199.249419451891</v>
      </c>
      <c r="I19" s="8">
        <f t="shared" si="1"/>
        <v>18199.249419451891</v>
      </c>
    </row>
    <row r="20" spans="1:9" x14ac:dyDescent="0.25">
      <c r="A20" s="13">
        <v>41852</v>
      </c>
      <c r="B20" s="28">
        <v>24127.399999999998</v>
      </c>
      <c r="C20" s="8">
        <f t="shared" si="0"/>
        <v>18984.514380258675</v>
      </c>
      <c r="I20" s="8">
        <f t="shared" si="1"/>
        <v>18984.514380258675</v>
      </c>
    </row>
    <row r="21" spans="1:9" x14ac:dyDescent="0.25">
      <c r="A21" s="13">
        <v>41883</v>
      </c>
      <c r="B21" s="28">
        <v>26603.609999999986</v>
      </c>
      <c r="C21" s="8">
        <f t="shared" si="0"/>
        <v>19803.042701481612</v>
      </c>
      <c r="I21" s="8">
        <f t="shared" si="1"/>
        <v>19803.042701481612</v>
      </c>
    </row>
    <row r="22" spans="1:9" x14ac:dyDescent="0.25">
      <c r="A22" s="13">
        <v>41913</v>
      </c>
      <c r="B22" s="28">
        <v>25815.109999999993</v>
      </c>
      <c r="C22" s="8">
        <f t="shared" si="0"/>
        <v>20628.140077497108</v>
      </c>
      <c r="I22" s="8">
        <f t="shared" si="1"/>
        <v>20628.140077497108</v>
      </c>
    </row>
    <row r="23" spans="1:9" x14ac:dyDescent="0.25">
      <c r="A23" s="13">
        <v>41944</v>
      </c>
      <c r="B23" s="28">
        <v>22678.340000000004</v>
      </c>
      <c r="C23" s="8">
        <f t="shared" si="0"/>
        <v>21516.212868023569</v>
      </c>
      <c r="I23" s="8">
        <f t="shared" si="1"/>
        <v>21516.212868023569</v>
      </c>
    </row>
    <row r="24" spans="1:9" x14ac:dyDescent="0.25">
      <c r="A24" s="13">
        <v>41974</v>
      </c>
      <c r="B24" s="28">
        <v>29134.39</v>
      </c>
      <c r="C24" s="8">
        <f t="shared" si="0"/>
        <v>22411.359750044667</v>
      </c>
      <c r="I24" s="8">
        <f t="shared" si="1"/>
        <v>22411.359750044667</v>
      </c>
    </row>
    <row r="25" spans="1:9" x14ac:dyDescent="0.25">
      <c r="A25" s="13">
        <v>42005</v>
      </c>
      <c r="B25" s="28">
        <v>20397.880000000005</v>
      </c>
      <c r="C25" s="8">
        <f t="shared" si="0"/>
        <v>23374.771483845208</v>
      </c>
      <c r="I25" s="8">
        <f t="shared" si="1"/>
        <v>23374.771483845208</v>
      </c>
    </row>
    <row r="26" spans="1:9" x14ac:dyDescent="0.25">
      <c r="A26" s="13">
        <v>42036</v>
      </c>
      <c r="B26" s="28">
        <v>19540.779999999995</v>
      </c>
      <c r="C26" s="8">
        <f t="shared" si="0"/>
        <v>24378.841032055388</v>
      </c>
      <c r="I26" s="8">
        <f t="shared" si="1"/>
        <v>24378.841032055388</v>
      </c>
    </row>
    <row r="27" spans="1:9" x14ac:dyDescent="0.25">
      <c r="A27" s="13">
        <v>42064</v>
      </c>
      <c r="B27" s="28">
        <v>4083.6200000000003</v>
      </c>
      <c r="C27" s="8">
        <f t="shared" si="0"/>
        <v>25322.088144688587</v>
      </c>
      <c r="I27" s="8">
        <f t="shared" si="1"/>
        <v>25322.088144688587</v>
      </c>
    </row>
    <row r="28" spans="1:9" x14ac:dyDescent="0.25">
      <c r="I28" s="8"/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8"/>
  <sheetViews>
    <sheetView workbookViewId="0">
      <selection activeCell="I9" sqref="I9"/>
    </sheetView>
  </sheetViews>
  <sheetFormatPr defaultRowHeight="15" x14ac:dyDescent="0.25"/>
  <cols>
    <col min="1" max="1" width="17.42578125" style="8" customWidth="1"/>
    <col min="2" max="2" width="15" style="11" customWidth="1"/>
    <col min="3" max="4" width="9.140625" style="15"/>
    <col min="5" max="5" width="22.140625" style="15" customWidth="1"/>
    <col min="6" max="6" width="35.85546875" style="15" customWidth="1"/>
    <col min="7" max="8" width="32" style="15" customWidth="1"/>
    <col min="9" max="9" width="38.42578125" style="15" customWidth="1"/>
    <col min="10" max="10" width="37.85546875" style="15" customWidth="1"/>
    <col min="11" max="16384" width="9.140625" style="15"/>
  </cols>
  <sheetData>
    <row r="2" spans="1:10" x14ac:dyDescent="0.25">
      <c r="E2" s="2"/>
      <c r="H2" s="15" t="s">
        <v>74</v>
      </c>
    </row>
    <row r="3" spans="1:10" x14ac:dyDescent="0.25">
      <c r="F3" s="15" t="s">
        <v>58</v>
      </c>
      <c r="G3" s="15" t="s">
        <v>59</v>
      </c>
      <c r="H3" s="15" t="s">
        <v>70</v>
      </c>
    </row>
    <row r="4" spans="1:10" x14ac:dyDescent="0.25">
      <c r="A4" s="9" t="s">
        <v>46</v>
      </c>
      <c r="B4" s="10" t="s">
        <v>47</v>
      </c>
      <c r="C4" s="15" t="s">
        <v>60</v>
      </c>
      <c r="E4" s="2" t="s">
        <v>53</v>
      </c>
      <c r="F4" s="15" t="s">
        <v>68</v>
      </c>
      <c r="G4" s="15" t="s">
        <v>69</v>
      </c>
      <c r="H4" s="15" t="s">
        <v>73</v>
      </c>
      <c r="I4" s="15" t="s">
        <v>71</v>
      </c>
      <c r="J4" s="15" t="s">
        <v>72</v>
      </c>
    </row>
    <row r="5" spans="1:10" x14ac:dyDescent="0.25">
      <c r="A5" s="13">
        <v>41395</v>
      </c>
      <c r="B5" s="28">
        <v>3411.58</v>
      </c>
      <c r="C5" s="15">
        <f>J5</f>
        <v>10180.148218159708</v>
      </c>
      <c r="E5" s="15">
        <f>LINEST(LN(B5:B27),A5:A27)</f>
        <v>1.3614632176652424E-3</v>
      </c>
      <c r="F5" s="15">
        <f>EXP(INDEX(LINEST(LN(B5:B27),A5:A27),1,2))</f>
        <v>3.4031855088566831E-21</v>
      </c>
      <c r="G5" s="15">
        <f>INDEX(LINEST(LN(B5:B27),A5:A27),1)</f>
        <v>1.3614632176652424E-3</v>
      </c>
      <c r="H5" s="15">
        <f>EXP(1)</f>
        <v>2.7182818284590451</v>
      </c>
      <c r="I5" s="8">
        <f>$F$5*EXP($G$5*A5)</f>
        <v>10180.148218159708</v>
      </c>
      <c r="J5" s="8">
        <f>$F$5*$H$5^($G$5*A5)</f>
        <v>10180.148218159708</v>
      </c>
    </row>
    <row r="6" spans="1:10" x14ac:dyDescent="0.25">
      <c r="A6" s="13">
        <v>41426</v>
      </c>
      <c r="B6" s="28">
        <v>7401.1399999999994</v>
      </c>
      <c r="C6" s="28">
        <f t="shared" ref="C6:C27" si="0">J6</f>
        <v>10619.000861019793</v>
      </c>
      <c r="I6" s="8">
        <f t="shared" ref="I6:I28" si="1">$F$5*EXP($G$5*A6)</f>
        <v>10619.000861019793</v>
      </c>
      <c r="J6" s="8">
        <f t="shared" ref="J6:J28" si="2">$F$5*$H$5^($G$5*A6)</f>
        <v>10619.000861019793</v>
      </c>
    </row>
    <row r="7" spans="1:10" x14ac:dyDescent="0.25">
      <c r="A7" s="13">
        <v>41456</v>
      </c>
      <c r="B7" s="28">
        <v>5770.2100000000019</v>
      </c>
      <c r="C7" s="28">
        <f t="shared" si="0"/>
        <v>11061.701501069427</v>
      </c>
      <c r="I7" s="8">
        <f t="shared" si="1"/>
        <v>11061.701501069427</v>
      </c>
      <c r="J7" s="8">
        <f t="shared" si="2"/>
        <v>11061.701501069427</v>
      </c>
    </row>
    <row r="8" spans="1:10" x14ac:dyDescent="0.25">
      <c r="A8" s="13">
        <v>41487</v>
      </c>
      <c r="B8" s="28">
        <v>9407.7100000000009</v>
      </c>
      <c r="C8" s="28">
        <f t="shared" si="0"/>
        <v>11538.556732863923</v>
      </c>
      <c r="I8" s="8">
        <f t="shared" si="1"/>
        <v>11538.556732863923</v>
      </c>
      <c r="J8" s="8">
        <f t="shared" si="2"/>
        <v>11538.556732863923</v>
      </c>
    </row>
    <row r="9" spans="1:10" x14ac:dyDescent="0.25">
      <c r="A9" s="13">
        <v>41518</v>
      </c>
      <c r="B9" s="28">
        <v>18151.690000000002</v>
      </c>
      <c r="C9" s="28">
        <f t="shared" si="0"/>
        <v>12035.968559145147</v>
      </c>
      <c r="I9" s="8">
        <f t="shared" si="1"/>
        <v>12035.968559145147</v>
      </c>
      <c r="J9" s="8">
        <f t="shared" si="2"/>
        <v>12035.968559145147</v>
      </c>
    </row>
    <row r="10" spans="1:10" x14ac:dyDescent="0.25">
      <c r="A10" s="13">
        <v>41548</v>
      </c>
      <c r="B10" s="28">
        <v>15915.650000000003</v>
      </c>
      <c r="C10" s="28">
        <f t="shared" si="0"/>
        <v>12537.741847845971</v>
      </c>
      <c r="I10" s="8">
        <f t="shared" si="1"/>
        <v>12537.741847845971</v>
      </c>
      <c r="J10" s="8">
        <f t="shared" si="2"/>
        <v>12537.741847845971</v>
      </c>
    </row>
    <row r="11" spans="1:10" x14ac:dyDescent="0.25">
      <c r="A11" s="13">
        <v>41579</v>
      </c>
      <c r="B11" s="28">
        <v>19427.440000000002</v>
      </c>
      <c r="C11" s="28">
        <f t="shared" si="0"/>
        <v>13078.227214808381</v>
      </c>
      <c r="I11" s="8">
        <f t="shared" si="1"/>
        <v>13078.227214808381</v>
      </c>
      <c r="J11" s="8">
        <f t="shared" si="2"/>
        <v>13078.227214808381</v>
      </c>
    </row>
    <row r="12" spans="1:10" x14ac:dyDescent="0.25">
      <c r="A12" s="13">
        <v>41609</v>
      </c>
      <c r="B12" s="28">
        <v>18272.479999999992</v>
      </c>
      <c r="C12" s="28">
        <f t="shared" si="0"/>
        <v>13623.451726463065</v>
      </c>
      <c r="I12" s="8">
        <f t="shared" si="1"/>
        <v>13623.451726463065</v>
      </c>
      <c r="J12" s="8">
        <f t="shared" si="2"/>
        <v>13623.451726463065</v>
      </c>
    </row>
    <row r="13" spans="1:10" x14ac:dyDescent="0.25">
      <c r="A13" s="13">
        <v>41640</v>
      </c>
      <c r="B13" s="28">
        <v>15391.42</v>
      </c>
      <c r="C13" s="28">
        <f t="shared" si="0"/>
        <v>14210.740601527785</v>
      </c>
      <c r="I13" s="8">
        <f t="shared" si="1"/>
        <v>14210.740601527785</v>
      </c>
      <c r="J13" s="8">
        <f t="shared" si="2"/>
        <v>14210.740601527785</v>
      </c>
    </row>
    <row r="14" spans="1:10" x14ac:dyDescent="0.25">
      <c r="A14" s="13">
        <v>41671</v>
      </c>
      <c r="B14" s="28">
        <v>17521.940000000002</v>
      </c>
      <c r="C14" s="28">
        <f t="shared" si="0"/>
        <v>14823.346718485274</v>
      </c>
      <c r="I14" s="8">
        <f t="shared" si="1"/>
        <v>14823.346718485274</v>
      </c>
      <c r="J14" s="8">
        <f t="shared" si="2"/>
        <v>14823.346718485274</v>
      </c>
    </row>
    <row r="15" spans="1:10" x14ac:dyDescent="0.25">
      <c r="A15" s="13">
        <v>41699</v>
      </c>
      <c r="B15" s="28">
        <v>22233.93</v>
      </c>
      <c r="C15" s="28">
        <f t="shared" si="0"/>
        <v>15399.335958735253</v>
      </c>
      <c r="I15" s="8">
        <f t="shared" si="1"/>
        <v>15399.335958735253</v>
      </c>
      <c r="J15" s="8">
        <f t="shared" si="2"/>
        <v>15399.335958735253</v>
      </c>
    </row>
    <row r="16" spans="1:10" x14ac:dyDescent="0.25">
      <c r="A16" s="13">
        <v>41730</v>
      </c>
      <c r="B16" s="28">
        <v>20310.409999999996</v>
      </c>
      <c r="C16" s="28">
        <f t="shared" si="0"/>
        <v>16063.180839866252</v>
      </c>
      <c r="I16" s="8">
        <f t="shared" si="1"/>
        <v>16063.180839866252</v>
      </c>
      <c r="J16" s="8">
        <f t="shared" si="2"/>
        <v>16063.180839866252</v>
      </c>
    </row>
    <row r="17" spans="1:10" x14ac:dyDescent="0.25">
      <c r="A17" s="13">
        <v>41760</v>
      </c>
      <c r="B17" s="28">
        <v>24829.470000000005</v>
      </c>
      <c r="C17" s="28">
        <f t="shared" si="0"/>
        <v>16732.846520480842</v>
      </c>
      <c r="I17" s="8">
        <f t="shared" si="1"/>
        <v>16732.846520480842</v>
      </c>
      <c r="J17" s="8">
        <f t="shared" si="2"/>
        <v>16732.846520480842</v>
      </c>
    </row>
    <row r="18" spans="1:10" x14ac:dyDescent="0.25">
      <c r="A18" s="13">
        <v>41791</v>
      </c>
      <c r="B18" s="28">
        <v>28204.03</v>
      </c>
      <c r="C18" s="28">
        <f t="shared" si="0"/>
        <v>17454.177267413004</v>
      </c>
      <c r="I18" s="8">
        <f t="shared" si="1"/>
        <v>17454.177267413004</v>
      </c>
      <c r="J18" s="8">
        <f t="shared" si="2"/>
        <v>17454.177267413004</v>
      </c>
    </row>
    <row r="19" spans="1:10" x14ac:dyDescent="0.25">
      <c r="A19" s="13">
        <v>41821</v>
      </c>
      <c r="B19" s="28">
        <v>25760.629999999997</v>
      </c>
      <c r="C19" s="28">
        <f t="shared" si="0"/>
        <v>18181.832867874215</v>
      </c>
      <c r="I19" s="8">
        <f t="shared" si="1"/>
        <v>18181.832867874215</v>
      </c>
      <c r="J19" s="8">
        <f t="shared" si="2"/>
        <v>18181.832867874215</v>
      </c>
    </row>
    <row r="20" spans="1:10" x14ac:dyDescent="0.25">
      <c r="A20" s="13">
        <v>41852</v>
      </c>
      <c r="B20" s="28">
        <v>24127.399999999998</v>
      </c>
      <c r="C20" s="28">
        <f t="shared" si="0"/>
        <v>18965.627488061778</v>
      </c>
      <c r="I20" s="8">
        <f t="shared" si="1"/>
        <v>18965.627488061778</v>
      </c>
      <c r="J20" s="8">
        <f t="shared" si="2"/>
        <v>18965.627488061778</v>
      </c>
    </row>
    <row r="21" spans="1:10" x14ac:dyDescent="0.25">
      <c r="A21" s="13">
        <v>41883</v>
      </c>
      <c r="B21" s="28">
        <v>26603.609999999986</v>
      </c>
      <c r="C21" s="28">
        <f t="shared" si="0"/>
        <v>19783.210451322306</v>
      </c>
      <c r="I21" s="8">
        <f t="shared" si="1"/>
        <v>19783.210451322306</v>
      </c>
      <c r="J21" s="8">
        <f t="shared" si="2"/>
        <v>19783.210451322306</v>
      </c>
    </row>
    <row r="22" spans="1:10" x14ac:dyDescent="0.25">
      <c r="A22" s="13">
        <v>41913</v>
      </c>
      <c r="B22" s="28">
        <v>25815.109999999993</v>
      </c>
      <c r="C22" s="28">
        <f t="shared" si="0"/>
        <v>20607.962237640309</v>
      </c>
      <c r="I22" s="8">
        <f t="shared" si="1"/>
        <v>20607.962237640309</v>
      </c>
      <c r="J22" s="8">
        <f t="shared" si="2"/>
        <v>20607.962237640309</v>
      </c>
    </row>
    <row r="23" spans="1:10" x14ac:dyDescent="0.25">
      <c r="A23" s="13">
        <v>41944</v>
      </c>
      <c r="B23" s="28">
        <v>22678.340000000004</v>
      </c>
      <c r="C23" s="28">
        <f t="shared" si="0"/>
        <v>21496.344066483922</v>
      </c>
      <c r="I23" s="8">
        <f t="shared" si="1"/>
        <v>21496.344066483922</v>
      </c>
      <c r="J23" s="8">
        <f t="shared" si="2"/>
        <v>21496.344066483922</v>
      </c>
    </row>
    <row r="24" spans="1:10" x14ac:dyDescent="0.25">
      <c r="A24" s="13">
        <v>41974</v>
      </c>
      <c r="B24" s="28">
        <v>29134.39</v>
      </c>
      <c r="C24" s="28">
        <f t="shared" si="0"/>
        <v>22392.515504975134</v>
      </c>
      <c r="I24" s="8">
        <f t="shared" si="1"/>
        <v>22392.515504975134</v>
      </c>
      <c r="J24" s="8">
        <f t="shared" si="2"/>
        <v>22392.515504975134</v>
      </c>
    </row>
    <row r="25" spans="1:10" x14ac:dyDescent="0.25">
      <c r="A25" s="13">
        <v>42005</v>
      </c>
      <c r="B25" s="28">
        <v>20397.880000000005</v>
      </c>
      <c r="C25" s="28">
        <f t="shared" si="0"/>
        <v>23357.827050450869</v>
      </c>
      <c r="I25" s="8">
        <f t="shared" si="1"/>
        <v>23357.827050450869</v>
      </c>
      <c r="J25" s="8">
        <f t="shared" si="2"/>
        <v>23357.827050450869</v>
      </c>
    </row>
    <row r="26" spans="1:10" x14ac:dyDescent="0.25">
      <c r="A26" s="13">
        <v>42036</v>
      </c>
      <c r="B26" s="28">
        <v>19540.779999999995</v>
      </c>
      <c r="C26" s="28">
        <f t="shared" si="0"/>
        <v>24364.751892102191</v>
      </c>
      <c r="I26" s="8">
        <f t="shared" si="1"/>
        <v>24364.751892102191</v>
      </c>
      <c r="J26" s="8">
        <f t="shared" si="2"/>
        <v>24364.751892102191</v>
      </c>
    </row>
    <row r="27" spans="1:10" x14ac:dyDescent="0.25">
      <c r="A27" s="13">
        <v>42064</v>
      </c>
      <c r="B27" s="28">
        <v>4083.6200000000003</v>
      </c>
      <c r="C27" s="28">
        <f t="shared" si="0"/>
        <v>25311.490519871571</v>
      </c>
      <c r="I27" s="8">
        <f t="shared" si="1"/>
        <v>25311.490519871571</v>
      </c>
      <c r="J27" s="8">
        <f t="shared" si="2"/>
        <v>25311.490519871571</v>
      </c>
    </row>
    <row r="28" spans="1:10" x14ac:dyDescent="0.25">
      <c r="I28" s="8"/>
      <c r="J28" s="8"/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workbookViewId="0">
      <selection activeCell="F8" sqref="F8"/>
    </sheetView>
  </sheetViews>
  <sheetFormatPr defaultRowHeight="15" x14ac:dyDescent="0.25"/>
  <cols>
    <col min="1" max="1" width="17.42578125" style="8" customWidth="1"/>
    <col min="2" max="2" width="15" style="11" customWidth="1"/>
    <col min="3" max="4" width="9.140625" style="15"/>
    <col min="5" max="5" width="22.140625" style="15" customWidth="1"/>
    <col min="6" max="6" width="35.85546875" style="15" customWidth="1"/>
    <col min="7" max="8" width="32" style="15" customWidth="1"/>
    <col min="9" max="9" width="38.42578125" style="15" customWidth="1"/>
    <col min="10" max="10" width="9.140625" style="15"/>
    <col min="11" max="11" width="15.42578125" style="15" bestFit="1" customWidth="1"/>
    <col min="12" max="16384" width="9.140625" style="15"/>
  </cols>
  <sheetData>
    <row r="2" spans="1:11" x14ac:dyDescent="0.25">
      <c r="E2" s="2"/>
    </row>
    <row r="3" spans="1:11" x14ac:dyDescent="0.25">
      <c r="F3" s="15" t="s">
        <v>95</v>
      </c>
      <c r="G3" s="15" t="s">
        <v>96</v>
      </c>
      <c r="H3" s="15" t="s">
        <v>59</v>
      </c>
    </row>
    <row r="4" spans="1:11" x14ac:dyDescent="0.25">
      <c r="A4" s="9" t="s">
        <v>46</v>
      </c>
      <c r="B4" s="10" t="s">
        <v>47</v>
      </c>
      <c r="C4" s="15" t="s">
        <v>60</v>
      </c>
      <c r="E4" s="2" t="s">
        <v>53</v>
      </c>
      <c r="F4" s="15" t="s">
        <v>97</v>
      </c>
      <c r="G4" s="15" t="s">
        <v>98</v>
      </c>
      <c r="H4" s="15" t="s">
        <v>99</v>
      </c>
      <c r="I4" s="15" t="s">
        <v>94</v>
      </c>
    </row>
    <row r="5" spans="1:11" x14ac:dyDescent="0.25">
      <c r="A5" s="13">
        <v>41395</v>
      </c>
      <c r="B5" s="28">
        <v>3411.58</v>
      </c>
      <c r="C5" s="8">
        <f>I5</f>
        <v>1747.5012272298336</v>
      </c>
      <c r="E5" s="15">
        <f>LINEST(LN(B5:B27),A5:A27)</f>
        <v>1.3614632176652424E-3</v>
      </c>
      <c r="F5" s="15">
        <f>INDEX(LINEST(B5:B27,A5:A27^{1,2}),1)</f>
        <v>-0.13808576314640028</v>
      </c>
      <c r="G5" s="15">
        <f>INDEX(LINEST(B5:B27,A5:A27^{1,2}),1,2)</f>
        <v>11545.017660781186</v>
      </c>
      <c r="H5" s="15">
        <f>INDEX(LINEST(B5:B27,A5:A27^{1,2}),1,3)</f>
        <v>-241287948.0182043</v>
      </c>
      <c r="I5" s="8">
        <f xml:space="preserve"> ($F$5 *A5^ 2) + ($G$5 *A5 ^ 1) + $H$5</f>
        <v>1747.5012272298336</v>
      </c>
      <c r="K5" s="8"/>
    </row>
    <row r="6" spans="1:11" x14ac:dyDescent="0.25">
      <c r="A6" s="13">
        <v>41426</v>
      </c>
      <c r="B6" s="28">
        <v>7401.1399999999994</v>
      </c>
      <c r="C6" s="8">
        <f t="shared" ref="C6:C27" si="0">I6</f>
        <v>5114.6180354356766</v>
      </c>
      <c r="I6" s="8">
        <f t="shared" ref="I6:I28" si="1" xml:space="preserve"> ($F$5 *A6^ 2) + ($G$5 *A6 ^ 1) + $H$5</f>
        <v>5114.6180354356766</v>
      </c>
      <c r="K6" s="8"/>
    </row>
    <row r="7" spans="1:11" x14ac:dyDescent="0.25">
      <c r="A7" s="13">
        <v>41456</v>
      </c>
      <c r="B7" s="28">
        <v>5770.2100000000019</v>
      </c>
      <c r="C7" s="8">
        <f t="shared" si="0"/>
        <v>8120.4212258756161</v>
      </c>
      <c r="G7" s="27"/>
      <c r="I7" s="8">
        <f t="shared" si="1"/>
        <v>8120.4212258756161</v>
      </c>
    </row>
    <row r="8" spans="1:11" x14ac:dyDescent="0.25">
      <c r="A8" s="13">
        <v>41487</v>
      </c>
      <c r="B8" s="28">
        <v>9407.7100000000009</v>
      </c>
      <c r="C8" s="8">
        <f t="shared" si="0"/>
        <v>10965.297677874565</v>
      </c>
      <c r="I8" s="8">
        <f t="shared" si="1"/>
        <v>10965.297677874565</v>
      </c>
    </row>
    <row r="9" spans="1:11" x14ac:dyDescent="0.25">
      <c r="A9" s="13">
        <v>41518</v>
      </c>
      <c r="B9" s="28">
        <v>18151.690000000002</v>
      </c>
      <c r="C9" s="8">
        <f t="shared" si="0"/>
        <v>13544.77329313755</v>
      </c>
      <c r="I9" s="8">
        <f t="shared" si="1"/>
        <v>13544.77329313755</v>
      </c>
    </row>
    <row r="10" spans="1:11" x14ac:dyDescent="0.25">
      <c r="A10" s="13">
        <v>41548</v>
      </c>
      <c r="B10" s="28">
        <v>15915.650000000003</v>
      </c>
      <c r="C10" s="8">
        <f t="shared" si="0"/>
        <v>15788.343070983887</v>
      </c>
      <c r="I10" s="8">
        <f t="shared" si="1"/>
        <v>15788.343070983887</v>
      </c>
    </row>
    <row r="11" spans="1:11" x14ac:dyDescent="0.25">
      <c r="A11" s="13">
        <v>41579</v>
      </c>
      <c r="B11" s="28">
        <v>19427.440000000002</v>
      </c>
      <c r="C11" s="8">
        <f t="shared" si="0"/>
        <v>17845.578330010176</v>
      </c>
      <c r="I11" s="8">
        <f t="shared" si="1"/>
        <v>17845.578330010176</v>
      </c>
    </row>
    <row r="12" spans="1:11" x14ac:dyDescent="0.25">
      <c r="A12" s="13">
        <v>41609</v>
      </c>
      <c r="B12" s="28">
        <v>18272.479999999992</v>
      </c>
      <c r="C12" s="8">
        <f t="shared" si="0"/>
        <v>19583.754214733839</v>
      </c>
      <c r="I12" s="8">
        <f t="shared" si="1"/>
        <v>19583.754214733839</v>
      </c>
    </row>
    <row r="13" spans="1:11" x14ac:dyDescent="0.25">
      <c r="A13" s="13">
        <v>41640</v>
      </c>
      <c r="B13" s="28">
        <v>15391.42</v>
      </c>
      <c r="C13" s="8">
        <f t="shared" si="0"/>
        <v>21118.749117553234</v>
      </c>
      <c r="I13" s="8">
        <f t="shared" si="1"/>
        <v>21118.749117553234</v>
      </c>
    </row>
    <row r="14" spans="1:11" x14ac:dyDescent="0.25">
      <c r="A14" s="13">
        <v>41671</v>
      </c>
      <c r="B14" s="28">
        <v>17521.940000000002</v>
      </c>
      <c r="C14" s="8">
        <f t="shared" si="0"/>
        <v>22388.343183577061</v>
      </c>
      <c r="I14" s="8">
        <f t="shared" si="1"/>
        <v>22388.343183577061</v>
      </c>
    </row>
    <row r="15" spans="1:11" x14ac:dyDescent="0.25">
      <c r="A15" s="13">
        <v>41699</v>
      </c>
      <c r="B15" s="28">
        <v>22233.93</v>
      </c>
      <c r="C15" s="8">
        <f t="shared" si="0"/>
        <v>23306.955627053976</v>
      </c>
      <c r="I15" s="8">
        <f t="shared" si="1"/>
        <v>23306.955627053976</v>
      </c>
    </row>
    <row r="16" spans="1:11" x14ac:dyDescent="0.25">
      <c r="A16" s="13">
        <v>41730</v>
      </c>
      <c r="B16" s="28">
        <v>20310.409999999996</v>
      </c>
      <c r="C16" s="8">
        <f t="shared" si="0"/>
        <v>24071.431971490383</v>
      </c>
      <c r="I16" s="8">
        <f t="shared" si="1"/>
        <v>24071.431971490383</v>
      </c>
    </row>
    <row r="17" spans="1:9" x14ac:dyDescent="0.25">
      <c r="A17" s="13">
        <v>41760</v>
      </c>
      <c r="B17" s="28">
        <v>24829.470000000005</v>
      </c>
      <c r="C17" s="8">
        <f t="shared" si="0"/>
        <v>24558.550842136145</v>
      </c>
      <c r="I17" s="8">
        <f t="shared" si="1"/>
        <v>24558.550842136145</v>
      </c>
    </row>
    <row r="18" spans="1:9" x14ac:dyDescent="0.25">
      <c r="A18" s="13">
        <v>41791</v>
      </c>
      <c r="B18" s="28">
        <v>28204.03</v>
      </c>
      <c r="C18" s="8">
        <f t="shared" si="0"/>
        <v>24800.786830365658</v>
      </c>
      <c r="I18" s="8">
        <f t="shared" si="1"/>
        <v>24800.786830365658</v>
      </c>
    </row>
    <row r="19" spans="1:9" x14ac:dyDescent="0.25">
      <c r="A19" s="13">
        <v>41821</v>
      </c>
      <c r="B19" s="28">
        <v>25760.629999999997</v>
      </c>
      <c r="C19" s="8">
        <f t="shared" si="0"/>
        <v>24782.511807858944</v>
      </c>
      <c r="I19" s="8">
        <f t="shared" si="1"/>
        <v>24782.511807858944</v>
      </c>
    </row>
    <row r="20" spans="1:9" x14ac:dyDescent="0.25">
      <c r="A20" s="13">
        <v>41852</v>
      </c>
      <c r="B20" s="28">
        <v>24127.399999999998</v>
      </c>
      <c r="C20" s="8">
        <f t="shared" si="0"/>
        <v>24502.507439881563</v>
      </c>
      <c r="I20" s="8">
        <f t="shared" si="1"/>
        <v>24502.507439881563</v>
      </c>
    </row>
    <row r="21" spans="1:9" x14ac:dyDescent="0.25">
      <c r="A21" s="13">
        <v>41883</v>
      </c>
      <c r="B21" s="28">
        <v>26603.609999999986</v>
      </c>
      <c r="C21" s="8">
        <f t="shared" si="0"/>
        <v>23957.102235108614</v>
      </c>
      <c r="I21" s="8">
        <f t="shared" si="1"/>
        <v>23957.102235108614</v>
      </c>
    </row>
    <row r="22" spans="1:9" x14ac:dyDescent="0.25">
      <c r="A22" s="13">
        <v>41913</v>
      </c>
      <c r="B22" s="28">
        <v>25815.109999999993</v>
      </c>
      <c r="C22" s="8">
        <f t="shared" si="0"/>
        <v>23176.593800127506</v>
      </c>
      <c r="I22" s="8">
        <f t="shared" si="1"/>
        <v>23176.593800127506</v>
      </c>
    </row>
    <row r="23" spans="1:9" x14ac:dyDescent="0.25">
      <c r="A23" s="13">
        <v>41944</v>
      </c>
      <c r="B23" s="28">
        <v>22678.340000000004</v>
      </c>
      <c r="C23" s="8">
        <f t="shared" si="0"/>
        <v>22108.948239147663</v>
      </c>
      <c r="I23" s="8">
        <f t="shared" si="1"/>
        <v>22108.948239147663</v>
      </c>
    </row>
    <row r="24" spans="1:9" x14ac:dyDescent="0.25">
      <c r="A24" s="13">
        <v>41974</v>
      </c>
      <c r="B24" s="28">
        <v>29134.39</v>
      </c>
      <c r="C24" s="8">
        <f t="shared" si="0"/>
        <v>20823.045910984278</v>
      </c>
      <c r="I24" s="8">
        <f t="shared" si="1"/>
        <v>20823.045910984278</v>
      </c>
    </row>
    <row r="25" spans="1:9" x14ac:dyDescent="0.25">
      <c r="A25" s="13">
        <v>42005</v>
      </c>
      <c r="B25" s="28">
        <v>20397.880000000005</v>
      </c>
      <c r="C25" s="8">
        <f t="shared" si="0"/>
        <v>19233.159993767738</v>
      </c>
      <c r="I25" s="8">
        <f t="shared" si="1"/>
        <v>19233.159993767738</v>
      </c>
    </row>
    <row r="26" spans="1:9" x14ac:dyDescent="0.25">
      <c r="A26" s="13">
        <v>42036</v>
      </c>
      <c r="B26" s="28">
        <v>19540.779999999995</v>
      </c>
      <c r="C26" s="8">
        <f t="shared" si="0"/>
        <v>17377.873239815235</v>
      </c>
      <c r="I26" s="8">
        <f t="shared" si="1"/>
        <v>17377.873239815235</v>
      </c>
    </row>
    <row r="27" spans="1:9" x14ac:dyDescent="0.25">
      <c r="A27" s="13">
        <v>42064</v>
      </c>
      <c r="B27" s="28">
        <v>4083.6200000000003</v>
      </c>
      <c r="C27" s="8">
        <f t="shared" si="0"/>
        <v>15474.012684494257</v>
      </c>
      <c r="I27" s="8">
        <f t="shared" si="1"/>
        <v>15474.012684494257</v>
      </c>
    </row>
    <row r="28" spans="1:9" x14ac:dyDescent="0.25">
      <c r="I28" s="8"/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7"/>
  <sheetViews>
    <sheetView topLeftCell="C1" workbookViewId="0">
      <selection activeCell="I21" sqref="I21"/>
    </sheetView>
  </sheetViews>
  <sheetFormatPr defaultRowHeight="15" x14ac:dyDescent="0.25"/>
  <cols>
    <col min="1" max="1" width="17.42578125" style="8" customWidth="1"/>
    <col min="2" max="2" width="15" style="11" customWidth="1"/>
    <col min="3" max="4" width="9.140625" style="15"/>
    <col min="5" max="5" width="22.140625" style="15" customWidth="1"/>
    <col min="6" max="6" width="36.42578125" style="15" customWidth="1"/>
    <col min="7" max="7" width="35.85546875" style="15" customWidth="1"/>
    <col min="8" max="9" width="32" style="15" customWidth="1"/>
    <col min="10" max="10" width="38.42578125" style="15" customWidth="1"/>
    <col min="11" max="16384" width="9.140625" style="15"/>
  </cols>
  <sheetData>
    <row r="2" spans="1:10" x14ac:dyDescent="0.25">
      <c r="E2" s="2"/>
      <c r="F2" s="2"/>
    </row>
    <row r="3" spans="1:10" x14ac:dyDescent="0.25">
      <c r="F3" s="15" t="s">
        <v>100</v>
      </c>
      <c r="G3" s="15" t="s">
        <v>95</v>
      </c>
      <c r="H3" s="15" t="s">
        <v>96</v>
      </c>
      <c r="I3" s="15" t="s">
        <v>59</v>
      </c>
    </row>
    <row r="4" spans="1:10" x14ac:dyDescent="0.25">
      <c r="A4" s="9" t="s">
        <v>46</v>
      </c>
      <c r="B4" s="10" t="s">
        <v>47</v>
      </c>
      <c r="C4" s="15" t="s">
        <v>60</v>
      </c>
      <c r="E4" s="2" t="s">
        <v>53</v>
      </c>
      <c r="F4" s="15" t="s">
        <v>101</v>
      </c>
      <c r="G4" s="15" t="s">
        <v>102</v>
      </c>
      <c r="H4" s="15" t="s">
        <v>103</v>
      </c>
      <c r="I4" s="15" t="s">
        <v>105</v>
      </c>
      <c r="J4" s="15" t="s">
        <v>104</v>
      </c>
    </row>
    <row r="5" spans="1:10" x14ac:dyDescent="0.25">
      <c r="A5" s="9">
        <v>41395</v>
      </c>
      <c r="B5" s="11">
        <v>3411.58</v>
      </c>
      <c r="C5" s="15">
        <f>J5</f>
        <v>5799.7854156494141</v>
      </c>
      <c r="E5" s="15">
        <f>LINEST(LN(B5:B27),A5:A27)</f>
        <v>1.2797302173867338E-3</v>
      </c>
      <c r="F5" s="15">
        <f>INDEX(LINEST(B5:B27,A5:A27^{1,2,3}),1)</f>
        <v>-3.1512585601464467E-4</v>
      </c>
      <c r="G5" s="15">
        <f>INDEX(LINEST(B5:B27,A5:A27^{1,2,3}),1,2)</f>
        <v>39.311095451816328</v>
      </c>
      <c r="H5" s="15">
        <f>INDEX(LINEST(B5:B27,A5:A27^{1,2,3}),1,3)</f>
        <v>-1634587.0455324517</v>
      </c>
      <c r="I5" s="15">
        <f>INDEX(LINEST(B5:B27,A5:A27^{1,2,3}),1,4)</f>
        <v>22654947325.528801</v>
      </c>
      <c r="J5" s="8">
        <f xml:space="preserve">  ($F$5 * A5^3) + ($G$5 * A5^2) + ($H$5 * A5 ^1) + $I$5</f>
        <v>5799.7854156494141</v>
      </c>
    </row>
    <row r="6" spans="1:10" x14ac:dyDescent="0.25">
      <c r="A6" s="9">
        <v>41426</v>
      </c>
      <c r="B6" s="11">
        <v>7401.1399999999994</v>
      </c>
      <c r="C6" s="15">
        <f t="shared" ref="C6:C27" si="0">J6</f>
        <v>6908.4434814453125</v>
      </c>
      <c r="J6" s="8">
        <f t="shared" ref="J6:J27" si="1" xml:space="preserve">  ($F$5 * A6^3) + ($G$5 * A6^2) + ($H$5 * A6 ^1) + $I$5</f>
        <v>6908.4434814453125</v>
      </c>
    </row>
    <row r="7" spans="1:10" x14ac:dyDescent="0.25">
      <c r="A7" s="9">
        <v>41456</v>
      </c>
      <c r="B7" s="11">
        <v>5770.2100000000019</v>
      </c>
      <c r="C7" s="15">
        <f t="shared" si="0"/>
        <v>8252.5433731079102</v>
      </c>
      <c r="J7" s="8">
        <f t="shared" si="1"/>
        <v>8252.5433731079102</v>
      </c>
    </row>
    <row r="8" spans="1:10" x14ac:dyDescent="0.25">
      <c r="A8" s="9">
        <v>41487</v>
      </c>
      <c r="B8" s="11">
        <v>9407.7100000000009</v>
      </c>
      <c r="C8" s="15">
        <f t="shared" si="0"/>
        <v>9866.86865234375</v>
      </c>
      <c r="J8" s="8">
        <f t="shared" si="1"/>
        <v>9866.86865234375</v>
      </c>
    </row>
    <row r="9" spans="1:10" x14ac:dyDescent="0.25">
      <c r="A9" s="9">
        <v>41518</v>
      </c>
      <c r="B9" s="11">
        <v>18151.690000000002</v>
      </c>
      <c r="C9" s="15">
        <f t="shared" si="0"/>
        <v>11654.589645385742</v>
      </c>
      <c r="J9" s="8">
        <f t="shared" si="1"/>
        <v>11654.589645385742</v>
      </c>
    </row>
    <row r="10" spans="1:10" x14ac:dyDescent="0.25">
      <c r="A10" s="9">
        <v>41548</v>
      </c>
      <c r="B10" s="11">
        <v>15915.650000000001</v>
      </c>
      <c r="C10" s="15">
        <f t="shared" si="0"/>
        <v>13496.68342590332</v>
      </c>
      <c r="J10" s="8">
        <f t="shared" si="1"/>
        <v>13496.68342590332</v>
      </c>
    </row>
    <row r="11" spans="1:10" x14ac:dyDescent="0.25">
      <c r="A11" s="9">
        <v>41579</v>
      </c>
      <c r="B11" s="11">
        <v>19427.440000000002</v>
      </c>
      <c r="C11" s="15">
        <f t="shared" si="0"/>
        <v>15461.133178710938</v>
      </c>
      <c r="J11" s="8">
        <f t="shared" si="1"/>
        <v>15461.133178710938</v>
      </c>
    </row>
    <row r="12" spans="1:10" x14ac:dyDescent="0.25">
      <c r="A12" s="9">
        <v>41609</v>
      </c>
      <c r="B12" s="11">
        <v>18272.479999999992</v>
      </c>
      <c r="C12" s="15">
        <f t="shared" si="0"/>
        <v>17368.722297668457</v>
      </c>
      <c r="J12" s="8">
        <f t="shared" si="1"/>
        <v>17368.722297668457</v>
      </c>
    </row>
    <row r="13" spans="1:10" x14ac:dyDescent="0.25">
      <c r="A13" s="9">
        <v>41640</v>
      </c>
      <c r="B13" s="11">
        <v>15391.42</v>
      </c>
      <c r="C13" s="15">
        <f t="shared" si="0"/>
        <v>19291.800331115723</v>
      </c>
      <c r="J13" s="8">
        <f t="shared" si="1"/>
        <v>19291.800331115723</v>
      </c>
    </row>
    <row r="14" spans="1:10" x14ac:dyDescent="0.25">
      <c r="A14" s="9">
        <v>41671</v>
      </c>
      <c r="B14" s="11">
        <v>17521.940000000002</v>
      </c>
      <c r="C14" s="15">
        <f t="shared" si="0"/>
        <v>21110.270668029785</v>
      </c>
      <c r="J14" s="8">
        <f t="shared" si="1"/>
        <v>21110.270668029785</v>
      </c>
    </row>
    <row r="15" spans="1:10" x14ac:dyDescent="0.25">
      <c r="A15" s="9">
        <v>41699</v>
      </c>
      <c r="B15" s="11">
        <v>21798.85</v>
      </c>
      <c r="C15" s="15">
        <f t="shared" si="0"/>
        <v>22615.994529724121</v>
      </c>
      <c r="J15" s="8">
        <f t="shared" si="1"/>
        <v>22615.994529724121</v>
      </c>
    </row>
    <row r="16" spans="1:10" x14ac:dyDescent="0.25">
      <c r="A16" s="9">
        <v>41730</v>
      </c>
      <c r="B16" s="11">
        <v>20310.409999999993</v>
      </c>
      <c r="C16" s="15">
        <f t="shared" si="0"/>
        <v>24079.754196166992</v>
      </c>
      <c r="J16" s="8">
        <f t="shared" si="1"/>
        <v>24079.754196166992</v>
      </c>
    </row>
    <row r="17" spans="1:10" x14ac:dyDescent="0.25">
      <c r="A17" s="9">
        <v>41760</v>
      </c>
      <c r="B17" s="11">
        <v>24829.47</v>
      </c>
      <c r="C17" s="15">
        <f t="shared" si="0"/>
        <v>25241.568336486816</v>
      </c>
      <c r="J17" s="8">
        <f t="shared" si="1"/>
        <v>25241.568336486816</v>
      </c>
    </row>
    <row r="18" spans="1:10" x14ac:dyDescent="0.25">
      <c r="A18" s="9">
        <v>41791</v>
      </c>
      <c r="B18" s="11">
        <v>28204.03</v>
      </c>
      <c r="C18" s="15">
        <f t="shared" si="0"/>
        <v>26124.068161010742</v>
      </c>
      <c r="J18" s="8">
        <f t="shared" si="1"/>
        <v>26124.068161010742</v>
      </c>
    </row>
    <row r="19" spans="1:10" x14ac:dyDescent="0.25">
      <c r="A19" s="9">
        <v>41821</v>
      </c>
      <c r="B19" s="11">
        <v>25760.629999999997</v>
      </c>
      <c r="C19" s="15">
        <f t="shared" si="0"/>
        <v>26617.840278625488</v>
      </c>
      <c r="J19" s="8">
        <f t="shared" si="1"/>
        <v>26617.840278625488</v>
      </c>
    </row>
    <row r="20" spans="1:10" x14ac:dyDescent="0.25">
      <c r="A20" s="9">
        <v>41852</v>
      </c>
      <c r="B20" s="11">
        <v>24127.400000000005</v>
      </c>
      <c r="C20" s="15">
        <f t="shared" si="0"/>
        <v>26700.979766845703</v>
      </c>
      <c r="J20" s="8">
        <f t="shared" si="1"/>
        <v>26700.979766845703</v>
      </c>
    </row>
    <row r="21" spans="1:10" x14ac:dyDescent="0.25">
      <c r="A21" s="9">
        <v>41883</v>
      </c>
      <c r="B21" s="11">
        <v>26603.609999999993</v>
      </c>
      <c r="C21" s="15">
        <f t="shared" si="0"/>
        <v>26294.304229736328</v>
      </c>
      <c r="J21" s="8">
        <f t="shared" si="1"/>
        <v>26294.304229736328</v>
      </c>
    </row>
    <row r="22" spans="1:10" x14ac:dyDescent="0.25">
      <c r="A22" s="9">
        <v>41913</v>
      </c>
      <c r="B22" s="11">
        <v>25815.109999999993</v>
      </c>
      <c r="C22" s="15">
        <f t="shared" si="0"/>
        <v>25381.323532104492</v>
      </c>
      <c r="J22" s="8">
        <f t="shared" si="1"/>
        <v>25381.323532104492</v>
      </c>
    </row>
    <row r="23" spans="1:10" x14ac:dyDescent="0.25">
      <c r="A23" s="9">
        <v>41944</v>
      </c>
      <c r="B23" s="11">
        <v>22678.340000000004</v>
      </c>
      <c r="C23" s="15">
        <f t="shared" si="0"/>
        <v>23846.349197387695</v>
      </c>
      <c r="J23" s="8">
        <f t="shared" si="1"/>
        <v>23846.349197387695</v>
      </c>
    </row>
    <row r="24" spans="1:10" x14ac:dyDescent="0.25">
      <c r="A24" s="9">
        <v>41974</v>
      </c>
      <c r="B24" s="11">
        <v>29134.39</v>
      </c>
      <c r="C24" s="15">
        <f t="shared" si="0"/>
        <v>21735.933952331543</v>
      </c>
      <c r="J24" s="8">
        <f t="shared" si="1"/>
        <v>21735.933952331543</v>
      </c>
    </row>
    <row r="25" spans="1:10" x14ac:dyDescent="0.25">
      <c r="A25" s="9">
        <v>42005</v>
      </c>
      <c r="B25" s="11">
        <v>20397.880000000005</v>
      </c>
      <c r="C25" s="15">
        <f t="shared" si="0"/>
        <v>18854.560340881348</v>
      </c>
      <c r="J25" s="8">
        <f t="shared" si="1"/>
        <v>18854.560340881348</v>
      </c>
    </row>
    <row r="26" spans="1:10" x14ac:dyDescent="0.25">
      <c r="A26" s="9">
        <v>42036</v>
      </c>
      <c r="B26" s="11">
        <v>19540.779999999995</v>
      </c>
      <c r="C26" s="15">
        <f t="shared" si="0"/>
        <v>15205.368301391602</v>
      </c>
      <c r="J26" s="8">
        <f t="shared" si="1"/>
        <v>15205.368301391602</v>
      </c>
    </row>
    <row r="27" spans="1:10" x14ac:dyDescent="0.25">
      <c r="A27" s="9">
        <v>42064</v>
      </c>
      <c r="B27" s="11">
        <v>3239.2400000000007</v>
      </c>
      <c r="C27" s="15">
        <f t="shared" si="0"/>
        <v>11202.514656066895</v>
      </c>
      <c r="J27" s="8">
        <f t="shared" si="1"/>
        <v>11202.514656066895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Formulas</vt:lpstr>
      <vt:lpstr>Example Formulas</vt:lpstr>
      <vt:lpstr>Chart Comparison</vt:lpstr>
      <vt:lpstr>Linear Trendline</vt:lpstr>
      <vt:lpstr>Logarithmic Trendline</vt:lpstr>
      <vt:lpstr>Power Trendline</vt:lpstr>
      <vt:lpstr>Exponential Trendline</vt:lpstr>
      <vt:lpstr>2nd Order Polynomial Trend</vt:lpstr>
      <vt:lpstr>3rd Order Polynomial Trend</vt:lpstr>
      <vt:lpstr>4th Order Polynomial Trend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Byard</dc:creator>
  <cp:lastModifiedBy>Richard Byard</cp:lastModifiedBy>
  <dcterms:created xsi:type="dcterms:W3CDTF">2017-09-23T16:45:36Z</dcterms:created>
  <dcterms:modified xsi:type="dcterms:W3CDTF">2017-10-04T14:23:02Z</dcterms:modified>
</cp:coreProperties>
</file>