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123/"/>
    </mc:Choice>
  </mc:AlternateContent>
  <bookViews>
    <workbookView xWindow="0" yWindow="440" windowWidth="28800" windowHeight="16200" activeTab="6"/>
  </bookViews>
  <sheets>
    <sheet name="Диаграмма1" sheetId="2" r:id="rId1"/>
    <sheet name="Диаграмма2" sheetId="3" r:id="rId2"/>
    <sheet name="Диаграмма3" sheetId="4" r:id="rId3"/>
    <sheet name="Диаграмма5" sheetId="6" r:id="rId4"/>
    <sheet name="Диаграмма4" sheetId="7" r:id="rId5"/>
    <sheet name="Диаграмма6" sheetId="8" r:id="rId6"/>
    <sheet name="Лист1" sheetId="1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1" i="1" l="1"/>
  <c r="R32" i="1"/>
  <c r="R33" i="1"/>
  <c r="R34" i="1"/>
  <c r="R35" i="1"/>
  <c r="R36" i="1"/>
  <c r="R37" i="1"/>
  <c r="R30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22" i="1"/>
  <c r="R23" i="1"/>
  <c r="R24" i="1"/>
  <c r="R25" i="1"/>
  <c r="R26" i="1"/>
  <c r="R27" i="1"/>
  <c r="R29" i="1"/>
  <c r="R2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H43" i="1"/>
  <c r="N36" i="1"/>
  <c r="N34" i="1"/>
  <c r="N32" i="1"/>
  <c r="N30" i="1"/>
  <c r="N24" i="1"/>
  <c r="O24" i="1"/>
  <c r="O28" i="1"/>
  <c r="O32" i="1"/>
  <c r="O36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2" i="1"/>
  <c r="K45" i="1"/>
  <c r="K46" i="1"/>
  <c r="K47" i="1"/>
  <c r="N25" i="1"/>
  <c r="K48" i="1"/>
  <c r="K49" i="1"/>
  <c r="N27" i="1"/>
  <c r="K50" i="1"/>
  <c r="K51" i="1"/>
  <c r="N29" i="1"/>
  <c r="K52" i="1"/>
  <c r="K53" i="1"/>
  <c r="N31" i="1"/>
  <c r="K54" i="1"/>
  <c r="K55" i="1"/>
  <c r="N33" i="1"/>
  <c r="K56" i="1"/>
  <c r="K57" i="1"/>
  <c r="N35" i="1"/>
  <c r="K58" i="1"/>
  <c r="K44" i="1"/>
  <c r="H44" i="1"/>
  <c r="H45" i="1"/>
  <c r="H46" i="1"/>
  <c r="H47" i="1"/>
  <c r="H48" i="1"/>
  <c r="H49" i="1"/>
  <c r="H50" i="1"/>
  <c r="H51" i="1"/>
  <c r="H52" i="1"/>
  <c r="H53" i="1"/>
  <c r="H54" i="1"/>
  <c r="H55" i="1"/>
  <c r="F48" i="1"/>
  <c r="N45" i="1"/>
  <c r="O23" i="1"/>
  <c r="N46" i="1"/>
  <c r="N47" i="1"/>
  <c r="O25" i="1"/>
  <c r="N48" i="1"/>
  <c r="O26" i="1"/>
  <c r="N49" i="1"/>
  <c r="O27" i="1"/>
  <c r="N50" i="1"/>
  <c r="N51" i="1"/>
  <c r="O29" i="1"/>
  <c r="N52" i="1"/>
  <c r="O30" i="1"/>
  <c r="N53" i="1"/>
  <c r="O31" i="1"/>
  <c r="N54" i="1"/>
  <c r="N55" i="1"/>
  <c r="O33" i="1"/>
  <c r="N56" i="1"/>
  <c r="O34" i="1"/>
  <c r="N57" i="1"/>
  <c r="O35" i="1"/>
  <c r="N58" i="1"/>
  <c r="N44" i="1"/>
  <c r="O22" i="1"/>
  <c r="F43" i="1"/>
  <c r="F49" i="1"/>
  <c r="F47" i="1"/>
  <c r="F46" i="1"/>
  <c r="F45" i="1"/>
  <c r="F44" i="1"/>
  <c r="J19" i="1"/>
  <c r="F19" i="1"/>
  <c r="F15" i="1"/>
  <c r="J15" i="1"/>
  <c r="G16" i="1"/>
  <c r="G17" i="1"/>
  <c r="G18" i="1"/>
  <c r="G19" i="1"/>
  <c r="G20" i="1"/>
  <c r="G21" i="1"/>
  <c r="G15" i="1"/>
  <c r="H15" i="1"/>
  <c r="I15" i="1"/>
  <c r="G3" i="1"/>
  <c r="G4" i="1"/>
  <c r="G5" i="1"/>
  <c r="G6" i="1"/>
  <c r="G7" i="1"/>
  <c r="G8" i="1"/>
  <c r="G2" i="1"/>
  <c r="S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3" i="1"/>
  <c r="E21" i="1"/>
  <c r="F21" i="1"/>
  <c r="J21" i="1"/>
  <c r="E20" i="1"/>
  <c r="F20" i="1"/>
  <c r="E19" i="1"/>
  <c r="E18" i="1"/>
  <c r="F18" i="1"/>
  <c r="E17" i="1"/>
  <c r="F17" i="1"/>
  <c r="J17" i="1"/>
  <c r="E16" i="1"/>
  <c r="F16" i="1"/>
  <c r="E15" i="1"/>
  <c r="E3" i="1"/>
  <c r="F3" i="1"/>
  <c r="E4" i="1"/>
  <c r="F4" i="1"/>
  <c r="E5" i="1"/>
  <c r="F5" i="1"/>
  <c r="J5" i="1"/>
  <c r="E6" i="1"/>
  <c r="F6" i="1"/>
  <c r="J6" i="1"/>
  <c r="E7" i="1"/>
  <c r="F7" i="1"/>
  <c r="E8" i="1"/>
  <c r="F8" i="1"/>
  <c r="E2" i="1"/>
  <c r="F2" i="1"/>
  <c r="J2" i="1"/>
  <c r="J20" i="1"/>
  <c r="H20" i="1"/>
  <c r="I20" i="1"/>
  <c r="K20" i="1"/>
  <c r="J8" i="1"/>
  <c r="H8" i="1"/>
  <c r="I8" i="1"/>
  <c r="K8" i="1"/>
  <c r="J4" i="1"/>
  <c r="H4" i="1"/>
  <c r="I4" i="1"/>
  <c r="K4" i="1"/>
  <c r="H6" i="1"/>
  <c r="I6" i="1"/>
  <c r="K6" i="1"/>
  <c r="K15" i="1"/>
  <c r="J3" i="1"/>
  <c r="H3" i="1"/>
  <c r="I3" i="1"/>
  <c r="K3" i="1"/>
  <c r="H5" i="1"/>
  <c r="I5" i="1"/>
  <c r="K5" i="1"/>
  <c r="I21" i="1"/>
  <c r="K21" i="1"/>
  <c r="H17" i="1"/>
  <c r="J16" i="1"/>
  <c r="H16" i="1"/>
  <c r="I16" i="1"/>
  <c r="J7" i="1"/>
  <c r="H7" i="1"/>
  <c r="I7" i="1"/>
  <c r="J18" i="1"/>
  <c r="H18" i="1"/>
  <c r="I18" i="1"/>
  <c r="I2" i="1"/>
  <c r="K2" i="1"/>
  <c r="H2" i="1"/>
  <c r="H21" i="1"/>
  <c r="H19" i="1"/>
  <c r="I19" i="1"/>
  <c r="K19" i="1"/>
  <c r="E9" i="1"/>
  <c r="I17" i="1"/>
  <c r="K17" i="1"/>
  <c r="E10" i="1"/>
  <c r="E12" i="1"/>
  <c r="E23" i="1"/>
  <c r="E25" i="1"/>
  <c r="E22" i="1"/>
  <c r="K18" i="1"/>
  <c r="K16" i="1"/>
  <c r="K23" i="1"/>
  <c r="K25" i="1"/>
  <c r="K9" i="1"/>
  <c r="K7" i="1"/>
  <c r="K10" i="1"/>
  <c r="K12" i="1"/>
  <c r="K22" i="1"/>
</calcChain>
</file>

<file path=xl/comments1.xml><?xml version="1.0" encoding="utf-8"?>
<comments xmlns="http://schemas.openxmlformats.org/spreadsheetml/2006/main">
  <authors>
    <author>Пользователь Microsoft Office</author>
  </authors>
  <commentList>
    <comment ref="L1" authorId="0">
      <text>
        <r>
          <rPr>
            <b/>
            <sz val="10"/>
            <color indexed="81"/>
            <rFont val="Calibri"/>
          </rPr>
          <t>Пользователь Microsoft Office: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<sst xmlns="http://schemas.openxmlformats.org/spreadsheetml/2006/main" count="54" uniqueCount="25">
  <si>
    <r>
      <t>С</t>
    </r>
    <r>
      <rPr>
        <sz val="10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, нФ</t>
    </r>
  </si>
  <si>
    <r>
      <rPr>
        <sz val="14"/>
        <color theme="1"/>
        <rFont val="Calibri"/>
        <family val="2"/>
        <charset val="204"/>
        <scheme val="minor"/>
      </rPr>
      <t>f</t>
    </r>
    <r>
      <rPr>
        <sz val="10"/>
        <color theme="1"/>
        <rFont val="Calibri"/>
        <family val="2"/>
        <charset val="204"/>
        <scheme val="minor"/>
      </rPr>
      <t xml:space="preserve">on, </t>
    </r>
    <r>
      <rPr>
        <sz val="11"/>
        <color theme="1"/>
        <rFont val="Calibri"/>
        <family val="2"/>
        <charset val="204"/>
        <scheme val="minor"/>
      </rPr>
      <t>кГц</t>
    </r>
  </si>
  <si>
    <t>U, B</t>
  </si>
  <si>
    <t>E, B</t>
  </si>
  <si>
    <t>L, мкГн</t>
  </si>
  <si>
    <t>ƍ, Ом</t>
  </si>
  <si>
    <t>Q</t>
  </si>
  <si>
    <r>
      <t>Z</t>
    </r>
    <r>
      <rPr>
        <sz val="10"/>
        <color theme="1"/>
        <rFont val="Calibri"/>
        <family val="2"/>
        <charset val="204"/>
        <scheme val="minor"/>
      </rPr>
      <t xml:space="preserve">рез, </t>
    </r>
    <r>
      <rPr>
        <sz val="11"/>
        <color theme="1"/>
        <rFont val="Calibri"/>
        <family val="2"/>
        <charset val="204"/>
        <scheme val="minor"/>
      </rPr>
      <t>Ом</t>
    </r>
  </si>
  <si>
    <r>
      <rPr>
        <sz val="12"/>
        <color theme="1"/>
        <rFont val="Calibri"/>
        <family val="2"/>
        <scheme val="minor"/>
      </rPr>
      <t>R</t>
    </r>
    <r>
      <rPr>
        <sz val="9"/>
        <color theme="1"/>
        <rFont val="Calibri"/>
        <family val="2"/>
        <charset val="204"/>
      </rPr>
      <t xml:space="preserve">Σ, </t>
    </r>
    <r>
      <rPr>
        <sz val="11"/>
        <color theme="1"/>
        <rFont val="Calibri"/>
        <family val="2"/>
        <charset val="204"/>
      </rPr>
      <t>Ом</t>
    </r>
  </si>
  <si>
    <r>
      <rPr>
        <sz val="12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charset val="204"/>
        <scheme val="minor"/>
      </rPr>
      <t>s</t>
    </r>
    <r>
      <rPr>
        <sz val="9"/>
        <color theme="1"/>
        <rFont val="Calibri"/>
        <family val="2"/>
        <charset val="204"/>
        <scheme val="minor"/>
      </rPr>
      <t xml:space="preserve">max, </t>
    </r>
    <r>
      <rPr>
        <sz val="11"/>
        <color theme="1"/>
        <rFont val="Calibri"/>
        <family val="2"/>
        <charset val="204"/>
        <scheme val="minor"/>
      </rPr>
      <t>Ом</t>
    </r>
  </si>
  <si>
    <r>
      <rPr>
        <sz val="12"/>
        <color theme="1"/>
        <rFont val="Calibri"/>
        <family val="2"/>
        <scheme val="minor"/>
      </rPr>
      <t>R</t>
    </r>
    <r>
      <rPr>
        <sz val="9"/>
        <color theme="1"/>
        <rFont val="Calibri"/>
        <family val="2"/>
        <charset val="204"/>
        <scheme val="minor"/>
      </rPr>
      <t xml:space="preserve">L, </t>
    </r>
    <r>
      <rPr>
        <sz val="11"/>
        <color theme="1"/>
        <rFont val="Calibri"/>
        <family val="2"/>
        <charset val="204"/>
        <scheme val="minor"/>
      </rPr>
      <t>Ом</t>
    </r>
  </si>
  <si>
    <t>Среднее значение</t>
  </si>
  <si>
    <t>Среднеквадратичная погрешность среднего значения</t>
  </si>
  <si>
    <t>Коэффициент Стьюдента для n=7, α=0,95</t>
  </si>
  <si>
    <t>случайная погрешность</t>
  </si>
  <si>
    <r>
      <rPr>
        <sz val="14"/>
        <color theme="1"/>
        <rFont val="Calibri"/>
        <family val="2"/>
        <charset val="204"/>
        <scheme val="minor"/>
      </rPr>
      <t>f</t>
    </r>
    <r>
      <rPr>
        <sz val="10"/>
        <color theme="1"/>
        <rFont val="Calibri"/>
        <family val="2"/>
        <charset val="204"/>
        <scheme val="minor"/>
      </rPr>
      <t xml:space="preserve">, </t>
    </r>
    <r>
      <rPr>
        <sz val="11"/>
        <color theme="1"/>
        <rFont val="Calibri"/>
        <family val="2"/>
        <charset val="204"/>
        <scheme val="minor"/>
      </rPr>
      <t>кГц</t>
    </r>
  </si>
  <si>
    <t>f/fo</t>
  </si>
  <si>
    <t>U/Uo</t>
  </si>
  <si>
    <t>C2=33,2 нФ</t>
  </si>
  <si>
    <t>C5=67,5 нФ</t>
  </si>
  <si>
    <t>X</t>
  </si>
  <si>
    <t>Xo</t>
  </si>
  <si>
    <t>X/Xo</t>
  </si>
  <si>
    <t>U</t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</si>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</sst>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sz val="8"/>
      <name val="Calibri"/>
      <family val="2"/>
      <charset val="204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11" xfId="0" applyBorder="1"/>
    <xf numFmtId="2" fontId="0" fillId="0" borderId="4" xfId="0" applyNumberFormat="1" applyBorder="1"/>
    <xf numFmtId="164" fontId="0" fillId="0" borderId="4" xfId="0" applyNumberFormat="1" applyBorder="1"/>
    <xf numFmtId="165" fontId="0" fillId="0" borderId="4" xfId="0" applyNumberFormat="1" applyBorder="1"/>
    <xf numFmtId="166" fontId="0" fillId="0" borderId="4" xfId="0" applyNumberFormat="1" applyBorder="1"/>
    <xf numFmtId="2" fontId="0" fillId="0" borderId="4" xfId="0" applyNumberFormat="1" applyBorder="1" applyAlignment="1">
      <alignment vertical="center"/>
    </xf>
    <xf numFmtId="166" fontId="0" fillId="0" borderId="11" xfId="0" applyNumberFormat="1" applyBorder="1"/>
    <xf numFmtId="2" fontId="0" fillId="0" borderId="11" xfId="0" applyNumberFormat="1" applyBorder="1"/>
    <xf numFmtId="164" fontId="0" fillId="0" borderId="11" xfId="0" applyNumberFormat="1" applyBorder="1"/>
    <xf numFmtId="2" fontId="0" fillId="0" borderId="0" xfId="0" applyNumberFormat="1"/>
    <xf numFmtId="0" fontId="0" fillId="0" borderId="7" xfId="0" applyBorder="1" applyAlignment="1">
      <alignment horizontal="center" vertical="center"/>
    </xf>
    <xf numFmtId="2" fontId="0" fillId="0" borderId="8" xfId="0" applyNumberFormat="1" applyBorder="1"/>
    <xf numFmtId="2" fontId="0" fillId="0" borderId="9" xfId="0" applyNumberFormat="1" applyFill="1" applyBorder="1"/>
    <xf numFmtId="2" fontId="0" fillId="0" borderId="10" xfId="0" applyNumberFormat="1" applyBorder="1"/>
    <xf numFmtId="2" fontId="0" fillId="0" borderId="12" xfId="0" applyNumberFormat="1" applyFill="1" applyBorder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6" fontId="0" fillId="0" borderId="8" xfId="0" applyNumberFormat="1" applyBorder="1"/>
    <xf numFmtId="166" fontId="0" fillId="0" borderId="10" xfId="0" applyNumberFormat="1" applyBorder="1"/>
    <xf numFmtId="166" fontId="0" fillId="0" borderId="9" xfId="0" applyNumberFormat="1" applyBorder="1"/>
    <xf numFmtId="166" fontId="0" fillId="0" borderId="12" xfId="0" applyNumberFormat="1" applyBorder="1"/>
    <xf numFmtId="2" fontId="0" fillId="0" borderId="6" xfId="0" applyNumberFormat="1" applyFont="1" applyBorder="1" applyAlignment="1">
      <alignment horizontal="center" vertical="center"/>
    </xf>
    <xf numFmtId="165" fontId="0" fillId="0" borderId="0" xfId="0" applyNumberFormat="1" applyBorder="1"/>
    <xf numFmtId="2" fontId="0" fillId="0" borderId="9" xfId="0" applyNumberFormat="1" applyBorder="1" applyAlignment="1">
      <alignment vertical="center"/>
    </xf>
    <xf numFmtId="2" fontId="0" fillId="0" borderId="9" xfId="0" applyNumberFormat="1" applyBorder="1"/>
    <xf numFmtId="164" fontId="0" fillId="0" borderId="9" xfId="0" applyNumberFormat="1" applyBorder="1"/>
    <xf numFmtId="2" fontId="0" fillId="0" borderId="12" xfId="0" applyNumberFormat="1" applyBorder="1"/>
    <xf numFmtId="164" fontId="0" fillId="0" borderId="12" xfId="0" applyNumberFormat="1" applyBorder="1"/>
    <xf numFmtId="2" fontId="0" fillId="0" borderId="8" xfId="0" applyNumberFormat="1" applyFill="1" applyBorder="1"/>
    <xf numFmtId="2" fontId="0" fillId="0" borderId="10" xfId="0" applyNumberFormat="1" applyFill="1" applyBorder="1"/>
    <xf numFmtId="0" fontId="0" fillId="0" borderId="18" xfId="0" applyBorder="1" applyAlignment="1">
      <alignment horizontal="center" vertical="center"/>
    </xf>
    <xf numFmtId="0" fontId="0" fillId="0" borderId="16" xfId="0" applyBorder="1"/>
    <xf numFmtId="164" fontId="0" fillId="0" borderId="8" xfId="0" applyNumberFormat="1" applyBorder="1"/>
    <xf numFmtId="2" fontId="0" fillId="0" borderId="8" xfId="0" applyNumberFormat="1" applyBorder="1" applyAlignment="1">
      <alignment vertical="center"/>
    </xf>
    <xf numFmtId="164" fontId="0" fillId="0" borderId="10" xfId="0" applyNumberFormat="1" applyBorder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worksheet" Target="worksheets/sheet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softEdge rad="0"/>
              </a:effectLst>
            </c:spPr>
          </c:marker>
          <c:xVal>
            <c:numRef>
              <c:f>Лист1!$M$3:$M$18</c:f>
              <c:numCache>
                <c:formatCode>0.00</c:formatCode>
                <c:ptCount val="16"/>
                <c:pt idx="0">
                  <c:v>27.18</c:v>
                </c:pt>
                <c:pt idx="1">
                  <c:v>27.14</c:v>
                </c:pt>
                <c:pt idx="2">
                  <c:v>27.27</c:v>
                </c:pt>
                <c:pt idx="3">
                  <c:v>27.46</c:v>
                </c:pt>
                <c:pt idx="4">
                  <c:v>27.54</c:v>
                </c:pt>
                <c:pt idx="5">
                  <c:v>27.59</c:v>
                </c:pt>
                <c:pt idx="6">
                  <c:v>27.93</c:v>
                </c:pt>
                <c:pt idx="7">
                  <c:v>27.33</c:v>
                </c:pt>
                <c:pt idx="8">
                  <c:v>27.99</c:v>
                </c:pt>
                <c:pt idx="9">
                  <c:v>28.14</c:v>
                </c:pt>
                <c:pt idx="10">
                  <c:v>28.34</c:v>
                </c:pt>
                <c:pt idx="11">
                  <c:v>28.21</c:v>
                </c:pt>
                <c:pt idx="12">
                  <c:v>28.5</c:v>
                </c:pt>
                <c:pt idx="13">
                  <c:v>28.27</c:v>
                </c:pt>
                <c:pt idx="14">
                  <c:v>28.23</c:v>
                </c:pt>
                <c:pt idx="15">
                  <c:v>28.01</c:v>
                </c:pt>
              </c:numCache>
            </c:numRef>
          </c:xVal>
          <c:yVal>
            <c:numRef>
              <c:f>Лист1!$N$3:$N$18</c:f>
              <c:numCache>
                <c:formatCode>0.00</c:formatCode>
                <c:ptCount val="16"/>
                <c:pt idx="0">
                  <c:v>0.56</c:v>
                </c:pt>
                <c:pt idx="1">
                  <c:v>0.54</c:v>
                </c:pt>
                <c:pt idx="2">
                  <c:v>0.61</c:v>
                </c:pt>
                <c:pt idx="3">
                  <c:v>0.74</c:v>
                </c:pt>
                <c:pt idx="4">
                  <c:v>0.79</c:v>
                </c:pt>
                <c:pt idx="5">
                  <c:v>0.83</c:v>
                </c:pt>
                <c:pt idx="6">
                  <c:v>0.89</c:v>
                </c:pt>
                <c:pt idx="7">
                  <c:v>0.66</c:v>
                </c:pt>
                <c:pt idx="8">
                  <c:v>0.89</c:v>
                </c:pt>
                <c:pt idx="9">
                  <c:v>0.79</c:v>
                </c:pt>
                <c:pt idx="10">
                  <c:v>0.66</c:v>
                </c:pt>
                <c:pt idx="11">
                  <c:v>0.74</c:v>
                </c:pt>
                <c:pt idx="12">
                  <c:v>0.56</c:v>
                </c:pt>
                <c:pt idx="13">
                  <c:v>0.7</c:v>
                </c:pt>
                <c:pt idx="14">
                  <c:v>0.73</c:v>
                </c:pt>
                <c:pt idx="15">
                  <c:v>0.86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2C-44F6-8602-E0A3F7B8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671824"/>
        <c:axId val="-2131589008"/>
      </c:scatterChart>
      <c:valAx>
        <c:axId val="-21326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baseline="0">
                    <a:effectLst/>
                  </a:rPr>
                  <a:t>f, </a:t>
                </a:r>
                <a:r>
                  <a:rPr lang="ru-RU" sz="2000" b="0" i="0" u="none" strike="noStrike" baseline="0">
                    <a:effectLst/>
                  </a:rPr>
                  <a:t>кГц</a:t>
                </a:r>
                <a:r>
                  <a:rPr lang="ru-RU" sz="2000" b="0" i="0" u="none" strike="noStrike" baseline="0"/>
                  <a:t> </a:t>
                </a:r>
                <a:endParaRPr lang="ru-RU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1589008"/>
        <c:crosses val="autoZero"/>
        <c:crossBetween val="midCat"/>
      </c:valAx>
      <c:valAx>
        <c:axId val="-213158900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U, B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267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Лист1!$O$3:$O$18</c:f>
              <c:numCache>
                <c:formatCode>0.00</c:formatCode>
                <c:ptCount val="16"/>
                <c:pt idx="0">
                  <c:v>18.92</c:v>
                </c:pt>
                <c:pt idx="1">
                  <c:v>18.75</c:v>
                </c:pt>
                <c:pt idx="2">
                  <c:v>18.83</c:v>
                </c:pt>
                <c:pt idx="3">
                  <c:v>19.11</c:v>
                </c:pt>
                <c:pt idx="4">
                  <c:v>18.6</c:v>
                </c:pt>
                <c:pt idx="5">
                  <c:v>19.06</c:v>
                </c:pt>
                <c:pt idx="6">
                  <c:v>18.68</c:v>
                </c:pt>
                <c:pt idx="7">
                  <c:v>19.3</c:v>
                </c:pt>
                <c:pt idx="8">
                  <c:v>19.68</c:v>
                </c:pt>
                <c:pt idx="9">
                  <c:v>19.8</c:v>
                </c:pt>
                <c:pt idx="10">
                  <c:v>20.06</c:v>
                </c:pt>
                <c:pt idx="11">
                  <c:v>20.37</c:v>
                </c:pt>
                <c:pt idx="12">
                  <c:v>20.0</c:v>
                </c:pt>
                <c:pt idx="13">
                  <c:v>19.77</c:v>
                </c:pt>
                <c:pt idx="14">
                  <c:v>20.16</c:v>
                </c:pt>
                <c:pt idx="15">
                  <c:v>19.94</c:v>
                </c:pt>
              </c:numCache>
            </c:numRef>
          </c:xVal>
          <c:yVal>
            <c:numRef>
              <c:f>Лист1!$P$3:$P$18</c:f>
              <c:numCache>
                <c:formatCode>0.00</c:formatCode>
                <c:ptCount val="16"/>
                <c:pt idx="0">
                  <c:v>0.31</c:v>
                </c:pt>
                <c:pt idx="1">
                  <c:v>0.26</c:v>
                </c:pt>
                <c:pt idx="2">
                  <c:v>0.28</c:v>
                </c:pt>
                <c:pt idx="3">
                  <c:v>0.37</c:v>
                </c:pt>
                <c:pt idx="4">
                  <c:v>0.22</c:v>
                </c:pt>
                <c:pt idx="5">
                  <c:v>0.36</c:v>
                </c:pt>
                <c:pt idx="6">
                  <c:v>0.24</c:v>
                </c:pt>
                <c:pt idx="7">
                  <c:v>0.45</c:v>
                </c:pt>
                <c:pt idx="8">
                  <c:v>0.44</c:v>
                </c:pt>
                <c:pt idx="9">
                  <c:v>0.4</c:v>
                </c:pt>
                <c:pt idx="10">
                  <c:v>0.31</c:v>
                </c:pt>
                <c:pt idx="11">
                  <c:v>0.23</c:v>
                </c:pt>
                <c:pt idx="12">
                  <c:v>0.33</c:v>
                </c:pt>
                <c:pt idx="13">
                  <c:v>0.41</c:v>
                </c:pt>
                <c:pt idx="14">
                  <c:v>0.28</c:v>
                </c:pt>
                <c:pt idx="15">
                  <c:v>0.35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3A-465E-91E1-1248F9F67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541296"/>
        <c:axId val="-2109531504"/>
      </c:scatterChart>
      <c:valAx>
        <c:axId val="-210954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f, </a:t>
                </a:r>
                <a:r>
                  <a:rPr lang="ru-RU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кГц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9531504"/>
        <c:crosses val="autoZero"/>
        <c:crossBetween val="midCat"/>
      </c:valAx>
      <c:valAx>
        <c:axId val="-2109531504"/>
        <c:scaling>
          <c:orientation val="minMax"/>
          <c:min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baseline="0">
                    <a:effectLst/>
                  </a:rPr>
                  <a:t>U, B </a:t>
                </a:r>
                <a:endParaRPr lang="ru-RU"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ru-RU"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954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Лист1!$R$3:$R$18</c:f>
              <c:numCache>
                <c:formatCode>0.000</c:formatCode>
                <c:ptCount val="16"/>
                <c:pt idx="0">
                  <c:v>0.977697841726619</c:v>
                </c:pt>
                <c:pt idx="1">
                  <c:v>0.976258992805755</c:v>
                </c:pt>
                <c:pt idx="2">
                  <c:v>0.980935251798561</c:v>
                </c:pt>
                <c:pt idx="3">
                  <c:v>0.987769784172662</c:v>
                </c:pt>
                <c:pt idx="4">
                  <c:v>0.990647482014388</c:v>
                </c:pt>
                <c:pt idx="5">
                  <c:v>0.992446043165468</c:v>
                </c:pt>
                <c:pt idx="6">
                  <c:v>1.004676258992806</c:v>
                </c:pt>
                <c:pt idx="7">
                  <c:v>0.983093525179856</c:v>
                </c:pt>
                <c:pt idx="8">
                  <c:v>1.006834532374101</c:v>
                </c:pt>
                <c:pt idx="9">
                  <c:v>1.012230215827338</c:v>
                </c:pt>
                <c:pt idx="10">
                  <c:v>1.019424460431655</c:v>
                </c:pt>
                <c:pt idx="11">
                  <c:v>1.014748201438849</c:v>
                </c:pt>
                <c:pt idx="12">
                  <c:v>1.025179856115108</c:v>
                </c:pt>
                <c:pt idx="13">
                  <c:v>1.016906474820144</c:v>
                </c:pt>
                <c:pt idx="14">
                  <c:v>1.015467625899281</c:v>
                </c:pt>
                <c:pt idx="15">
                  <c:v>1.007553956834532</c:v>
                </c:pt>
              </c:numCache>
            </c:numRef>
          </c:xVal>
          <c:yVal>
            <c:numRef>
              <c:f>Лист1!$S$3:$S$18</c:f>
              <c:numCache>
                <c:formatCode>0.000</c:formatCode>
                <c:ptCount val="16"/>
                <c:pt idx="0">
                  <c:v>0.615384615384615</c:v>
                </c:pt>
                <c:pt idx="1">
                  <c:v>0.593406593406593</c:v>
                </c:pt>
                <c:pt idx="2">
                  <c:v>0.67032967032967</c:v>
                </c:pt>
                <c:pt idx="3">
                  <c:v>0.813186813186813</c:v>
                </c:pt>
                <c:pt idx="4">
                  <c:v>0.868131868131868</c:v>
                </c:pt>
                <c:pt idx="5">
                  <c:v>0.912087912087912</c:v>
                </c:pt>
                <c:pt idx="6">
                  <c:v>0.978021978021978</c:v>
                </c:pt>
                <c:pt idx="7">
                  <c:v>0.725274725274725</c:v>
                </c:pt>
                <c:pt idx="8">
                  <c:v>0.978021978021978</c:v>
                </c:pt>
                <c:pt idx="9">
                  <c:v>0.868131868131868</c:v>
                </c:pt>
                <c:pt idx="10">
                  <c:v>0.725274725274725</c:v>
                </c:pt>
                <c:pt idx="11">
                  <c:v>0.813186813186813</c:v>
                </c:pt>
                <c:pt idx="12">
                  <c:v>0.615384615384615</c:v>
                </c:pt>
                <c:pt idx="13">
                  <c:v>0.769230769230769</c:v>
                </c:pt>
                <c:pt idx="14">
                  <c:v>0.802197802197802</c:v>
                </c:pt>
                <c:pt idx="15">
                  <c:v>0.945054945054945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D2-4E41-B540-449C303194B5}"/>
            </c:ext>
          </c:extLst>
        </c:ser>
        <c:ser>
          <c:idx val="1"/>
          <c:order val="1"/>
          <c:tx>
            <c:v>C5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Лист1!$T$3:$T$18</c:f>
              <c:numCache>
                <c:formatCode>0.000</c:formatCode>
                <c:ptCount val="16"/>
                <c:pt idx="0">
                  <c:v>0.97025641025641</c:v>
                </c:pt>
                <c:pt idx="1">
                  <c:v>0.961538461538462</c:v>
                </c:pt>
                <c:pt idx="2">
                  <c:v>0.965641025641026</c:v>
                </c:pt>
                <c:pt idx="3">
                  <c:v>0.98</c:v>
                </c:pt>
                <c:pt idx="4">
                  <c:v>0.953846153846154</c:v>
                </c:pt>
                <c:pt idx="5">
                  <c:v>0.977435897435897</c:v>
                </c:pt>
                <c:pt idx="6">
                  <c:v>0.957948717948718</c:v>
                </c:pt>
                <c:pt idx="7">
                  <c:v>0.98974358974359</c:v>
                </c:pt>
                <c:pt idx="8">
                  <c:v>1.00923076923077</c:v>
                </c:pt>
                <c:pt idx="9">
                  <c:v>1.015384615384615</c:v>
                </c:pt>
                <c:pt idx="10">
                  <c:v>1.028717948717949</c:v>
                </c:pt>
                <c:pt idx="11">
                  <c:v>1.044615384615385</c:v>
                </c:pt>
                <c:pt idx="12">
                  <c:v>1.025641025641026</c:v>
                </c:pt>
                <c:pt idx="13">
                  <c:v>1.013846153846154</c:v>
                </c:pt>
                <c:pt idx="14">
                  <c:v>1.033846153846154</c:v>
                </c:pt>
                <c:pt idx="15">
                  <c:v>1.022564102564103</c:v>
                </c:pt>
              </c:numCache>
            </c:numRef>
          </c:xVal>
          <c:yVal>
            <c:numRef>
              <c:f>Лист1!$U$3:$U$18</c:f>
              <c:numCache>
                <c:formatCode>0.000</c:formatCode>
                <c:ptCount val="16"/>
                <c:pt idx="0">
                  <c:v>0.645833333333333</c:v>
                </c:pt>
                <c:pt idx="1">
                  <c:v>0.541666666666667</c:v>
                </c:pt>
                <c:pt idx="2">
                  <c:v>0.583333333333333</c:v>
                </c:pt>
                <c:pt idx="3">
                  <c:v>0.770833333333333</c:v>
                </c:pt>
                <c:pt idx="4">
                  <c:v>0.458333333333333</c:v>
                </c:pt>
                <c:pt idx="5">
                  <c:v>0.75</c:v>
                </c:pt>
                <c:pt idx="6">
                  <c:v>0.5</c:v>
                </c:pt>
                <c:pt idx="7">
                  <c:v>0.9375</c:v>
                </c:pt>
                <c:pt idx="8">
                  <c:v>0.916666666666667</c:v>
                </c:pt>
                <c:pt idx="9">
                  <c:v>0.833333333333333</c:v>
                </c:pt>
                <c:pt idx="10">
                  <c:v>0.645833333333333</c:v>
                </c:pt>
                <c:pt idx="11">
                  <c:v>0.479166666666667</c:v>
                </c:pt>
                <c:pt idx="12">
                  <c:v>0.6875</c:v>
                </c:pt>
                <c:pt idx="13">
                  <c:v>0.854166666666667</c:v>
                </c:pt>
                <c:pt idx="14">
                  <c:v>0.583333333333333</c:v>
                </c:pt>
                <c:pt idx="15">
                  <c:v>0.729166666666667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D2-4E41-B540-449C3031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483600"/>
        <c:axId val="-2109477312"/>
      </c:scatterChart>
      <c:valAx>
        <c:axId val="-21094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baseline="0">
                    <a:effectLst/>
                  </a:rPr>
                  <a:t>f/fo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9477312"/>
        <c:crosses val="autoZero"/>
        <c:crossBetween val="midCat"/>
      </c:valAx>
      <c:valAx>
        <c:axId val="-2109477312"/>
        <c:scaling>
          <c:orientation val="minMax"/>
          <c:max val="1.0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u-RU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baseline="0">
                    <a:effectLst/>
                  </a:rPr>
                  <a:t>U/Uo </a:t>
                </a:r>
                <a:endParaRPr lang="ru-RU"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ru-RU"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948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Лист1!$N$22:$N$36</c:f>
              <c:numCache>
                <c:formatCode>0.000</c:formatCode>
                <c:ptCount val="15"/>
                <c:pt idx="0" formatCode="General">
                  <c:v>0.949</c:v>
                </c:pt>
                <c:pt idx="1">
                  <c:v>0.989</c:v>
                </c:pt>
                <c:pt idx="2">
                  <c:v>1.003</c:v>
                </c:pt>
                <c:pt idx="3">
                  <c:v>0.982915174365447</c:v>
                </c:pt>
                <c:pt idx="4">
                  <c:v>0.944</c:v>
                </c:pt>
                <c:pt idx="5">
                  <c:v>0.962856798245756</c:v>
                </c:pt>
                <c:pt idx="6">
                  <c:v>0.989</c:v>
                </c:pt>
                <c:pt idx="7">
                  <c:v>0.97400594578981</c:v>
                </c:pt>
                <c:pt idx="8">
                  <c:v>1.008</c:v>
                </c:pt>
                <c:pt idx="9">
                  <c:v>1.05227138582119</c:v>
                </c:pt>
                <c:pt idx="10">
                  <c:v>1.022</c:v>
                </c:pt>
                <c:pt idx="11">
                  <c:v>1.007975027869865</c:v>
                </c:pt>
                <c:pt idx="12">
                  <c:v>1.03</c:v>
                </c:pt>
                <c:pt idx="13">
                  <c:v>1.01950813300904</c:v>
                </c:pt>
                <c:pt idx="14">
                  <c:v>1.012</c:v>
                </c:pt>
              </c:numCache>
            </c:numRef>
          </c:xVal>
          <c:yVal>
            <c:numRef>
              <c:f>Лист1!$O$22:$O$36</c:f>
              <c:numCache>
                <c:formatCode>0.00</c:formatCode>
                <c:ptCount val="15"/>
                <c:pt idx="0">
                  <c:v>0.55</c:v>
                </c:pt>
                <c:pt idx="1">
                  <c:v>0.769230769230769</c:v>
                </c:pt>
                <c:pt idx="2">
                  <c:v>1.026315789473684</c:v>
                </c:pt>
                <c:pt idx="3">
                  <c:v>0.717948717948718</c:v>
                </c:pt>
                <c:pt idx="4">
                  <c:v>0.6</c:v>
                </c:pt>
                <c:pt idx="5">
                  <c:v>0.625</c:v>
                </c:pt>
                <c:pt idx="6">
                  <c:v>0.815789473684211</c:v>
                </c:pt>
                <c:pt idx="7">
                  <c:v>0.692307692307692</c:v>
                </c:pt>
                <c:pt idx="8">
                  <c:v>1.108108108108108</c:v>
                </c:pt>
                <c:pt idx="9">
                  <c:v>1.361111111111111</c:v>
                </c:pt>
                <c:pt idx="10">
                  <c:v>1.27027027027027</c:v>
                </c:pt>
                <c:pt idx="11">
                  <c:v>1.135135135135135</c:v>
                </c:pt>
                <c:pt idx="12">
                  <c:v>1.297297297297297</c:v>
                </c:pt>
                <c:pt idx="13">
                  <c:v>1.243243243243243</c:v>
                </c:pt>
                <c:pt idx="14">
                  <c:v>1.189189189189189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1C-4D85-863B-0F06EAC3F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440800"/>
        <c:axId val="-2109431152"/>
      </c:scatterChart>
      <c:valAx>
        <c:axId val="-210944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baseline="0">
                    <a:effectLst/>
                  </a:rPr>
                  <a:t>f/fo</a:t>
                </a:r>
                <a:r>
                  <a:rPr lang="en-US" sz="2000" b="0" i="0" u="none" strike="noStrike" baseline="0"/>
                  <a:t> </a:t>
                </a:r>
                <a:r>
                  <a:rPr lang="ru-RU" sz="2000"/>
                  <a:t>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9431152"/>
        <c:crosses val="autoZero"/>
        <c:crossBetween val="midCat"/>
      </c:valAx>
      <c:valAx>
        <c:axId val="-21094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u-RU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l-GR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rPr>
                  <a:t>ϕ</a:t>
                </a:r>
                <a:r>
                  <a: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rPr>
                  <a:t>u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/</a:t>
                </a:r>
                <a:r>
                  <a:rPr lang="el-GR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rPr>
                  <a:t>π</a:t>
                </a:r>
                <a:endParaRPr lang="ru-RU"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ru-RU"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944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Лист1!$R$22:$R$37</c:f>
              <c:numCache>
                <c:formatCode>0.000</c:formatCode>
                <c:ptCount val="16"/>
                <c:pt idx="0">
                  <c:v>0.966956146810375</c:v>
                </c:pt>
                <c:pt idx="1">
                  <c:v>0.986104865345025</c:v>
                </c:pt>
                <c:pt idx="2">
                  <c:v>0.976027500122529</c:v>
                </c:pt>
                <c:pt idx="3">
                  <c:v>0.953402363297304</c:v>
                </c:pt>
                <c:pt idx="4">
                  <c:v>0.937086091783912</c:v>
                </c:pt>
                <c:pt idx="5">
                  <c:v>0.993791914114274</c:v>
                </c:pt>
                <c:pt idx="6">
                  <c:v>1.0</c:v>
                </c:pt>
                <c:pt idx="7">
                  <c:v>0.980632130430596</c:v>
                </c:pt>
                <c:pt idx="8">
                  <c:v>1.010480918640641</c:v>
                </c:pt>
                <c:pt idx="9">
                  <c:v>1.038850882698038</c:v>
                </c:pt>
                <c:pt idx="10">
                  <c:v>1.073579179375633</c:v>
                </c:pt>
                <c:pt idx="11">
                  <c:v>1.042626141316088</c:v>
                </c:pt>
                <c:pt idx="12">
                  <c:v>1.014176126085565</c:v>
                </c:pt>
                <c:pt idx="13">
                  <c:v>1.007084449063524</c:v>
                </c:pt>
                <c:pt idx="14">
                  <c:v>1.020461860802881</c:v>
                </c:pt>
                <c:pt idx="15">
                  <c:v>1.028981725804421</c:v>
                </c:pt>
              </c:numCache>
            </c:numRef>
          </c:xVal>
          <c:yVal>
            <c:numRef>
              <c:f>Лист1!$S$22:$S$37</c:f>
              <c:numCache>
                <c:formatCode>0.00</c:formatCode>
                <c:ptCount val="16"/>
                <c:pt idx="0">
                  <c:v>0.689655172413793</c:v>
                </c:pt>
                <c:pt idx="1">
                  <c:v>0.807017543859649</c:v>
                </c:pt>
                <c:pt idx="2">
                  <c:v>0.736842105263158</c:v>
                </c:pt>
                <c:pt idx="3">
                  <c:v>0.666666666666667</c:v>
                </c:pt>
                <c:pt idx="4">
                  <c:v>0.620689655172414</c:v>
                </c:pt>
                <c:pt idx="5">
                  <c:v>0.909090909090909</c:v>
                </c:pt>
                <c:pt idx="6">
                  <c:v>0.981481481481481</c:v>
                </c:pt>
                <c:pt idx="7">
                  <c:v>0.8</c:v>
                </c:pt>
                <c:pt idx="8">
                  <c:v>1.092592592592593</c:v>
                </c:pt>
                <c:pt idx="9">
                  <c:v>1.288461538461539</c:v>
                </c:pt>
                <c:pt idx="10">
                  <c:v>1.4</c:v>
                </c:pt>
                <c:pt idx="11">
                  <c:v>1.307692307692308</c:v>
                </c:pt>
                <c:pt idx="12">
                  <c:v>1.150943396226415</c:v>
                </c:pt>
                <c:pt idx="13">
                  <c:v>1.074074074074074</c:v>
                </c:pt>
                <c:pt idx="14">
                  <c:v>1.207547169811321</c:v>
                </c:pt>
                <c:pt idx="15">
                  <c:v>1.26923076923077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9F-4932-A209-A55F4B9A6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393424"/>
        <c:axId val="-2109383808"/>
      </c:scatterChart>
      <c:valAx>
        <c:axId val="-210939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f/fo </a:t>
                </a:r>
                <a:r>
                  <a:rPr lang="ru-RU" sz="1800" b="0" i="0" baseline="0">
                    <a:effectLst/>
                  </a:rPr>
                  <a:t> </a:t>
                </a:r>
                <a:endParaRPr lang="ru-RU" sz="2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9383808"/>
        <c:crosses val="autoZero"/>
        <c:crossBetween val="midCat"/>
      </c:valAx>
      <c:valAx>
        <c:axId val="-21093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400" b="0" i="0" baseline="0">
                    <a:effectLst/>
                  </a:rPr>
                  <a:t>ϕ</a:t>
                </a:r>
                <a:r>
                  <a:rPr lang="en-US" sz="1800" b="0" i="0" baseline="0">
                    <a:effectLst/>
                  </a:rPr>
                  <a:t>u/</a:t>
                </a:r>
                <a:r>
                  <a:rPr lang="el-GR" sz="2400" b="0" i="0" baseline="0">
                    <a:effectLst/>
                  </a:rPr>
                  <a:t>π</a:t>
                </a:r>
                <a:endParaRPr lang="ru-RU" sz="24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939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Лист1!$B$2:$B$8</c:f>
              <c:numCache>
                <c:formatCode>General</c:formatCode>
                <c:ptCount val="7"/>
                <c:pt idx="0">
                  <c:v>32.1</c:v>
                </c:pt>
                <c:pt idx="1">
                  <c:v>27.8</c:v>
                </c:pt>
                <c:pt idx="2">
                  <c:v>23.2</c:v>
                </c:pt>
                <c:pt idx="3">
                  <c:v>21.3</c:v>
                </c:pt>
                <c:pt idx="4">
                  <c:v>19.5</c:v>
                </c:pt>
                <c:pt idx="5">
                  <c:v>17.7</c:v>
                </c:pt>
                <c:pt idx="6" formatCode="0.0">
                  <c:v>16.0</c:v>
                </c:pt>
              </c:numCache>
            </c:numRef>
          </c:xVal>
          <c:yVal>
            <c:numRef>
              <c:f>Лист1!$K$2:$K$8</c:f>
              <c:numCache>
                <c:formatCode>0.0</c:formatCode>
                <c:ptCount val="7"/>
                <c:pt idx="0">
                  <c:v>2.870026014719964</c:v>
                </c:pt>
                <c:pt idx="1">
                  <c:v>2.817447848488462</c:v>
                </c:pt>
                <c:pt idx="2">
                  <c:v>2.590475871261369</c:v>
                </c:pt>
                <c:pt idx="3">
                  <c:v>2.274383763998908</c:v>
                </c:pt>
                <c:pt idx="4">
                  <c:v>2.42869999098968</c:v>
                </c:pt>
                <c:pt idx="5">
                  <c:v>2.26114295217627</c:v>
                </c:pt>
                <c:pt idx="6">
                  <c:v>2.001475735632107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-2072964672"/>
        <c:axId val="-2053829776"/>
      </c:scatterChart>
      <c:valAx>
        <c:axId val="-2072964672"/>
        <c:scaling>
          <c:orientation val="minMax"/>
          <c:min val="9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</a:t>
                </a:r>
                <a:r>
                  <a:rPr lang="ru-RU" sz="2000"/>
                  <a:t>о</a:t>
                </a:r>
                <a:r>
                  <a:rPr lang="en-US" sz="2000"/>
                  <a:t>,</a:t>
                </a:r>
                <a:r>
                  <a:rPr lang="en-US" sz="2000" baseline="0"/>
                  <a:t>  </a:t>
                </a:r>
                <a:r>
                  <a:rPr lang="ru-RU" sz="2000" baseline="0"/>
                  <a:t>кГц</a:t>
                </a:r>
                <a:endParaRPr lang="ru-RU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53829776"/>
        <c:crosses val="autoZero"/>
        <c:crossBetween val="midCat"/>
      </c:valAx>
      <c:valAx>
        <c:axId val="-20538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</a:t>
                </a:r>
                <a:r>
                  <a:rPr lang="en-US" sz="1400"/>
                  <a:t>L</a:t>
                </a:r>
                <a:r>
                  <a:rPr lang="ru-RU" sz="1400"/>
                  <a:t>,</a:t>
                </a:r>
                <a:r>
                  <a:rPr lang="ru-RU" sz="1400" baseline="0"/>
                  <a:t> Ом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7296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2" workbookViewId="0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67778"/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56CD98B-2BD5-4667-9136-E73E80DC42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67778"/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CFF0856-BA22-4693-9524-1798BC9420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67778"/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85ECB7CC-D694-4CBA-8CBE-B3E5C83CCA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67778"/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90E5B3ED-0C20-49CF-8D70-54E5199608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67778"/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44E059F4-3634-489E-8369-A08CA87930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6552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9"/>
  <sheetViews>
    <sheetView tabSelected="1" workbookViewId="0">
      <selection activeCell="H17" sqref="H17"/>
    </sheetView>
  </sheetViews>
  <sheetFormatPr baseColWidth="10" defaultColWidth="8.83203125" defaultRowHeight="15" x14ac:dyDescent="0.2"/>
  <cols>
    <col min="4" max="4" width="9.1640625" customWidth="1"/>
    <col min="5" max="6" width="8.6640625" customWidth="1"/>
    <col min="7" max="9" width="9.33203125" bestFit="1" customWidth="1"/>
    <col min="10" max="10" width="8.6640625" customWidth="1"/>
    <col min="18" max="18" width="10.33203125" bestFit="1" customWidth="1"/>
    <col min="19" max="21" width="9.33203125" bestFit="1" customWidth="1"/>
  </cols>
  <sheetData>
    <row r="1" spans="1:26" ht="15" customHeight="1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7</v>
      </c>
      <c r="H1" s="4" t="s">
        <v>6</v>
      </c>
      <c r="I1" s="4" t="s">
        <v>8</v>
      </c>
      <c r="J1" s="4" t="s">
        <v>9</v>
      </c>
      <c r="K1" s="5" t="s">
        <v>10</v>
      </c>
      <c r="M1" s="54" t="s">
        <v>18</v>
      </c>
      <c r="N1" s="55"/>
      <c r="O1" s="54" t="s">
        <v>19</v>
      </c>
      <c r="P1" s="56"/>
      <c r="R1" s="44" t="s">
        <v>18</v>
      </c>
      <c r="S1" s="57"/>
      <c r="T1" s="44" t="s">
        <v>19</v>
      </c>
      <c r="U1" s="45"/>
    </row>
    <row r="2" spans="1:26" ht="16" customHeight="1" x14ac:dyDescent="0.2">
      <c r="A2" s="6">
        <v>25.1</v>
      </c>
      <c r="B2" s="1">
        <v>32.1</v>
      </c>
      <c r="C2" s="8">
        <v>1.18</v>
      </c>
      <c r="D2" s="1">
        <v>0.2</v>
      </c>
      <c r="E2" s="9">
        <f>1000*1000000/(4*3.14*3.14*B2*B2*A2)</f>
        <v>980.38560579694672</v>
      </c>
      <c r="F2" s="9">
        <f>SQRT(E2*1000/A2)</f>
        <v>197.63397350139491</v>
      </c>
      <c r="G2" s="9">
        <f>C2*1008/D2</f>
        <v>5947.1999999999989</v>
      </c>
      <c r="H2" s="9">
        <f>G2/F2</f>
        <v>30.091992255360001</v>
      </c>
      <c r="I2" s="10">
        <f>G2/(H2*H2)</f>
        <v>6.5676599882213589</v>
      </c>
      <c r="J2" s="8">
        <f>F2*0.001</f>
        <v>0.19763397350139492</v>
      </c>
      <c r="K2" s="33">
        <f>I2-3.5-J2</f>
        <v>2.8700260147199641</v>
      </c>
      <c r="M2" s="2" t="s">
        <v>15</v>
      </c>
      <c r="N2" s="3" t="s">
        <v>2</v>
      </c>
      <c r="O2" s="3" t="s">
        <v>15</v>
      </c>
      <c r="P2" s="17" t="s">
        <v>2</v>
      </c>
      <c r="R2" s="22" t="s">
        <v>16</v>
      </c>
      <c r="S2" s="23" t="s">
        <v>17</v>
      </c>
      <c r="T2" s="23" t="s">
        <v>16</v>
      </c>
      <c r="U2" s="24" t="s">
        <v>17</v>
      </c>
      <c r="Z2" s="33"/>
    </row>
    <row r="3" spans="1:26" x14ac:dyDescent="0.2">
      <c r="A3" s="6">
        <v>33.200000000000003</v>
      </c>
      <c r="B3" s="1">
        <v>27.8</v>
      </c>
      <c r="C3" s="8">
        <v>0.91</v>
      </c>
      <c r="D3" s="1">
        <v>0.2</v>
      </c>
      <c r="E3" s="9">
        <f t="shared" ref="E3:E8" si="0">1000*1000000/(4*3.14*3.14*B3*B3*A3)</f>
        <v>988.218629977874</v>
      </c>
      <c r="F3" s="9">
        <f t="shared" ref="F3:F8" si="1">SQRT(E3*1000/A3)</f>
        <v>172.52716129605716</v>
      </c>
      <c r="G3" s="9">
        <f t="shared" ref="G3:G8" si="2">C3*1008/D3</f>
        <v>4586.4000000000005</v>
      </c>
      <c r="H3" s="9">
        <f t="shared" ref="H3:H8" si="3">G3/F3</f>
        <v>26.583640312320004</v>
      </c>
      <c r="I3" s="10">
        <f t="shared" ref="I3:I8" si="4">G3/(H3*H3)</f>
        <v>6.4899750097845192</v>
      </c>
      <c r="J3" s="8">
        <f t="shared" ref="J3:J8" si="5">F3*0.001</f>
        <v>0.17252716129605716</v>
      </c>
      <c r="K3" s="33">
        <f t="shared" ref="K3:K21" si="6">I3-3.5-J3</f>
        <v>2.8174478484884622</v>
      </c>
      <c r="M3" s="18">
        <v>27.18</v>
      </c>
      <c r="N3" s="8">
        <v>0.56000000000000005</v>
      </c>
      <c r="O3" s="8">
        <v>18.920000000000002</v>
      </c>
      <c r="P3" s="19">
        <v>0.31</v>
      </c>
      <c r="R3" s="25">
        <f>M3/27.8</f>
        <v>0.97769784172661867</v>
      </c>
      <c r="S3" s="11">
        <f>N3/0.91</f>
        <v>0.61538461538461542</v>
      </c>
      <c r="T3" s="11">
        <f>O3/19.5</f>
        <v>0.9702564102564103</v>
      </c>
      <c r="U3" s="27">
        <f>P3/0.48</f>
        <v>0.64583333333333337</v>
      </c>
      <c r="Z3" s="33"/>
    </row>
    <row r="4" spans="1:26" x14ac:dyDescent="0.2">
      <c r="A4" s="6">
        <v>47.3</v>
      </c>
      <c r="B4" s="1">
        <v>23.2</v>
      </c>
      <c r="C4" s="8">
        <v>0.67</v>
      </c>
      <c r="D4" s="1">
        <v>0.2</v>
      </c>
      <c r="E4" s="9">
        <f t="shared" si="0"/>
        <v>995.96391115077938</v>
      </c>
      <c r="F4" s="9">
        <f t="shared" si="1"/>
        <v>145.10795799902394</v>
      </c>
      <c r="G4" s="9">
        <f t="shared" si="2"/>
        <v>3376.7999999999997</v>
      </c>
      <c r="H4" s="9">
        <f t="shared" si="3"/>
        <v>23.27094975744</v>
      </c>
      <c r="I4" s="10">
        <f t="shared" si="4"/>
        <v>6.2355838292603929</v>
      </c>
      <c r="J4" s="8">
        <f t="shared" si="5"/>
        <v>0.14510795799902393</v>
      </c>
      <c r="K4" s="33">
        <f t="shared" si="6"/>
        <v>2.5904758712613689</v>
      </c>
      <c r="M4" s="18">
        <v>27.14</v>
      </c>
      <c r="N4" s="8">
        <v>0.54</v>
      </c>
      <c r="O4" s="8">
        <v>18.75</v>
      </c>
      <c r="P4" s="19">
        <v>0.26</v>
      </c>
      <c r="R4" s="25">
        <f t="shared" ref="R4:R18" si="7">M4/27.8</f>
        <v>0.97625899280575534</v>
      </c>
      <c r="S4" s="11">
        <f t="shared" ref="S4:S18" si="8">N4/0.91</f>
        <v>0.59340659340659341</v>
      </c>
      <c r="T4" s="11">
        <f t="shared" ref="T4:T18" si="9">O4/19.5</f>
        <v>0.96153846153846156</v>
      </c>
      <c r="U4" s="27">
        <f t="shared" ref="U4:U18" si="10">P4/0.48</f>
        <v>0.54166666666666674</v>
      </c>
      <c r="Z4" s="33"/>
    </row>
    <row r="5" spans="1:26" x14ac:dyDescent="0.2">
      <c r="A5" s="6">
        <v>57.4</v>
      </c>
      <c r="B5" s="1">
        <v>21.3</v>
      </c>
      <c r="C5" s="8">
        <v>0.56999999999999995</v>
      </c>
      <c r="D5" s="1">
        <v>0.2</v>
      </c>
      <c r="E5" s="9">
        <f t="shared" si="0"/>
        <v>973.66512195574001</v>
      </c>
      <c r="F5" s="9">
        <f t="shared" si="1"/>
        <v>130.24134137328761</v>
      </c>
      <c r="G5" s="9">
        <f t="shared" si="2"/>
        <v>2872.7999999999997</v>
      </c>
      <c r="H5" s="9">
        <f t="shared" si="3"/>
        <v>22.057512382079999</v>
      </c>
      <c r="I5" s="10">
        <f t="shared" si="4"/>
        <v>5.9046251053721956</v>
      </c>
      <c r="J5" s="8">
        <f t="shared" si="5"/>
        <v>0.13024134137328761</v>
      </c>
      <c r="K5" s="33">
        <f t="shared" si="6"/>
        <v>2.274383763998908</v>
      </c>
      <c r="M5" s="18">
        <v>27.27</v>
      </c>
      <c r="N5" s="8">
        <v>0.61</v>
      </c>
      <c r="O5" s="8">
        <v>18.829999999999998</v>
      </c>
      <c r="P5" s="19">
        <v>0.28000000000000003</v>
      </c>
      <c r="R5" s="25">
        <f t="shared" si="7"/>
        <v>0.98093525179856111</v>
      </c>
      <c r="S5" s="11">
        <f t="shared" si="8"/>
        <v>0.67032967032967028</v>
      </c>
      <c r="T5" s="11">
        <f t="shared" si="9"/>
        <v>0.96564102564102561</v>
      </c>
      <c r="U5" s="27">
        <f t="shared" si="10"/>
        <v>0.58333333333333337</v>
      </c>
      <c r="Z5" s="33"/>
    </row>
    <row r="6" spans="1:26" x14ac:dyDescent="0.2">
      <c r="A6" s="6">
        <v>67.5</v>
      </c>
      <c r="B6" s="1">
        <v>19.5</v>
      </c>
      <c r="C6" s="8">
        <v>0.48</v>
      </c>
      <c r="D6" s="1">
        <v>0.2</v>
      </c>
      <c r="E6" s="9">
        <f t="shared" si="0"/>
        <v>987.88801577666641</v>
      </c>
      <c r="F6" s="9">
        <f t="shared" si="1"/>
        <v>120.97676641201058</v>
      </c>
      <c r="G6" s="9">
        <f t="shared" si="2"/>
        <v>2419.1999999999998</v>
      </c>
      <c r="H6" s="9">
        <f t="shared" si="3"/>
        <v>19.997228159999999</v>
      </c>
      <c r="I6" s="10">
        <f t="shared" si="4"/>
        <v>6.0496767574016905</v>
      </c>
      <c r="J6" s="8">
        <f t="shared" si="5"/>
        <v>0.12097676641201058</v>
      </c>
      <c r="K6" s="33">
        <f t="shared" si="6"/>
        <v>2.42869999098968</v>
      </c>
      <c r="M6" s="18">
        <v>27.46</v>
      </c>
      <c r="N6" s="8">
        <v>0.74</v>
      </c>
      <c r="O6" s="8">
        <v>19.11</v>
      </c>
      <c r="P6" s="19">
        <v>0.37</v>
      </c>
      <c r="R6" s="25">
        <f t="shared" si="7"/>
        <v>0.98776978417266192</v>
      </c>
      <c r="S6" s="11">
        <f t="shared" si="8"/>
        <v>0.81318681318681318</v>
      </c>
      <c r="T6" s="11">
        <f t="shared" si="9"/>
        <v>0.98</v>
      </c>
      <c r="U6" s="27">
        <f t="shared" si="10"/>
        <v>0.77083333333333337</v>
      </c>
      <c r="Z6" s="33"/>
    </row>
    <row r="7" spans="1:26" x14ac:dyDescent="0.2">
      <c r="A7" s="6">
        <v>82.7</v>
      </c>
      <c r="B7" s="1">
        <v>17.7</v>
      </c>
      <c r="C7" s="8">
        <v>0.4</v>
      </c>
      <c r="D7" s="1">
        <v>0.2</v>
      </c>
      <c r="E7" s="9">
        <f t="shared" si="0"/>
        <v>978.65286142847003</v>
      </c>
      <c r="F7" s="9">
        <f t="shared" si="1"/>
        <v>108.78313746494301</v>
      </c>
      <c r="G7" s="9">
        <f t="shared" si="2"/>
        <v>2016.0000000000002</v>
      </c>
      <c r="H7" s="9">
        <f t="shared" si="3"/>
        <v>18.532284019200002</v>
      </c>
      <c r="I7" s="10">
        <f t="shared" si="4"/>
        <v>5.8699260896412131</v>
      </c>
      <c r="J7" s="8">
        <f t="shared" si="5"/>
        <v>0.10878313746494302</v>
      </c>
      <c r="K7" s="33">
        <f t="shared" si="6"/>
        <v>2.2611429521762703</v>
      </c>
      <c r="M7" s="18">
        <v>27.54</v>
      </c>
      <c r="N7" s="8">
        <v>0.79</v>
      </c>
      <c r="O7" s="8">
        <v>18.600000000000001</v>
      </c>
      <c r="P7" s="19">
        <v>0.22</v>
      </c>
      <c r="R7" s="25">
        <f t="shared" si="7"/>
        <v>0.99064748201438846</v>
      </c>
      <c r="S7" s="11">
        <f t="shared" si="8"/>
        <v>0.86813186813186816</v>
      </c>
      <c r="T7" s="11">
        <f t="shared" si="9"/>
        <v>0.9538461538461539</v>
      </c>
      <c r="U7" s="27">
        <f t="shared" si="10"/>
        <v>0.45833333333333337</v>
      </c>
      <c r="Z7" s="33"/>
    </row>
    <row r="8" spans="1:26" x14ac:dyDescent="0.2">
      <c r="A8" s="6">
        <v>101.6</v>
      </c>
      <c r="B8" s="9">
        <v>16</v>
      </c>
      <c r="C8" s="8">
        <v>0.34</v>
      </c>
      <c r="D8" s="1">
        <v>0.2</v>
      </c>
      <c r="E8" s="9">
        <f t="shared" si="0"/>
        <v>974.87074829823314</v>
      </c>
      <c r="F8" s="9">
        <f t="shared" si="1"/>
        <v>97.955012789006474</v>
      </c>
      <c r="G8" s="9">
        <f t="shared" si="2"/>
        <v>1713.6000000000001</v>
      </c>
      <c r="H8" s="9">
        <f t="shared" si="3"/>
        <v>17.493744844800002</v>
      </c>
      <c r="I8" s="10">
        <f t="shared" si="4"/>
        <v>5.5994307484211134</v>
      </c>
      <c r="J8" s="8">
        <f t="shared" si="5"/>
        <v>9.7955012789006479E-2</v>
      </c>
      <c r="K8" s="33">
        <f t="shared" si="6"/>
        <v>2.0014757356321069</v>
      </c>
      <c r="M8" s="18">
        <v>27.59</v>
      </c>
      <c r="N8" s="8">
        <v>0.83</v>
      </c>
      <c r="O8" s="8">
        <v>19.059999999999999</v>
      </c>
      <c r="P8" s="19">
        <v>0.36</v>
      </c>
      <c r="R8" s="25">
        <f t="shared" si="7"/>
        <v>0.99244604316546758</v>
      </c>
      <c r="S8" s="11">
        <f t="shared" si="8"/>
        <v>0.91208791208791207</v>
      </c>
      <c r="T8" s="11">
        <f t="shared" si="9"/>
        <v>0.97743589743589732</v>
      </c>
      <c r="U8" s="27">
        <f t="shared" si="10"/>
        <v>0.75</v>
      </c>
      <c r="Z8" s="33"/>
    </row>
    <row r="9" spans="1:26" x14ac:dyDescent="0.2">
      <c r="A9" s="46" t="s">
        <v>11</v>
      </c>
      <c r="B9" s="47"/>
      <c r="C9" s="47"/>
      <c r="D9" s="47"/>
      <c r="E9" s="9">
        <f>AVERAGE(E2:E8)</f>
        <v>982.80641348353004</v>
      </c>
      <c r="F9" s="1"/>
      <c r="G9" s="1"/>
      <c r="H9" s="1"/>
      <c r="I9" s="1"/>
      <c r="J9" s="8"/>
      <c r="K9" s="33">
        <f>AVERAGE(K2:K8)</f>
        <v>2.4633788824666794</v>
      </c>
      <c r="M9" s="18">
        <v>27.93</v>
      </c>
      <c r="N9" s="8">
        <v>0.89</v>
      </c>
      <c r="O9" s="8">
        <v>18.68</v>
      </c>
      <c r="P9" s="19">
        <v>0.24</v>
      </c>
      <c r="R9" s="25">
        <f t="shared" si="7"/>
        <v>1.0046762589928058</v>
      </c>
      <c r="S9" s="11">
        <f t="shared" si="8"/>
        <v>0.97802197802197799</v>
      </c>
      <c r="T9" s="11">
        <f t="shared" si="9"/>
        <v>0.95794871794871794</v>
      </c>
      <c r="U9" s="27">
        <f t="shared" si="10"/>
        <v>0.5</v>
      </c>
    </row>
    <row r="10" spans="1:26" ht="33" customHeight="1" x14ac:dyDescent="0.2">
      <c r="A10" s="48" t="s">
        <v>12</v>
      </c>
      <c r="B10" s="49"/>
      <c r="C10" s="49"/>
      <c r="D10" s="49"/>
      <c r="E10" s="12">
        <f>SQRT(DEVSQ(E2:E8)/56)</f>
        <v>2.6655367034266648</v>
      </c>
      <c r="F10" s="1"/>
      <c r="G10" s="1"/>
      <c r="H10" s="1"/>
      <c r="I10" s="1"/>
      <c r="J10" s="8"/>
      <c r="K10" s="31">
        <f>SQRT(DEVSQ(K2:K8)/56)</f>
        <v>0.10334201506103934</v>
      </c>
      <c r="M10" s="18">
        <v>27.33</v>
      </c>
      <c r="N10" s="8">
        <v>0.66</v>
      </c>
      <c r="O10" s="8">
        <v>19.3</v>
      </c>
      <c r="P10" s="19">
        <v>0.45</v>
      </c>
      <c r="R10" s="25">
        <f t="shared" si="7"/>
        <v>0.98309352517985604</v>
      </c>
      <c r="S10" s="11">
        <f t="shared" si="8"/>
        <v>0.72527472527472525</v>
      </c>
      <c r="T10" s="11">
        <f t="shared" si="9"/>
        <v>0.98974358974358978</v>
      </c>
      <c r="U10" s="27">
        <f t="shared" si="10"/>
        <v>0.93750000000000011</v>
      </c>
    </row>
    <row r="11" spans="1:26" x14ac:dyDescent="0.2">
      <c r="A11" s="46" t="s">
        <v>13</v>
      </c>
      <c r="B11" s="47"/>
      <c r="C11" s="47"/>
      <c r="D11" s="47"/>
      <c r="E11" s="8">
        <v>2.37</v>
      </c>
      <c r="F11" s="1"/>
      <c r="G11" s="1"/>
      <c r="H11" s="1"/>
      <c r="I11" s="1"/>
      <c r="J11" s="8"/>
      <c r="K11" s="32">
        <v>2.37</v>
      </c>
      <c r="M11" s="18">
        <v>27.99</v>
      </c>
      <c r="N11" s="8">
        <v>0.89</v>
      </c>
      <c r="O11" s="8">
        <v>19.68</v>
      </c>
      <c r="P11" s="19">
        <v>0.44</v>
      </c>
      <c r="R11" s="25">
        <f t="shared" si="7"/>
        <v>1.0068345323741006</v>
      </c>
      <c r="S11" s="11">
        <f t="shared" si="8"/>
        <v>0.97802197802197799</v>
      </c>
      <c r="T11" s="11">
        <f t="shared" si="9"/>
        <v>1.0092307692307692</v>
      </c>
      <c r="U11" s="27">
        <f t="shared" si="10"/>
        <v>0.91666666666666674</v>
      </c>
    </row>
    <row r="12" spans="1:26" ht="16" thickBot="1" x14ac:dyDescent="0.25">
      <c r="A12" s="50" t="s">
        <v>14</v>
      </c>
      <c r="B12" s="51"/>
      <c r="C12" s="51"/>
      <c r="D12" s="51"/>
      <c r="E12" s="15">
        <f>E10*E11</f>
        <v>6.3173219871211961</v>
      </c>
      <c r="F12" s="7"/>
      <c r="G12" s="7"/>
      <c r="H12" s="7"/>
      <c r="I12" s="7"/>
      <c r="J12" s="14"/>
      <c r="K12" s="35">
        <f>K10*K11</f>
        <v>0.24492057569466325</v>
      </c>
      <c r="M12" s="18">
        <v>28.14</v>
      </c>
      <c r="N12" s="8">
        <v>0.79</v>
      </c>
      <c r="O12" s="8">
        <v>19.8</v>
      </c>
      <c r="P12" s="19">
        <v>0.4</v>
      </c>
      <c r="R12" s="25">
        <f t="shared" si="7"/>
        <v>1.0122302158273382</v>
      </c>
      <c r="S12" s="11">
        <f t="shared" si="8"/>
        <v>0.86813186813186816</v>
      </c>
      <c r="T12" s="11">
        <f t="shared" si="9"/>
        <v>1.0153846153846153</v>
      </c>
      <c r="U12" s="27">
        <f t="shared" si="10"/>
        <v>0.83333333333333337</v>
      </c>
    </row>
    <row r="13" spans="1:26" ht="16" thickBot="1" x14ac:dyDescent="0.25">
      <c r="J13" s="16"/>
      <c r="K13" s="30"/>
      <c r="M13" s="18">
        <v>28.34</v>
      </c>
      <c r="N13" s="8">
        <v>0.66</v>
      </c>
      <c r="O13" s="8">
        <v>20.059999999999999</v>
      </c>
      <c r="P13" s="19">
        <v>0.31</v>
      </c>
      <c r="R13" s="25">
        <f t="shared" si="7"/>
        <v>1.0194244604316547</v>
      </c>
      <c r="S13" s="11">
        <f t="shared" si="8"/>
        <v>0.72527472527472525</v>
      </c>
      <c r="T13" s="11">
        <f t="shared" si="9"/>
        <v>1.0287179487179487</v>
      </c>
      <c r="U13" s="27">
        <f t="shared" si="10"/>
        <v>0.64583333333333337</v>
      </c>
    </row>
    <row r="14" spans="1:26" ht="19" x14ac:dyDescent="0.2">
      <c r="A14" s="2" t="s">
        <v>0</v>
      </c>
      <c r="B14" s="3" t="s">
        <v>1</v>
      </c>
      <c r="C14" s="3" t="s">
        <v>2</v>
      </c>
      <c r="D14" s="38" t="s">
        <v>3</v>
      </c>
      <c r="E14" s="2" t="s">
        <v>4</v>
      </c>
      <c r="F14" s="4" t="s">
        <v>5</v>
      </c>
      <c r="G14" s="4" t="s">
        <v>7</v>
      </c>
      <c r="H14" s="4" t="s">
        <v>6</v>
      </c>
      <c r="I14" s="4" t="s">
        <v>8</v>
      </c>
      <c r="J14" s="29" t="s">
        <v>9</v>
      </c>
      <c r="K14" s="5" t="s">
        <v>10</v>
      </c>
      <c r="M14" s="18">
        <v>28.21</v>
      </c>
      <c r="N14" s="8">
        <v>0.74</v>
      </c>
      <c r="O14" s="8">
        <v>20.37</v>
      </c>
      <c r="P14" s="19">
        <v>0.23</v>
      </c>
      <c r="R14" s="25">
        <f t="shared" si="7"/>
        <v>1.0147482014388489</v>
      </c>
      <c r="S14" s="11">
        <f t="shared" si="8"/>
        <v>0.81318681318681318</v>
      </c>
      <c r="T14" s="11">
        <f t="shared" si="9"/>
        <v>1.0446153846153847</v>
      </c>
      <c r="U14" s="27">
        <f t="shared" si="10"/>
        <v>0.47916666666666669</v>
      </c>
    </row>
    <row r="15" spans="1:26" x14ac:dyDescent="0.2">
      <c r="A15" s="6">
        <v>25.1</v>
      </c>
      <c r="B15" s="1">
        <v>32.1</v>
      </c>
      <c r="C15" s="8">
        <v>2.1800000000000002</v>
      </c>
      <c r="D15" s="39">
        <v>0.37</v>
      </c>
      <c r="E15" s="40">
        <f>1000*1000000/(4*3.14*3.14*B15*B15*A15)</f>
        <v>980.38560579694672</v>
      </c>
      <c r="F15" s="9">
        <f>SQRT(E15*1000/A15)</f>
        <v>197.63397350139491</v>
      </c>
      <c r="G15" s="9">
        <f>C15*1008/D15</f>
        <v>5939.0270270270275</v>
      </c>
      <c r="H15" s="9">
        <f>G15/F15</f>
        <v>30.050638166140548</v>
      </c>
      <c r="I15" s="10">
        <f>G15/(H15*H15)</f>
        <v>6.5766980524253329</v>
      </c>
      <c r="J15" s="8">
        <f>F15*0.001</f>
        <v>0.19763397350139492</v>
      </c>
      <c r="K15" s="33">
        <f t="shared" si="6"/>
        <v>2.8790640789239381</v>
      </c>
      <c r="M15" s="18">
        <v>28.5</v>
      </c>
      <c r="N15" s="8">
        <v>0.56000000000000005</v>
      </c>
      <c r="O15" s="8">
        <v>20</v>
      </c>
      <c r="P15" s="19">
        <v>0.33</v>
      </c>
      <c r="R15" s="25">
        <f t="shared" si="7"/>
        <v>1.025179856115108</v>
      </c>
      <c r="S15" s="11">
        <f t="shared" si="8"/>
        <v>0.61538461538461542</v>
      </c>
      <c r="T15" s="11">
        <f t="shared" si="9"/>
        <v>1.0256410256410255</v>
      </c>
      <c r="U15" s="27">
        <f t="shared" si="10"/>
        <v>0.68750000000000011</v>
      </c>
    </row>
    <row r="16" spans="1:26" x14ac:dyDescent="0.2">
      <c r="A16" s="6">
        <v>33.200000000000003</v>
      </c>
      <c r="B16" s="1">
        <v>27.8</v>
      </c>
      <c r="C16" s="8">
        <v>1.62</v>
      </c>
      <c r="D16" s="39">
        <v>0.37</v>
      </c>
      <c r="E16" s="40">
        <f t="shared" ref="E16:E21" si="11">1000*1000000/(4*3.14*3.14*B16*B16*A16)</f>
        <v>988.218629977874</v>
      </c>
      <c r="F16" s="9">
        <f t="shared" ref="F16:F21" si="12">SQRT(E16*1000/A16)</f>
        <v>172.52716129605716</v>
      </c>
      <c r="G16" s="9">
        <f t="shared" ref="G16:G21" si="13">C16*1008/D16</f>
        <v>4413.4054054054059</v>
      </c>
      <c r="H16" s="9">
        <f t="shared" ref="H16:H21" si="14">G16/F16</f>
        <v>25.580930980670274</v>
      </c>
      <c r="I16" s="10">
        <f t="shared" ref="I16:I21" si="15">G16/(H16*H16)</f>
        <v>6.744366005538418</v>
      </c>
      <c r="J16" s="8">
        <f t="shared" ref="J16:J21" si="16">F16*0.001</f>
        <v>0.17252716129605716</v>
      </c>
      <c r="K16" s="33">
        <f t="shared" si="6"/>
        <v>3.071838844242361</v>
      </c>
      <c r="M16" s="18">
        <v>28.27</v>
      </c>
      <c r="N16" s="8">
        <v>0.7</v>
      </c>
      <c r="O16" s="8">
        <v>19.77</v>
      </c>
      <c r="P16" s="19">
        <v>0.41</v>
      </c>
      <c r="R16" s="25">
        <f t="shared" si="7"/>
        <v>1.0169064748201437</v>
      </c>
      <c r="S16" s="11">
        <f t="shared" si="8"/>
        <v>0.76923076923076916</v>
      </c>
      <c r="T16" s="11">
        <f t="shared" si="9"/>
        <v>1.0138461538461538</v>
      </c>
      <c r="U16" s="27">
        <f t="shared" si="10"/>
        <v>0.85416666666666663</v>
      </c>
    </row>
    <row r="17" spans="1:21" x14ac:dyDescent="0.2">
      <c r="A17" s="6">
        <v>47.3</v>
      </c>
      <c r="B17" s="1">
        <v>23.2</v>
      </c>
      <c r="C17" s="8">
        <v>1.23</v>
      </c>
      <c r="D17" s="39">
        <v>0.37</v>
      </c>
      <c r="E17" s="40">
        <f t="shared" si="11"/>
        <v>995.96391115077938</v>
      </c>
      <c r="F17" s="9">
        <f t="shared" si="12"/>
        <v>145.10795799902394</v>
      </c>
      <c r="G17" s="9">
        <f t="shared" si="13"/>
        <v>3350.9189189189187</v>
      </c>
      <c r="H17" s="9">
        <f t="shared" si="14"/>
        <v>23.092592336951352</v>
      </c>
      <c r="I17" s="10">
        <f t="shared" si="15"/>
        <v>6.2837448425758193</v>
      </c>
      <c r="J17" s="8">
        <f t="shared" si="16"/>
        <v>0.14510795799902393</v>
      </c>
      <c r="K17" s="33">
        <f t="shared" si="6"/>
        <v>2.6386368845767953</v>
      </c>
      <c r="M17" s="18">
        <v>28.23</v>
      </c>
      <c r="N17" s="8">
        <v>0.73</v>
      </c>
      <c r="O17" s="8">
        <v>20.16</v>
      </c>
      <c r="P17" s="19">
        <v>0.28000000000000003</v>
      </c>
      <c r="R17" s="25">
        <f t="shared" si="7"/>
        <v>1.0154676258992805</v>
      </c>
      <c r="S17" s="11">
        <f t="shared" si="8"/>
        <v>0.80219780219780212</v>
      </c>
      <c r="T17" s="11">
        <f t="shared" si="9"/>
        <v>1.0338461538461539</v>
      </c>
      <c r="U17" s="27">
        <f t="shared" si="10"/>
        <v>0.58333333333333337</v>
      </c>
    </row>
    <row r="18" spans="1:21" ht="16" thickBot="1" x14ac:dyDescent="0.25">
      <c r="A18" s="6">
        <v>57.4</v>
      </c>
      <c r="B18" s="1">
        <v>21.3</v>
      </c>
      <c r="C18" s="8">
        <v>1.04</v>
      </c>
      <c r="D18" s="39">
        <v>0.37</v>
      </c>
      <c r="E18" s="40">
        <f t="shared" si="11"/>
        <v>973.66512195574001</v>
      </c>
      <c r="F18" s="9">
        <f t="shared" si="12"/>
        <v>130.24134137328761</v>
      </c>
      <c r="G18" s="9">
        <f t="shared" si="13"/>
        <v>2833.2972972972971</v>
      </c>
      <c r="H18" s="9">
        <f t="shared" si="14"/>
        <v>21.754208513383784</v>
      </c>
      <c r="I18" s="10">
        <f t="shared" si="15"/>
        <v>5.9869492053990188</v>
      </c>
      <c r="J18" s="8">
        <f t="shared" si="16"/>
        <v>0.13024134137328761</v>
      </c>
      <c r="K18" s="33">
        <f t="shared" si="6"/>
        <v>2.3567078640257311</v>
      </c>
      <c r="M18" s="20">
        <v>28.01</v>
      </c>
      <c r="N18" s="14">
        <v>0.86</v>
      </c>
      <c r="O18" s="14">
        <v>19.940000000000001</v>
      </c>
      <c r="P18" s="21">
        <v>0.35</v>
      </c>
      <c r="R18" s="26">
        <f t="shared" si="7"/>
        <v>1.0075539568345324</v>
      </c>
      <c r="S18" s="13">
        <f t="shared" si="8"/>
        <v>0.94505494505494503</v>
      </c>
      <c r="T18" s="13">
        <f t="shared" si="9"/>
        <v>1.0225641025641026</v>
      </c>
      <c r="U18" s="28">
        <f t="shared" si="10"/>
        <v>0.72916666666666663</v>
      </c>
    </row>
    <row r="19" spans="1:21" x14ac:dyDescent="0.2">
      <c r="A19" s="6">
        <v>67.5</v>
      </c>
      <c r="B19" s="1">
        <v>19.5</v>
      </c>
      <c r="C19" s="8">
        <v>0.88</v>
      </c>
      <c r="D19" s="39">
        <v>0.37</v>
      </c>
      <c r="E19" s="40">
        <f t="shared" si="11"/>
        <v>987.88801577666641</v>
      </c>
      <c r="F19" s="9">
        <f t="shared" si="12"/>
        <v>120.97676641201058</v>
      </c>
      <c r="G19" s="9">
        <f t="shared" si="13"/>
        <v>2397.4054054054054</v>
      </c>
      <c r="H19" s="9">
        <f t="shared" si="14"/>
        <v>19.817072951351349</v>
      </c>
      <c r="I19" s="10">
        <f t="shared" si="15"/>
        <v>6.104673818832616</v>
      </c>
      <c r="J19" s="8">
        <f t="shared" si="16"/>
        <v>0.12097676641201058</v>
      </c>
      <c r="K19" s="33">
        <f t="shared" si="6"/>
        <v>2.4836970524206055</v>
      </c>
    </row>
    <row r="20" spans="1:21" ht="16" thickBot="1" x14ac:dyDescent="0.25">
      <c r="A20" s="6">
        <v>82.7</v>
      </c>
      <c r="B20" s="1">
        <v>17.7</v>
      </c>
      <c r="C20" s="8">
        <v>0.74</v>
      </c>
      <c r="D20" s="39">
        <v>0.37</v>
      </c>
      <c r="E20" s="40">
        <f t="shared" si="11"/>
        <v>978.65286142847003</v>
      </c>
      <c r="F20" s="9">
        <f t="shared" si="12"/>
        <v>108.78313746494301</v>
      </c>
      <c r="G20" s="9">
        <f t="shared" si="13"/>
        <v>2016</v>
      </c>
      <c r="H20" s="9">
        <f t="shared" si="14"/>
        <v>18.532284019199999</v>
      </c>
      <c r="I20" s="10">
        <f t="shared" si="15"/>
        <v>5.869926089641214</v>
      </c>
      <c r="J20" s="8">
        <f t="shared" si="16"/>
        <v>0.10878313746494302</v>
      </c>
      <c r="K20" s="33">
        <f t="shared" si="6"/>
        <v>2.2611429521762711</v>
      </c>
    </row>
    <row r="21" spans="1:21" x14ac:dyDescent="0.2">
      <c r="A21" s="6">
        <v>101.6</v>
      </c>
      <c r="B21" s="9">
        <v>16</v>
      </c>
      <c r="C21" s="8">
        <v>0.62</v>
      </c>
      <c r="D21" s="39">
        <v>0.37</v>
      </c>
      <c r="E21" s="40">
        <f t="shared" si="11"/>
        <v>974.87074829823314</v>
      </c>
      <c r="F21" s="9">
        <f t="shared" si="12"/>
        <v>97.955012789006474</v>
      </c>
      <c r="G21" s="9">
        <f t="shared" si="13"/>
        <v>1689.0810810810813</v>
      </c>
      <c r="H21" s="9">
        <f t="shared" si="14"/>
        <v>17.243436889945947</v>
      </c>
      <c r="I21" s="10">
        <f t="shared" si="15"/>
        <v>5.6807128076723883</v>
      </c>
      <c r="J21" s="8">
        <f t="shared" si="16"/>
        <v>9.7955012789006479E-2</v>
      </c>
      <c r="K21" s="33">
        <f t="shared" si="6"/>
        <v>2.0827577948833818</v>
      </c>
      <c r="M21" s="2" t="s">
        <v>2</v>
      </c>
      <c r="N21" s="23" t="s">
        <v>16</v>
      </c>
      <c r="O21" s="24" t="s">
        <v>22</v>
      </c>
      <c r="Q21" s="2" t="s">
        <v>2</v>
      </c>
      <c r="R21" s="23" t="s">
        <v>16</v>
      </c>
      <c r="S21" s="24" t="s">
        <v>22</v>
      </c>
      <c r="U21" s="16"/>
    </row>
    <row r="22" spans="1:21" x14ac:dyDescent="0.2">
      <c r="A22" s="46" t="s">
        <v>11</v>
      </c>
      <c r="B22" s="47"/>
      <c r="C22" s="47"/>
      <c r="D22" s="52"/>
      <c r="E22" s="40">
        <f>AVERAGE(E15:E21)</f>
        <v>982.80641348353004</v>
      </c>
      <c r="F22" s="1"/>
      <c r="G22" s="1"/>
      <c r="H22" s="1"/>
      <c r="I22" s="1"/>
      <c r="J22" s="1"/>
      <c r="K22" s="33">
        <f>AVERAGE(K15:K21)</f>
        <v>2.539120781607012</v>
      </c>
      <c r="M22" s="18">
        <f t="shared" ref="M22:M36" si="17">J44</f>
        <v>0.28599999999999998</v>
      </c>
      <c r="N22" s="1">
        <v>0.94899999999999995</v>
      </c>
      <c r="O22" s="32">
        <f t="shared" ref="O22:O36" si="18">N44</f>
        <v>0.55000000000000004</v>
      </c>
      <c r="Q22" s="18">
        <v>0.28999999999999998</v>
      </c>
      <c r="R22" s="11">
        <f t="shared" ref="R22:R27" si="19">-SQRT(((0.48*0.48)/(R44*R44)-1)*(1/1580))+SQRT((0.48*0.48/(R44*R44)-1)*(1/1580)+4)/2</f>
        <v>0.96695614681037478</v>
      </c>
      <c r="S22" s="32">
        <f>T44/S44</f>
        <v>0.68965517241379315</v>
      </c>
      <c r="U22" s="16"/>
    </row>
    <row r="23" spans="1:21" x14ac:dyDescent="0.2">
      <c r="A23" s="48" t="s">
        <v>12</v>
      </c>
      <c r="B23" s="49"/>
      <c r="C23" s="49"/>
      <c r="D23" s="58"/>
      <c r="E23" s="41">
        <f>SQRT(DEVSQ(E15:E21)/56)</f>
        <v>2.6655367034266648</v>
      </c>
      <c r="F23" s="1"/>
      <c r="G23" s="1"/>
      <c r="H23" s="1"/>
      <c r="I23" s="1"/>
      <c r="J23" s="1"/>
      <c r="K23" s="31">
        <f>SQRT(DEVSQ(K15:K21)/56)</f>
        <v>0.1142630537996439</v>
      </c>
      <c r="M23" s="18">
        <f t="shared" si="17"/>
        <v>0.76</v>
      </c>
      <c r="N23" s="11">
        <v>0.98899999999999999</v>
      </c>
      <c r="O23" s="32">
        <f t="shared" si="18"/>
        <v>0.76923076923076927</v>
      </c>
      <c r="Q23" s="18">
        <v>0.42</v>
      </c>
      <c r="R23" s="11">
        <f t="shared" si="19"/>
        <v>0.98610486534502473</v>
      </c>
      <c r="S23" s="32">
        <f t="shared" ref="S23:S37" si="20">T45/S45</f>
        <v>0.80701754385964908</v>
      </c>
      <c r="U23" s="16"/>
    </row>
    <row r="24" spans="1:21" x14ac:dyDescent="0.2">
      <c r="A24" s="46" t="s">
        <v>13</v>
      </c>
      <c r="B24" s="47"/>
      <c r="C24" s="47"/>
      <c r="D24" s="52"/>
      <c r="E24" s="18">
        <v>2.37</v>
      </c>
      <c r="F24" s="1"/>
      <c r="G24" s="1"/>
      <c r="H24" s="1"/>
      <c r="I24" s="1"/>
      <c r="J24" s="1"/>
      <c r="K24" s="32">
        <v>2.37</v>
      </c>
      <c r="M24" s="18">
        <f t="shared" si="17"/>
        <v>0.89500000000000002</v>
      </c>
      <c r="N24" s="11">
        <f>2-0.997</f>
        <v>1.0030000000000001</v>
      </c>
      <c r="O24" s="32">
        <f t="shared" si="18"/>
        <v>1.0263157894736843</v>
      </c>
      <c r="Q24" s="18">
        <v>0.34699999999999998</v>
      </c>
      <c r="R24" s="11">
        <f t="shared" si="19"/>
        <v>0.97602750012252926</v>
      </c>
      <c r="S24" s="32">
        <f t="shared" si="20"/>
        <v>0.73684210526315785</v>
      </c>
      <c r="U24" s="16"/>
    </row>
    <row r="25" spans="1:21" ht="16" thickBot="1" x14ac:dyDescent="0.25">
      <c r="A25" s="50" t="s">
        <v>14</v>
      </c>
      <c r="B25" s="51"/>
      <c r="C25" s="51"/>
      <c r="D25" s="53"/>
      <c r="E25" s="42">
        <f>E23*E24</f>
        <v>6.3173219871211961</v>
      </c>
      <c r="F25" s="7"/>
      <c r="G25" s="7"/>
      <c r="H25" s="7"/>
      <c r="I25" s="7"/>
      <c r="J25" s="7"/>
      <c r="K25" s="35">
        <f>K23*K24</f>
        <v>0.27080343750515606</v>
      </c>
      <c r="M25" s="18">
        <f t="shared" si="17"/>
        <v>0.64400000000000002</v>
      </c>
      <c r="N25" s="11">
        <f>K47</f>
        <v>0.98291517436544706</v>
      </c>
      <c r="O25" s="32">
        <f t="shared" si="18"/>
        <v>0.71794871794871795</v>
      </c>
      <c r="Q25" s="18">
        <v>0.22700000000000001</v>
      </c>
      <c r="R25" s="11">
        <f t="shared" si="19"/>
        <v>0.95340236329730377</v>
      </c>
      <c r="S25" s="32">
        <f t="shared" si="20"/>
        <v>0.66666666666666663</v>
      </c>
      <c r="U25" s="16"/>
    </row>
    <row r="26" spans="1:21" x14ac:dyDescent="0.2">
      <c r="M26" s="18">
        <f t="shared" si="17"/>
        <v>0.26400000000000001</v>
      </c>
      <c r="N26" s="11">
        <v>0.94399999999999995</v>
      </c>
      <c r="O26" s="32">
        <f t="shared" si="18"/>
        <v>0.6</v>
      </c>
      <c r="Q26" s="18">
        <v>0.17699999999999999</v>
      </c>
      <c r="R26" s="11">
        <f t="shared" si="19"/>
        <v>0.93708609178391167</v>
      </c>
      <c r="S26" s="32">
        <f t="shared" si="20"/>
        <v>0.62068965517241381</v>
      </c>
      <c r="U26" s="16"/>
    </row>
    <row r="27" spans="1:21" x14ac:dyDescent="0.2">
      <c r="M27" s="18">
        <f t="shared" si="17"/>
        <v>0.38</v>
      </c>
      <c r="N27" s="11">
        <f>K49</f>
        <v>0.96285679824575621</v>
      </c>
      <c r="O27" s="32">
        <f t="shared" si="18"/>
        <v>0.625</v>
      </c>
      <c r="Q27" s="18">
        <v>0.46600000000000003</v>
      </c>
      <c r="R27" s="11">
        <f t="shared" si="19"/>
        <v>0.99379191411427392</v>
      </c>
      <c r="S27" s="32">
        <f t="shared" si="20"/>
        <v>0.90909090909090906</v>
      </c>
      <c r="U27" s="16"/>
    </row>
    <row r="28" spans="1:21" x14ac:dyDescent="0.2">
      <c r="M28" s="18">
        <f t="shared" si="17"/>
        <v>0.77200000000000002</v>
      </c>
      <c r="N28" s="11">
        <v>0.98899999999999999</v>
      </c>
      <c r="O28" s="32">
        <f t="shared" si="18"/>
        <v>0.81578947368421062</v>
      </c>
      <c r="Q28" s="18">
        <v>0.48299999999999998</v>
      </c>
      <c r="R28" s="11">
        <v>1</v>
      </c>
      <c r="S28" s="32">
        <f t="shared" si="20"/>
        <v>0.9814814814814814</v>
      </c>
      <c r="U28" s="16"/>
    </row>
    <row r="29" spans="1:21" x14ac:dyDescent="0.2">
      <c r="M29" s="18">
        <f t="shared" si="17"/>
        <v>0.5</v>
      </c>
      <c r="N29" s="11">
        <f>K51</f>
        <v>0.97400594578980981</v>
      </c>
      <c r="O29" s="32">
        <f t="shared" si="18"/>
        <v>0.6923076923076924</v>
      </c>
      <c r="Q29" s="18">
        <v>0.38</v>
      </c>
      <c r="R29" s="11">
        <f>-SQRT(((0.48*0.48)/(R51*R51)-1)*(1/1580))+SQRT((0.48*0.48/(R51*R51)-1)*(1/1580)+4)/2</f>
        <v>0.98063213043059572</v>
      </c>
      <c r="S29" s="32">
        <f t="shared" si="20"/>
        <v>0.8</v>
      </c>
      <c r="U29" s="16"/>
    </row>
    <row r="30" spans="1:21" x14ac:dyDescent="0.2">
      <c r="M30" s="18">
        <f t="shared" si="17"/>
        <v>0.82</v>
      </c>
      <c r="N30" s="11">
        <f>2-0.992</f>
        <v>1.008</v>
      </c>
      <c r="O30" s="32">
        <f t="shared" si="18"/>
        <v>1.1081081081081079</v>
      </c>
      <c r="Q30" s="18">
        <v>0.443</v>
      </c>
      <c r="R30" s="11">
        <f>2-(-SQRT(((0.48*0.48)/(R52*R52)-1)*(1/1580))+SQRT((0.48*0.48/(R52*R52)-1)*(1/1580)+4)/2)</f>
        <v>1.0104809186406412</v>
      </c>
      <c r="S30" s="32">
        <f t="shared" si="20"/>
        <v>1.0925925925925926</v>
      </c>
      <c r="U30" s="16"/>
    </row>
    <row r="31" spans="1:21" x14ac:dyDescent="0.2">
      <c r="M31" s="18">
        <f t="shared" si="17"/>
        <v>0.28199999999999997</v>
      </c>
      <c r="N31" s="11">
        <f>2-K53</f>
        <v>1.0522713858211896</v>
      </c>
      <c r="O31" s="32">
        <f t="shared" si="18"/>
        <v>1.3611111111111112</v>
      </c>
      <c r="Q31" s="18">
        <v>0.26</v>
      </c>
      <c r="R31" s="11">
        <f t="shared" ref="R31:R37" si="21">2-(-SQRT(((0.48*0.48)/(R53*R53)-1)*(1/1580))+SQRT((0.48*0.48/(R53*R53)-1)*(1/1580)+4)/2)</f>
        <v>1.0388508826980383</v>
      </c>
      <c r="S31" s="32">
        <f t="shared" si="20"/>
        <v>1.2884615384615385</v>
      </c>
      <c r="U31" s="16"/>
    </row>
    <row r="32" spans="1:21" x14ac:dyDescent="0.2">
      <c r="M32" s="18">
        <f t="shared" si="17"/>
        <v>0.55800000000000005</v>
      </c>
      <c r="N32" s="11">
        <f>2-0.978</f>
        <v>1.022</v>
      </c>
      <c r="O32" s="32">
        <f t="shared" si="18"/>
        <v>1.2702702702702702</v>
      </c>
      <c r="Q32" s="18">
        <v>0.154</v>
      </c>
      <c r="R32" s="11">
        <f t="shared" si="21"/>
        <v>1.0735791793756329</v>
      </c>
      <c r="S32" s="32">
        <f t="shared" si="20"/>
        <v>1.4</v>
      </c>
      <c r="U32" s="16"/>
    </row>
    <row r="33" spans="6:21" x14ac:dyDescent="0.2">
      <c r="M33" s="18">
        <f t="shared" si="17"/>
        <v>0.82499999999999996</v>
      </c>
      <c r="N33" s="11">
        <f>2-K55</f>
        <v>1.0079750278698651</v>
      </c>
      <c r="O33" s="32">
        <f t="shared" si="18"/>
        <v>1.1351351351351351</v>
      </c>
      <c r="Q33" s="18">
        <v>0.24299999999999999</v>
      </c>
      <c r="R33" s="11">
        <f t="shared" si="21"/>
        <v>1.0426261413160882</v>
      </c>
      <c r="S33" s="32">
        <f t="shared" si="20"/>
        <v>1.3076923076923077</v>
      </c>
      <c r="U33" s="16"/>
    </row>
    <row r="34" spans="6:21" x14ac:dyDescent="0.2">
      <c r="M34" s="18">
        <f t="shared" si="17"/>
        <v>0.45600000000000002</v>
      </c>
      <c r="N34" s="11">
        <f>2-0.97</f>
        <v>1.03</v>
      </c>
      <c r="O34" s="32">
        <f t="shared" si="18"/>
        <v>1.2972972972972971</v>
      </c>
      <c r="Q34" s="18">
        <v>0.41799999999999998</v>
      </c>
      <c r="R34" s="11">
        <f t="shared" si="21"/>
        <v>1.0141761260855646</v>
      </c>
      <c r="S34" s="32">
        <f t="shared" si="20"/>
        <v>1.1509433962264151</v>
      </c>
      <c r="U34" s="16"/>
    </row>
    <row r="35" spans="6:21" x14ac:dyDescent="0.2">
      <c r="M35" s="18">
        <f t="shared" si="17"/>
        <v>0.6</v>
      </c>
      <c r="N35" s="11">
        <f>2-K57</f>
        <v>1.0195081330090401</v>
      </c>
      <c r="O35" s="32">
        <f t="shared" si="18"/>
        <v>1.243243243243243</v>
      </c>
      <c r="Q35" s="18">
        <v>0.46200000000000002</v>
      </c>
      <c r="R35" s="11">
        <f t="shared" si="21"/>
        <v>1.0070844490635245</v>
      </c>
      <c r="S35" s="32">
        <f t="shared" si="20"/>
        <v>1.074074074074074</v>
      </c>
      <c r="U35" s="16"/>
    </row>
    <row r="36" spans="6:21" ht="16" thickBot="1" x14ac:dyDescent="0.25">
      <c r="M36" s="20">
        <f t="shared" si="17"/>
        <v>0.73699999999999999</v>
      </c>
      <c r="N36" s="13">
        <f>2-0.988</f>
        <v>1.012</v>
      </c>
      <c r="O36" s="34">
        <f t="shared" si="18"/>
        <v>1.1891891891891893</v>
      </c>
      <c r="Q36" s="18">
        <v>0.372</v>
      </c>
      <c r="R36" s="11">
        <f t="shared" si="21"/>
        <v>1.0204618608028808</v>
      </c>
      <c r="S36" s="32">
        <f t="shared" si="20"/>
        <v>1.2075471698113209</v>
      </c>
    </row>
    <row r="37" spans="6:21" ht="16" thickBot="1" x14ac:dyDescent="0.25">
      <c r="Q37" s="20">
        <v>0.314</v>
      </c>
      <c r="R37" s="13">
        <f t="shared" si="21"/>
        <v>1.0289817258044207</v>
      </c>
      <c r="S37" s="34">
        <f t="shared" si="20"/>
        <v>1.2692307692307692</v>
      </c>
    </row>
    <row r="42" spans="6:21" ht="16" thickBot="1" x14ac:dyDescent="0.25"/>
    <row r="43" spans="6:21" x14ac:dyDescent="0.2">
      <c r="F43">
        <f t="shared" ref="F43:F49" si="22">-SQRT(((0.91*0.91)/(N3*N3)-1)*(1/3400))+SQRT((0.91*0.91/(N3*N3)-1)*(1/3400)+4)/2</f>
        <v>0.97809359579678412</v>
      </c>
      <c r="H43">
        <f>-SQRT(((0.91*0.91)/(N3*N3)-1)*(1/676))+SQRT((0.91*0.91/(N3*N3)-1)*(1/676)+4)/2</f>
        <v>0.95103913762986481</v>
      </c>
      <c r="J43" s="2" t="s">
        <v>23</v>
      </c>
      <c r="K43" s="23" t="s">
        <v>16</v>
      </c>
      <c r="L43" s="3" t="s">
        <v>20</v>
      </c>
      <c r="M43" s="3" t="s">
        <v>21</v>
      </c>
      <c r="N43" s="24" t="s">
        <v>22</v>
      </c>
      <c r="P43">
        <f>-SQRT(((0.48*0.48)/(P3*P3)-1)*(1/1580))+SQRT((0.48*0.48/(P3*P3)-1)*(1/1580)+4)/2</f>
        <v>0.97037008981211204</v>
      </c>
      <c r="S43" s="43" t="s">
        <v>24</v>
      </c>
    </row>
    <row r="44" spans="6:21" x14ac:dyDescent="0.2">
      <c r="F44">
        <f t="shared" si="22"/>
        <v>0.97680539318658044</v>
      </c>
      <c r="H44">
        <f t="shared" ref="H44:H55" si="23">-SQRT(((0.91*0.91)/(N4*N4)-1)*(1/676))+SQRT((0.91*0.91/(N4*N4)-1)*(1/676)+4)/2</f>
        <v>0.94817052108384448</v>
      </c>
      <c r="J44" s="36">
        <v>0.28599999999999998</v>
      </c>
      <c r="K44" s="11">
        <f>-SQRT(((0.91*0.91)/(J44*J44)-1)*(1/3400))+SQRT((0.91*0.91/(J44*J44)-1)*(1/3400)+4)/2</f>
        <v>0.94853268409084501</v>
      </c>
      <c r="L44" s="1">
        <v>2.2000000000000002</v>
      </c>
      <c r="M44" s="1">
        <v>4</v>
      </c>
      <c r="N44" s="32">
        <f t="shared" ref="N44:N58" si="24">L44/M44</f>
        <v>0.55000000000000004</v>
      </c>
      <c r="P44">
        <f t="shared" ref="P44:P58" si="25">-SQRT(((0.48*0.48)/(P4*P4)-1)*(1/1580))+SQRT((0.48*0.48/(P4*P4)-1)*(1/1580)+4)/2</f>
        <v>0.96114911730196173</v>
      </c>
      <c r="R44">
        <v>0.28999999999999998</v>
      </c>
      <c r="S44">
        <v>5.8</v>
      </c>
      <c r="T44">
        <v>4</v>
      </c>
    </row>
    <row r="45" spans="6:21" x14ac:dyDescent="0.2">
      <c r="F45">
        <f t="shared" si="22"/>
        <v>0.98105994284986031</v>
      </c>
      <c r="H45">
        <f t="shared" si="23"/>
        <v>0.95764916893324126</v>
      </c>
      <c r="J45" s="18">
        <v>0.76</v>
      </c>
      <c r="K45" s="11">
        <f t="shared" ref="K45:K58" si="26">-SQRT(((0.91*0.91)/(J45*J45)-1)*(1/3400))+SQRT((0.91*0.91/(J45*J45)-1)*(1/3400)+4)/2</f>
        <v>0.98872186557993691</v>
      </c>
      <c r="L45" s="1">
        <v>3</v>
      </c>
      <c r="M45" s="1">
        <v>3.9</v>
      </c>
      <c r="N45" s="32">
        <f t="shared" si="24"/>
        <v>0.76923076923076927</v>
      </c>
      <c r="P45">
        <f t="shared" si="25"/>
        <v>0.96512376907165931</v>
      </c>
      <c r="R45">
        <v>0.42</v>
      </c>
      <c r="S45">
        <v>5.7</v>
      </c>
      <c r="T45">
        <v>4.5999999999999996</v>
      </c>
    </row>
    <row r="46" spans="6:21" x14ac:dyDescent="0.2">
      <c r="F46">
        <f t="shared" si="22"/>
        <v>0.98774457380716207</v>
      </c>
      <c r="H46">
        <f t="shared" si="23"/>
        <v>0.97256755623116009</v>
      </c>
      <c r="J46" s="36">
        <v>0.89500000000000002</v>
      </c>
      <c r="K46" s="11">
        <f t="shared" si="26"/>
        <v>0.99684825886650918</v>
      </c>
      <c r="L46" s="1">
        <v>3.9</v>
      </c>
      <c r="M46" s="1">
        <v>3.8</v>
      </c>
      <c r="N46" s="32">
        <f t="shared" si="24"/>
        <v>1.0263157894736843</v>
      </c>
      <c r="P46">
        <f t="shared" si="25"/>
        <v>0.97926302415541611</v>
      </c>
      <c r="R46">
        <v>0.34699999999999998</v>
      </c>
      <c r="S46">
        <v>5.7</v>
      </c>
      <c r="T46">
        <v>4.2</v>
      </c>
    </row>
    <row r="47" spans="6:21" x14ac:dyDescent="0.2">
      <c r="F47">
        <f t="shared" si="22"/>
        <v>0.99020699610307306</v>
      </c>
      <c r="H47">
        <f t="shared" si="23"/>
        <v>0.97807097618777794</v>
      </c>
      <c r="J47" s="18">
        <v>0.64400000000000002</v>
      </c>
      <c r="K47" s="11">
        <f t="shared" si="26"/>
        <v>0.98291517436544706</v>
      </c>
      <c r="L47" s="1">
        <v>2.8</v>
      </c>
      <c r="M47" s="1">
        <v>3.9</v>
      </c>
      <c r="N47" s="32">
        <f t="shared" si="24"/>
        <v>0.71794871794871795</v>
      </c>
      <c r="P47">
        <f t="shared" si="25"/>
        <v>0.9515126569179515</v>
      </c>
      <c r="R47">
        <v>0.22700000000000001</v>
      </c>
      <c r="S47">
        <v>5.7</v>
      </c>
      <c r="T47">
        <v>3.8</v>
      </c>
    </row>
    <row r="48" spans="6:21" x14ac:dyDescent="0.2">
      <c r="F48">
        <f t="shared" si="22"/>
        <v>0.9922983573182621</v>
      </c>
      <c r="H48">
        <f t="shared" si="23"/>
        <v>0.982748430256975</v>
      </c>
      <c r="J48" s="36">
        <v>0.26400000000000001</v>
      </c>
      <c r="K48" s="11">
        <f t="shared" si="26"/>
        <v>0.94382727680300083</v>
      </c>
      <c r="L48" s="1">
        <v>2.4</v>
      </c>
      <c r="M48" s="1">
        <v>4</v>
      </c>
      <c r="N48" s="32">
        <f t="shared" si="24"/>
        <v>0.6</v>
      </c>
      <c r="P48">
        <f t="shared" si="25"/>
        <v>0.97787449854273611</v>
      </c>
      <c r="R48">
        <v>0.17699999999999999</v>
      </c>
      <c r="S48">
        <v>5.8</v>
      </c>
      <c r="T48">
        <v>3.6</v>
      </c>
    </row>
    <row r="49" spans="6:20" x14ac:dyDescent="0.2">
      <c r="F49">
        <f t="shared" si="22"/>
        <v>0.99634553959907457</v>
      </c>
      <c r="H49">
        <f t="shared" si="23"/>
        <v>0.99180889403740913</v>
      </c>
      <c r="J49" s="18">
        <v>0.38</v>
      </c>
      <c r="K49" s="11">
        <f t="shared" si="26"/>
        <v>0.96285679824575621</v>
      </c>
      <c r="L49" s="1">
        <v>2.5</v>
      </c>
      <c r="M49" s="1">
        <v>4</v>
      </c>
      <c r="N49" s="32">
        <f t="shared" si="24"/>
        <v>0.625</v>
      </c>
      <c r="P49">
        <f t="shared" si="25"/>
        <v>0.95666284658021672</v>
      </c>
      <c r="R49">
        <v>0.46600000000000003</v>
      </c>
      <c r="S49">
        <v>5.5</v>
      </c>
      <c r="T49">
        <v>5</v>
      </c>
    </row>
    <row r="50" spans="6:20" x14ac:dyDescent="0.2">
      <c r="H50">
        <f t="shared" si="23"/>
        <v>0.96365738214408603</v>
      </c>
      <c r="J50" s="36">
        <v>0.77200000000000002</v>
      </c>
      <c r="K50" s="11">
        <f t="shared" si="26"/>
        <v>0.98931155869828924</v>
      </c>
      <c r="L50" s="1">
        <v>3.1</v>
      </c>
      <c r="M50" s="1">
        <v>3.8</v>
      </c>
      <c r="N50" s="32">
        <f t="shared" si="24"/>
        <v>0.81578947368421062</v>
      </c>
      <c r="P50">
        <f t="shared" si="25"/>
        <v>0.99067274581094722</v>
      </c>
      <c r="R50">
        <v>0.48299999999999998</v>
      </c>
      <c r="S50">
        <v>5.4</v>
      </c>
      <c r="T50">
        <v>5.3</v>
      </c>
    </row>
    <row r="51" spans="6:20" x14ac:dyDescent="0.2">
      <c r="H51">
        <f t="shared" si="23"/>
        <v>0.99180889403740913</v>
      </c>
      <c r="J51" s="18">
        <v>0.5</v>
      </c>
      <c r="K51" s="11">
        <f t="shared" si="26"/>
        <v>0.97400594578980981</v>
      </c>
      <c r="L51" s="1">
        <v>2.7</v>
      </c>
      <c r="M51" s="1">
        <v>3.9</v>
      </c>
      <c r="N51" s="32">
        <f t="shared" si="24"/>
        <v>0.6923076923076924</v>
      </c>
      <c r="P51">
        <f t="shared" si="25"/>
        <v>0.98904665298990679</v>
      </c>
      <c r="R51">
        <v>0.38</v>
      </c>
      <c r="S51">
        <v>5.5</v>
      </c>
      <c r="T51">
        <v>4.4000000000000004</v>
      </c>
    </row>
    <row r="52" spans="6:20" x14ac:dyDescent="0.2">
      <c r="H52">
        <f t="shared" si="23"/>
        <v>0.97807097618777794</v>
      </c>
      <c r="J52" s="36">
        <v>0.82</v>
      </c>
      <c r="K52" s="11">
        <f t="shared" si="26"/>
        <v>0.99175590935024838</v>
      </c>
      <c r="L52" s="1">
        <v>4.0999999999999996</v>
      </c>
      <c r="M52" s="1">
        <v>3.7</v>
      </c>
      <c r="N52" s="32">
        <f t="shared" si="24"/>
        <v>1.1081081081081079</v>
      </c>
      <c r="P52">
        <f t="shared" si="25"/>
        <v>0.98334705914333653</v>
      </c>
      <c r="R52">
        <v>0.443</v>
      </c>
      <c r="S52">
        <v>5.4</v>
      </c>
      <c r="T52">
        <v>5.9</v>
      </c>
    </row>
    <row r="53" spans="6:20" x14ac:dyDescent="0.2">
      <c r="H53">
        <f t="shared" si="23"/>
        <v>0.96365738214408603</v>
      </c>
      <c r="I53" s="16"/>
      <c r="J53" s="18">
        <v>0.28199999999999997</v>
      </c>
      <c r="K53" s="11">
        <f t="shared" si="26"/>
        <v>0.94772861417881038</v>
      </c>
      <c r="L53" s="1">
        <v>4.9000000000000004</v>
      </c>
      <c r="M53" s="1">
        <v>3.6</v>
      </c>
      <c r="N53" s="32">
        <f t="shared" si="24"/>
        <v>1.3611111111111112</v>
      </c>
      <c r="P53">
        <f t="shared" si="25"/>
        <v>0.97037008981211204</v>
      </c>
      <c r="R53">
        <v>0.26</v>
      </c>
      <c r="S53">
        <v>5.2</v>
      </c>
      <c r="T53">
        <v>6.7</v>
      </c>
    </row>
    <row r="54" spans="6:20" x14ac:dyDescent="0.2">
      <c r="H54">
        <f t="shared" si="23"/>
        <v>0.97256755623116009</v>
      </c>
      <c r="I54" s="16"/>
      <c r="J54" s="36">
        <v>0.55800000000000005</v>
      </c>
      <c r="K54" s="11">
        <f t="shared" si="26"/>
        <v>0.97796770669625566</v>
      </c>
      <c r="L54" s="1">
        <v>4.7</v>
      </c>
      <c r="M54" s="1">
        <v>3.7</v>
      </c>
      <c r="N54" s="32">
        <f t="shared" si="24"/>
        <v>1.2702702702702702</v>
      </c>
      <c r="P54">
        <f t="shared" si="25"/>
        <v>0.95418220455793734</v>
      </c>
      <c r="R54">
        <v>0.154</v>
      </c>
      <c r="S54">
        <v>5</v>
      </c>
      <c r="T54">
        <v>7</v>
      </c>
    </row>
    <row r="55" spans="6:20" x14ac:dyDescent="0.2">
      <c r="H55">
        <f t="shared" si="23"/>
        <v>0.95103913762986481</v>
      </c>
      <c r="I55" s="16"/>
      <c r="J55" s="18">
        <v>0.82499999999999996</v>
      </c>
      <c r="K55" s="11">
        <f t="shared" si="26"/>
        <v>0.99202497213013474</v>
      </c>
      <c r="L55" s="1">
        <v>4.2</v>
      </c>
      <c r="M55" s="1">
        <v>3.7</v>
      </c>
      <c r="N55" s="32">
        <f t="shared" si="24"/>
        <v>1.1351351351351351</v>
      </c>
      <c r="P55">
        <f t="shared" si="25"/>
        <v>0.97351495360526963</v>
      </c>
      <c r="R55">
        <v>0.24299999999999999</v>
      </c>
      <c r="S55">
        <v>5.2</v>
      </c>
      <c r="T55">
        <v>6.8</v>
      </c>
    </row>
    <row r="56" spans="6:20" x14ac:dyDescent="0.2">
      <c r="I56" s="16"/>
      <c r="J56" s="36">
        <v>0.45600000000000002</v>
      </c>
      <c r="K56" s="11">
        <f t="shared" si="26"/>
        <v>0.97049210441586176</v>
      </c>
      <c r="L56" s="1">
        <v>4.8</v>
      </c>
      <c r="M56" s="1">
        <v>3.7</v>
      </c>
      <c r="N56" s="32">
        <f t="shared" si="24"/>
        <v>1.2972972972972971</v>
      </c>
      <c r="P56">
        <f t="shared" si="25"/>
        <v>0.98471380455771385</v>
      </c>
      <c r="R56">
        <v>0.41799999999999998</v>
      </c>
      <c r="S56">
        <v>5.3</v>
      </c>
      <c r="T56">
        <v>6.1</v>
      </c>
    </row>
    <row r="57" spans="6:20" x14ac:dyDescent="0.2">
      <c r="J57" s="18">
        <v>0.6</v>
      </c>
      <c r="K57" s="11">
        <f t="shared" si="26"/>
        <v>0.98049186699095991</v>
      </c>
      <c r="L57" s="1">
        <v>4.5999999999999996</v>
      </c>
      <c r="M57" s="1">
        <v>3.7</v>
      </c>
      <c r="N57" s="32">
        <f t="shared" si="24"/>
        <v>1.243243243243243</v>
      </c>
      <c r="P57">
        <f t="shared" si="25"/>
        <v>0.96512376907165931</v>
      </c>
      <c r="R57">
        <v>0.46200000000000002</v>
      </c>
      <c r="S57">
        <v>5.4</v>
      </c>
      <c r="T57">
        <v>5.8</v>
      </c>
    </row>
    <row r="58" spans="6:20" ht="16" thickBot="1" x14ac:dyDescent="0.25">
      <c r="J58" s="37">
        <v>0.73699999999999999</v>
      </c>
      <c r="K58" s="11">
        <f t="shared" si="26"/>
        <v>0.98759810411915916</v>
      </c>
      <c r="L58" s="7">
        <v>4.4000000000000004</v>
      </c>
      <c r="M58" s="7">
        <v>3.7</v>
      </c>
      <c r="N58" s="34">
        <f t="shared" si="24"/>
        <v>1.1891891891891893</v>
      </c>
      <c r="P58">
        <f t="shared" si="25"/>
        <v>0.97645869581974076</v>
      </c>
      <c r="R58">
        <v>0.372</v>
      </c>
      <c r="S58">
        <v>5.3</v>
      </c>
      <c r="T58">
        <v>6.4</v>
      </c>
    </row>
    <row r="59" spans="6:20" x14ac:dyDescent="0.2">
      <c r="R59">
        <v>0.314</v>
      </c>
      <c r="S59">
        <v>5.2</v>
      </c>
      <c r="T59">
        <v>6.6</v>
      </c>
    </row>
  </sheetData>
  <mergeCells count="12">
    <mergeCell ref="A24:D24"/>
    <mergeCell ref="A25:D25"/>
    <mergeCell ref="M1:N1"/>
    <mergeCell ref="O1:P1"/>
    <mergeCell ref="R1:S1"/>
    <mergeCell ref="A22:D22"/>
    <mergeCell ref="A23:D23"/>
    <mergeCell ref="T1:U1"/>
    <mergeCell ref="A9:D9"/>
    <mergeCell ref="A10:D10"/>
    <mergeCell ref="A11:D11"/>
    <mergeCell ref="A12:D12"/>
  </mergeCells>
  <phoneticPr fontId="7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6</vt:i4>
      </vt:variant>
    </vt:vector>
  </HeadingPairs>
  <TitlesOfParts>
    <vt:vector size="7" baseType="lpstr">
      <vt:lpstr>Лист1</vt:lpstr>
      <vt:lpstr>Диаграмма1</vt:lpstr>
      <vt:lpstr>Диаграмма2</vt:lpstr>
      <vt:lpstr>Диаграмма3</vt:lpstr>
      <vt:lpstr>Диаграмма5</vt:lpstr>
      <vt:lpstr>Диаграмма4</vt:lpstr>
      <vt:lpstr>Диаграмма6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Пользователь Microsoft Office</cp:lastModifiedBy>
  <cp:lastPrinted>2017-10-26T18:21:43Z</cp:lastPrinted>
  <dcterms:created xsi:type="dcterms:W3CDTF">2017-10-25T12:24:39Z</dcterms:created>
  <dcterms:modified xsi:type="dcterms:W3CDTF">2017-10-26T19:53:13Z</dcterms:modified>
</cp:coreProperties>
</file>