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tma Shebl\Documents\COVID-19\SA\YLL\"/>
    </mc:Choice>
  </mc:AlternateContent>
  <xr:revisionPtr revIDLastSave="11" documentId="13_ncr:1_{67FA86CC-E696-4C3B-95E4-4CECD9958AE8}" xr6:coauthVersionLast="45" xr6:coauthVersionMax="45" xr10:uidLastSave="{9AF8AE77-E961-41E6-A234-96C98EFE3A6B}"/>
  <bookViews>
    <workbookView xWindow="-96" yWindow="-96" windowWidth="23232" windowHeight="12552" firstSheet="3" activeTab="1" xr2:uid="{F4D57D0C-ED15-45E8-B9CA-F641A42C58E3}"/>
  </bookViews>
  <sheets>
    <sheet name="Sources" sheetId="1" r:id="rId1"/>
    <sheet name="YLL worksheet" sheetId="5" r:id="rId2"/>
    <sheet name="Cases and CFR worksheet" sheetId="10" r:id="rId3"/>
    <sheet name="EQ-5D" sheetId="11" r:id="rId4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J4" i="10" l="1"/>
  <c r="AJ3" i="10"/>
  <c r="AS15" i="10"/>
  <c r="AS14" i="10"/>
  <c r="AR15" i="10"/>
  <c r="AR16" i="10"/>
  <c r="AR14" i="10"/>
  <c r="AQ16" i="10"/>
  <c r="I14" i="11" l="1"/>
  <c r="H14" i="11"/>
  <c r="G14" i="11"/>
  <c r="F14" i="11"/>
  <c r="E14" i="11"/>
  <c r="D14" i="11"/>
  <c r="C14" i="11"/>
  <c r="B14" i="11"/>
  <c r="AI4" i="10"/>
  <c r="AJ11" i="10"/>
  <c r="AD11" i="10"/>
  <c r="AD10" i="10"/>
  <c r="AD9" i="10"/>
  <c r="AD8" i="10"/>
  <c r="AD6" i="10"/>
  <c r="AD5" i="10"/>
  <c r="AD4" i="10"/>
  <c r="AD3" i="10"/>
  <c r="T20" i="5" l="1"/>
  <c r="T19" i="5"/>
  <c r="T18" i="5"/>
  <c r="T17" i="5"/>
  <c r="T16" i="5"/>
  <c r="T15" i="5"/>
  <c r="T14" i="5"/>
  <c r="T13" i="5"/>
  <c r="T12" i="5"/>
  <c r="T11" i="5"/>
  <c r="T10" i="5"/>
  <c r="T9" i="5"/>
  <c r="T8" i="5"/>
  <c r="T7" i="5"/>
  <c r="T6" i="5"/>
  <c r="T5" i="5"/>
  <c r="T4" i="5"/>
  <c r="J14" i="11" l="1"/>
  <c r="F15" i="11" s="1"/>
  <c r="AE8" i="10"/>
  <c r="AE5" i="10"/>
  <c r="AE6" i="10"/>
  <c r="AI6" i="10"/>
  <c r="AI7" i="10"/>
  <c r="AI8" i="10"/>
  <c r="AI5" i="10"/>
  <c r="AK5" i="10" s="1"/>
  <c r="AE3" i="10"/>
  <c r="AK8" i="10" l="1"/>
  <c r="AK6" i="10"/>
  <c r="AE4" i="10"/>
  <c r="I15" i="11"/>
  <c r="H15" i="11"/>
  <c r="B15" i="11"/>
  <c r="D15" i="11"/>
  <c r="E15" i="11"/>
  <c r="G15" i="11"/>
  <c r="C15" i="11"/>
  <c r="AQ4" i="10"/>
  <c r="AS5" i="10"/>
  <c r="AQ5" i="10"/>
  <c r="AU5" i="10" s="1"/>
  <c r="V23" i="10"/>
  <c r="AS3" i="10" l="1"/>
  <c r="B18" i="11"/>
  <c r="R27" i="5" s="1"/>
  <c r="AJ13" i="10"/>
  <c r="AI9" i="10" s="1"/>
  <c r="AD13" i="10"/>
  <c r="AE10" i="10" s="1"/>
  <c r="AI10" i="10" l="1"/>
  <c r="AK10" i="10" s="1"/>
  <c r="AI11" i="10"/>
  <c r="AE9" i="10"/>
  <c r="AK9" i="10" s="1"/>
  <c r="AE11" i="10"/>
  <c r="AK11" i="10" l="1"/>
  <c r="AI13" i="10"/>
  <c r="AE13" i="10"/>
  <c r="AK13" i="10" l="1"/>
  <c r="R20" i="5" l="1"/>
  <c r="R21" i="5"/>
  <c r="T20" i="10"/>
  <c r="T18" i="10"/>
  <c r="T16" i="10"/>
  <c r="T14" i="10"/>
  <c r="T11" i="10"/>
  <c r="T9" i="10"/>
  <c r="AK4" i="10"/>
  <c r="T6" i="10" l="1"/>
  <c r="T7" i="10"/>
  <c r="T10" i="10"/>
  <c r="T8" i="10"/>
  <c r="T19" i="10"/>
  <c r="T17" i="10"/>
  <c r="T15" i="10"/>
  <c r="P21" i="5" l="1"/>
  <c r="O5" i="5" l="1"/>
  <c r="W5" i="10" s="1"/>
  <c r="O21" i="5"/>
  <c r="W21" i="10" s="1"/>
  <c r="O4" i="5"/>
  <c r="O7" i="5"/>
  <c r="W7" i="10" s="1"/>
  <c r="O9" i="5"/>
  <c r="W9" i="10" s="1"/>
  <c r="O11" i="5"/>
  <c r="W11" i="10" s="1"/>
  <c r="O13" i="5"/>
  <c r="W13" i="10" s="1"/>
  <c r="O15" i="5"/>
  <c r="W15" i="10" s="1"/>
  <c r="O19" i="5"/>
  <c r="W19" i="10" s="1"/>
  <c r="O6" i="5"/>
  <c r="W6" i="10" s="1"/>
  <c r="O10" i="5"/>
  <c r="W10" i="10" s="1"/>
  <c r="O12" i="5"/>
  <c r="W12" i="10" s="1"/>
  <c r="O17" i="5"/>
  <c r="W17" i="10" s="1"/>
  <c r="O8" i="5"/>
  <c r="W8" i="10" s="1"/>
  <c r="O14" i="5"/>
  <c r="W14" i="10" s="1"/>
  <c r="O18" i="5"/>
  <c r="W18" i="10" s="1"/>
  <c r="O16" i="5"/>
  <c r="W16" i="10" s="1"/>
  <c r="O20" i="5"/>
  <c r="W20" i="10" s="1"/>
  <c r="W4" i="10" l="1"/>
  <c r="T21" i="5"/>
  <c r="M8" i="5"/>
  <c r="M14" i="5"/>
  <c r="M9" i="5"/>
  <c r="M18" i="5"/>
  <c r="M12" i="5"/>
  <c r="M7" i="5"/>
  <c r="M19" i="5"/>
  <c r="M13" i="5"/>
  <c r="M4" i="5"/>
  <c r="M10" i="5"/>
  <c r="M15" i="5"/>
  <c r="M11" i="5"/>
  <c r="M20" i="5"/>
  <c r="M17" i="5"/>
  <c r="M6" i="5"/>
  <c r="M16" i="5"/>
  <c r="M5" i="5"/>
  <c r="M21" i="5" l="1"/>
  <c r="S17" i="10" l="1"/>
  <c r="S20" i="10" l="1"/>
  <c r="S18" i="10"/>
  <c r="S19" i="10"/>
  <c r="S16" i="10"/>
  <c r="S10" i="10"/>
  <c r="U10" i="10" s="1"/>
  <c r="S11" i="10"/>
  <c r="S9" i="10"/>
  <c r="U9" i="10" s="1"/>
  <c r="S8" i="10"/>
  <c r="S15" i="10"/>
  <c r="U15" i="10" s="1"/>
  <c r="S14" i="10"/>
  <c r="U14" i="10" s="1"/>
  <c r="C18" i="5"/>
  <c r="U18" i="10"/>
  <c r="S5" i="10"/>
  <c r="U17" i="10"/>
  <c r="C17" i="5"/>
  <c r="S4" i="10"/>
  <c r="C9" i="5" l="1"/>
  <c r="C10" i="5"/>
  <c r="M21" i="10"/>
  <c r="N5" i="10" s="1"/>
  <c r="C14" i="5"/>
  <c r="U20" i="10"/>
  <c r="C20" i="5"/>
  <c r="C15" i="5"/>
  <c r="U19" i="10"/>
  <c r="C19" i="5"/>
  <c r="C8" i="5"/>
  <c r="U8" i="10"/>
  <c r="C11" i="5"/>
  <c r="U11" i="10"/>
  <c r="S7" i="10"/>
  <c r="C4" i="5"/>
  <c r="C16" i="5"/>
  <c r="U16" i="10"/>
  <c r="C5" i="5"/>
  <c r="S12" i="10"/>
  <c r="AD7" i="10" s="1"/>
  <c r="S6" i="10"/>
  <c r="S13" i="10"/>
  <c r="AE7" i="10" l="1"/>
  <c r="AS4" i="10"/>
  <c r="AD12" i="10"/>
  <c r="N11" i="10"/>
  <c r="N19" i="10"/>
  <c r="N18" i="10"/>
  <c r="N20" i="10"/>
  <c r="N13" i="10"/>
  <c r="N14" i="10"/>
  <c r="N16" i="10"/>
  <c r="N15" i="10"/>
  <c r="N21" i="10"/>
  <c r="N7" i="10"/>
  <c r="N9" i="10"/>
  <c r="N6" i="10"/>
  <c r="N10" i="10"/>
  <c r="N8" i="10"/>
  <c r="N4" i="10"/>
  <c r="N12" i="10"/>
  <c r="N17" i="10"/>
  <c r="S23" i="10"/>
  <c r="T23" i="10" s="1"/>
  <c r="C12" i="5"/>
  <c r="C13" i="5"/>
  <c r="U6" i="10"/>
  <c r="C6" i="5"/>
  <c r="U7" i="10"/>
  <c r="C7" i="5"/>
  <c r="S21" i="10"/>
  <c r="AU4" i="10" l="1"/>
  <c r="AS6" i="10"/>
  <c r="AK7" i="10"/>
  <c r="AE12" i="10"/>
  <c r="C21" i="5"/>
  <c r="B13" i="5" s="1"/>
  <c r="L13" i="5" s="1"/>
  <c r="T12" i="10" l="1"/>
  <c r="U12" i="10" s="1"/>
  <c r="T13" i="10"/>
  <c r="U13" i="10" s="1"/>
  <c r="B12" i="5"/>
  <c r="L12" i="5" s="1"/>
  <c r="B7" i="5"/>
  <c r="L7" i="5" s="1"/>
  <c r="B21" i="5"/>
  <c r="B11" i="5"/>
  <c r="L11" i="5" s="1"/>
  <c r="B8" i="5"/>
  <c r="L8" i="5" s="1"/>
  <c r="B20" i="5"/>
  <c r="L20" i="5" s="1"/>
  <c r="B19" i="5"/>
  <c r="L19" i="5" s="1"/>
  <c r="B15" i="5"/>
  <c r="L15" i="5" s="1"/>
  <c r="B10" i="5"/>
  <c r="L10" i="5" s="1"/>
  <c r="B14" i="5"/>
  <c r="L14" i="5" s="1"/>
  <c r="B18" i="5"/>
  <c r="L18" i="5" s="1"/>
  <c r="B17" i="5"/>
  <c r="L17" i="5" s="1"/>
  <c r="B9" i="5"/>
  <c r="L9" i="5" s="1"/>
  <c r="B16" i="5"/>
  <c r="L16" i="5" s="1"/>
  <c r="B4" i="5"/>
  <c r="L4" i="5" s="1"/>
  <c r="B5" i="5"/>
  <c r="L5" i="5" s="1"/>
  <c r="B6" i="5"/>
  <c r="L6" i="5" s="1"/>
  <c r="L21" i="5" l="1"/>
  <c r="AI3" i="10" l="1"/>
  <c r="AI12" i="10" s="1"/>
  <c r="AJ12" i="10"/>
  <c r="AQ3" i="10"/>
  <c r="AQ6" i="10" s="1"/>
  <c r="AU6" i="10" s="1"/>
  <c r="AU3" i="10" l="1"/>
  <c r="AL10" i="10"/>
  <c r="AL8" i="10"/>
  <c r="AL7" i="10"/>
  <c r="AL12" i="10"/>
  <c r="AL6" i="10"/>
  <c r="AL4" i="10"/>
  <c r="AL9" i="10"/>
  <c r="AL11" i="10"/>
  <c r="AK12" i="10"/>
  <c r="T21" i="10" s="1"/>
  <c r="AL5" i="10"/>
  <c r="AL13" i="10"/>
  <c r="AL3" i="10"/>
  <c r="AK3" i="10"/>
  <c r="T5" i="10" l="1"/>
  <c r="U5" i="10" s="1"/>
  <c r="T4" i="10"/>
  <c r="U4" i="10" s="1"/>
  <c r="U21" i="10" s="1"/>
  <c r="V13" i="10" l="1"/>
  <c r="V11" i="10"/>
  <c r="V17" i="10"/>
  <c r="V15" i="10"/>
  <c r="V21" i="10"/>
  <c r="V14" i="10"/>
  <c r="V6" i="10"/>
  <c r="V18" i="10"/>
  <c r="V7" i="10"/>
  <c r="V16" i="10"/>
  <c r="V19" i="10"/>
  <c r="V8" i="10"/>
  <c r="V12" i="10"/>
  <c r="V9" i="10"/>
  <c r="V4" i="10"/>
  <c r="V5" i="10"/>
  <c r="V20" i="10"/>
  <c r="V10" i="10"/>
  <c r="Y5" i="10" l="1"/>
  <c r="J5" i="5"/>
  <c r="J19" i="5"/>
  <c r="Y19" i="10"/>
  <c r="Y9" i="10"/>
  <c r="J9" i="5"/>
  <c r="J8" i="5"/>
  <c r="Y8" i="10"/>
  <c r="Y18" i="10"/>
  <c r="J18" i="5"/>
  <c r="J17" i="5"/>
  <c r="Y17" i="10"/>
  <c r="J12" i="5"/>
  <c r="Y12" i="10"/>
  <c r="Y7" i="10"/>
  <c r="J7" i="5"/>
  <c r="Y14" i="10"/>
  <c r="J14" i="5"/>
  <c r="J10" i="5"/>
  <c r="Y10" i="10"/>
  <c r="Y11" i="10"/>
  <c r="J11" i="5"/>
  <c r="J4" i="5"/>
  <c r="Y4" i="10"/>
  <c r="Y16" i="10"/>
  <c r="J16" i="5"/>
  <c r="J6" i="5"/>
  <c r="Y6" i="10"/>
  <c r="Y15" i="10"/>
  <c r="J15" i="5"/>
  <c r="Y20" i="10"/>
  <c r="J20" i="5"/>
  <c r="J13" i="5"/>
  <c r="Y13" i="10"/>
  <c r="V15" i="5" l="1"/>
  <c r="X15" i="5" s="1"/>
  <c r="N15" i="5"/>
  <c r="E15" i="5"/>
  <c r="G15" i="5" s="1"/>
  <c r="N7" i="5"/>
  <c r="V7" i="5"/>
  <c r="X7" i="5" s="1"/>
  <c r="E7" i="5"/>
  <c r="G7" i="5" s="1"/>
  <c r="V17" i="5"/>
  <c r="X17" i="5" s="1"/>
  <c r="E17" i="5"/>
  <c r="G17" i="5" s="1"/>
  <c r="N17" i="5"/>
  <c r="V4" i="5"/>
  <c r="J21" i="5"/>
  <c r="D14" i="5" s="1"/>
  <c r="N4" i="5"/>
  <c r="E4" i="5"/>
  <c r="G4" i="5" s="1"/>
  <c r="E12" i="5"/>
  <c r="G12" i="5" s="1"/>
  <c r="N12" i="5"/>
  <c r="V12" i="5"/>
  <c r="X12" i="5" s="1"/>
  <c r="Y21" i="10"/>
  <c r="N9" i="5"/>
  <c r="V9" i="5"/>
  <c r="X9" i="5" s="1"/>
  <c r="E9" i="5"/>
  <c r="G9" i="5" s="1"/>
  <c r="V19" i="5"/>
  <c r="X19" i="5" s="1"/>
  <c r="E19" i="5"/>
  <c r="G19" i="5" s="1"/>
  <c r="N19" i="5"/>
  <c r="E20" i="5"/>
  <c r="G20" i="5" s="1"/>
  <c r="V20" i="5"/>
  <c r="X20" i="5" s="1"/>
  <c r="N20" i="5"/>
  <c r="N16" i="5"/>
  <c r="E16" i="5"/>
  <c r="G16" i="5" s="1"/>
  <c r="V16" i="5"/>
  <c r="X16" i="5" s="1"/>
  <c r="N18" i="5"/>
  <c r="E18" i="5"/>
  <c r="G18" i="5" s="1"/>
  <c r="V18" i="5"/>
  <c r="X18" i="5" s="1"/>
  <c r="E11" i="5"/>
  <c r="G11" i="5" s="1"/>
  <c r="V11" i="5"/>
  <c r="X11" i="5" s="1"/>
  <c r="N11" i="5"/>
  <c r="E14" i="5"/>
  <c r="G14" i="5" s="1"/>
  <c r="V14" i="5"/>
  <c r="X14" i="5" s="1"/>
  <c r="N14" i="5"/>
  <c r="E5" i="5"/>
  <c r="G5" i="5" s="1"/>
  <c r="N5" i="5"/>
  <c r="V5" i="5"/>
  <c r="X5" i="5" s="1"/>
  <c r="V6" i="5"/>
  <c r="X6" i="5" s="1"/>
  <c r="N6" i="5"/>
  <c r="E6" i="5"/>
  <c r="G6" i="5" s="1"/>
  <c r="N8" i="5"/>
  <c r="E8" i="5"/>
  <c r="G8" i="5" s="1"/>
  <c r="V8" i="5"/>
  <c r="X8" i="5" s="1"/>
  <c r="E10" i="5"/>
  <c r="G10" i="5" s="1"/>
  <c r="V10" i="5"/>
  <c r="X10" i="5" s="1"/>
  <c r="N10" i="5"/>
  <c r="N13" i="5"/>
  <c r="V13" i="5"/>
  <c r="X13" i="5" s="1"/>
  <c r="E13" i="5"/>
  <c r="G13" i="5" s="1"/>
  <c r="D20" i="5" l="1"/>
  <c r="D4" i="5"/>
  <c r="D19" i="5"/>
  <c r="D11" i="5"/>
  <c r="D8" i="5"/>
  <c r="D10" i="5"/>
  <c r="D6" i="5"/>
  <c r="H14" i="5"/>
  <c r="I14" i="5"/>
  <c r="W4" i="5"/>
  <c r="Q4" i="5"/>
  <c r="S4" i="5" s="1"/>
  <c r="N21" i="5"/>
  <c r="H10" i="5"/>
  <c r="I10" i="5"/>
  <c r="H20" i="5"/>
  <c r="I20" i="5"/>
  <c r="X27" i="5"/>
  <c r="D21" i="5"/>
  <c r="I27" i="5"/>
  <c r="N27" i="5"/>
  <c r="AC27" i="5"/>
  <c r="E27" i="5"/>
  <c r="V21" i="5"/>
  <c r="M27" i="5" s="1"/>
  <c r="L27" i="5" s="1"/>
  <c r="X4" i="5"/>
  <c r="X21" i="5" s="1"/>
  <c r="W27" i="5" s="1"/>
  <c r="Q11" i="5"/>
  <c r="S11" i="5" s="1"/>
  <c r="W11" i="5"/>
  <c r="H8" i="5"/>
  <c r="I8" i="5"/>
  <c r="W19" i="5"/>
  <c r="Q19" i="5"/>
  <c r="S19" i="5" s="1"/>
  <c r="H19" i="5"/>
  <c r="I19" i="5"/>
  <c r="W17" i="5"/>
  <c r="Q17" i="5"/>
  <c r="S17" i="5" s="1"/>
  <c r="H11" i="5"/>
  <c r="I11" i="5"/>
  <c r="H17" i="5"/>
  <c r="I17" i="5"/>
  <c r="D17" i="5"/>
  <c r="H9" i="5"/>
  <c r="I9" i="5"/>
  <c r="I6" i="5"/>
  <c r="H6" i="5"/>
  <c r="I18" i="5"/>
  <c r="H18" i="5"/>
  <c r="W6" i="5"/>
  <c r="Q6" i="5"/>
  <c r="S6" i="5" s="1"/>
  <c r="D18" i="5"/>
  <c r="D9" i="5"/>
  <c r="I7" i="5"/>
  <c r="H7" i="5"/>
  <c r="W18" i="5"/>
  <c r="Q18" i="5"/>
  <c r="S18" i="5" s="1"/>
  <c r="W9" i="5"/>
  <c r="Q9" i="5"/>
  <c r="S9" i="5" s="1"/>
  <c r="D13" i="5"/>
  <c r="W7" i="5"/>
  <c r="Q7" i="5"/>
  <c r="S7" i="5" s="1"/>
  <c r="D7" i="5"/>
  <c r="Q8" i="5"/>
  <c r="S8" i="5" s="1"/>
  <c r="W8" i="5"/>
  <c r="W5" i="5"/>
  <c r="Q5" i="5"/>
  <c r="S5" i="5" s="1"/>
  <c r="Q16" i="5"/>
  <c r="S16" i="5" s="1"/>
  <c r="W16" i="5"/>
  <c r="Q12" i="5"/>
  <c r="S12" i="5" s="1"/>
  <c r="W12" i="5"/>
  <c r="D15" i="5"/>
  <c r="H13" i="5"/>
  <c r="I13" i="5"/>
  <c r="I16" i="5"/>
  <c r="H16" i="5"/>
  <c r="W13" i="5"/>
  <c r="Q13" i="5"/>
  <c r="S13" i="5" s="1"/>
  <c r="I5" i="5"/>
  <c r="H5" i="5"/>
  <c r="D16" i="5"/>
  <c r="D12" i="5"/>
  <c r="I15" i="5"/>
  <c r="H15" i="5"/>
  <c r="D5" i="5"/>
  <c r="W10" i="5"/>
  <c r="Q10" i="5"/>
  <c r="S10" i="5" s="1"/>
  <c r="W14" i="5"/>
  <c r="Q14" i="5"/>
  <c r="S14" i="5" s="1"/>
  <c r="Q20" i="5"/>
  <c r="S20" i="5" s="1"/>
  <c r="W20" i="5"/>
  <c r="H12" i="5"/>
  <c r="I12" i="5"/>
  <c r="Q15" i="5"/>
  <c r="S15" i="5" s="1"/>
  <c r="W15" i="5"/>
  <c r="H4" i="5"/>
  <c r="I4" i="5"/>
  <c r="S27" i="5" l="1"/>
  <c r="Q27" i="5" s="1"/>
  <c r="E32" i="5"/>
  <c r="C27" i="5"/>
  <c r="C32" i="5" s="1"/>
  <c r="D27" i="5"/>
  <c r="Q21" i="5"/>
  <c r="W21" i="5"/>
  <c r="V27" i="5"/>
  <c r="F32" i="5" s="1"/>
  <c r="H27" i="5" l="1"/>
  <c r="G27" i="5" s="1"/>
  <c r="D32" i="5" s="1"/>
  <c r="AB27" i="5"/>
  <c r="AA27" i="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tc={40F84848-4DE1-49CE-8A33-A78DAFE8964F}</author>
    <author>tc={18B423B7-1809-4400-925A-D06C33FD3A58}</author>
  </authors>
  <commentList>
    <comment ref="Q24" authorId="0" shapeId="0" xr:uid="{40F84848-4DE1-49CE-8A33-A78DAFE8964F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recommended.</t>
      </text>
    </comment>
    <comment ref="C32" authorId="1" shapeId="0" xr:uid="{18B423B7-1809-4400-925A-D06C33FD3A58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the value used in this analysis.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tc={75012BF1-29A0-4E28-AD8C-2B9690DCC1EF}</author>
    <author>tc={3146DD4D-DBBA-40E7-97C6-C84AFF5775FF}</author>
    <author>tc={4F3007F7-48E9-4ADE-9167-DAE0A7DDD4E7}</author>
  </authors>
  <commentList>
    <comment ref="G2" authorId="0" shapeId="0" xr:uid="{75012BF1-29A0-4E28-AD8C-2B9690DCC1EF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based on SA data as of May 3rd.</t>
      </text>
    </comment>
    <comment ref="AI3" authorId="1" shapeId="0" xr:uid="{3146DD4D-DBBA-40E7-97C6-C84AFF5775FF}">
      <text>
        <t>[Threaded comment]
Your version of Excel allows you to read this threaded comment; however, any edits to it will get removed if the file is opened in a newer version of Excel. Learn more: https://go.microsoft.com/fwlink/?linkid=870924
Comment:
    I added small number of death instead of zero</t>
      </text>
    </comment>
    <comment ref="AJ3" authorId="2" shapeId="0" xr:uid="{4F3007F7-48E9-4ADE-9167-DAE0A7DDD4E7}">
      <text>
        <t>[Threaded comment]
Your version of Excel allows you to read this threaded comment; however, any edits to it will get removed if the file is opened in a newer version of Excel. Learn more: https://go.microsoft.com/fwlink/?linkid=870924
Comment:
    I added small number of death instead of zero</t>
      </text>
    </comment>
  </commentList>
</comments>
</file>

<file path=xl/sharedStrings.xml><?xml version="1.0" encoding="utf-8"?>
<sst xmlns="http://schemas.openxmlformats.org/spreadsheetml/2006/main" count="263" uniqueCount="156">
  <si>
    <t>Prepared by Fatma Shebl</t>
  </si>
  <si>
    <t>Last modified 9-1-2020</t>
  </si>
  <si>
    <t>Sources</t>
  </si>
  <si>
    <t>EQ-5D</t>
  </si>
  <si>
    <t>Szende A, Janssen B, Cabases J. Self-reported population health: an international perspective based on EQ-5D. Dordrecht: Springer; 2014.</t>
  </si>
  <si>
    <t>YLL</t>
  </si>
  <si>
    <r>
      <t xml:space="preserve">Gardner JW, Sanborn JS. Years of Potential Life Lost (YPLL)—What Does it Measure? </t>
    </r>
    <r>
      <rPr>
        <i/>
        <sz val="11"/>
        <color theme="1"/>
        <rFont val="Times New Roman"/>
        <family val="1"/>
      </rPr>
      <t xml:space="preserve">Epidemiology. </t>
    </r>
    <r>
      <rPr>
        <sz val="11"/>
        <color theme="1"/>
        <rFont val="Times New Roman"/>
        <family val="1"/>
      </rPr>
      <t>1990;1(4):322-329.</t>
    </r>
  </si>
  <si>
    <r>
      <t xml:space="preserve">Martinez R, Soliz P, Caixeta R, Ordunez P. Reflection on modern methods: years of life lost due to premature mortality-a versatile and comprehensive measure for monitoring non-communicable disease mortality. </t>
    </r>
    <r>
      <rPr>
        <i/>
        <sz val="11"/>
        <color theme="1"/>
        <rFont val="Times New Roman"/>
        <family val="1"/>
      </rPr>
      <t xml:space="preserve">Int J Epidemiol. </t>
    </r>
    <r>
      <rPr>
        <sz val="11"/>
        <color theme="1"/>
        <rFont val="Times New Roman"/>
        <family val="1"/>
      </rPr>
      <t>2019;48(4):1367-1376.</t>
    </r>
  </si>
  <si>
    <t>COVID mortality in SA</t>
  </si>
  <si>
    <t>COVID-19 update  https://www.nicd.ac.za/covid-19-update-46/ 2020. Accessed 9/1/2020.</t>
  </si>
  <si>
    <t>COVID-19 cases in SA</t>
  </si>
  <si>
    <t>COVID-19 weekly epidemiology brief. South Africa week 18 2020 https://www.nicd.ac.za/wp-content/uploads/2020/05/Week-18-Weekly-Epidemiology-Brief-Template-V8.pdf. 2020. Accessed 9/1/2020.</t>
  </si>
  <si>
    <t>Age group</t>
  </si>
  <si>
    <t>COVID-19 cases</t>
  </si>
  <si>
    <t>SA COVID-19 cases</t>
  </si>
  <si>
    <t>COVID-19 deaths</t>
  </si>
  <si>
    <t>COVID-19 death rate</t>
  </si>
  <si>
    <t>General population death rate</t>
  </si>
  <si>
    <t>Updated COVID-19 death rate to incorporate baseline population death</t>
  </si>
  <si>
    <t>updated all causes deaths</t>
  </si>
  <si>
    <t>COVID-19/Population death RR</t>
  </si>
  <si>
    <t>Testing COVID-19 deaths</t>
  </si>
  <si>
    <t xml:space="preserve">LE </t>
  </si>
  <si>
    <t>LE*% of total cases</t>
  </si>
  <si>
    <t>LE*% of total population</t>
  </si>
  <si>
    <t>SA YLL</t>
  </si>
  <si>
    <t>SA population</t>
  </si>
  <si>
    <t>KwaZulu-Natal population</t>
  </si>
  <si>
    <t>YLL rate</t>
  </si>
  <si>
    <t>Std pop weight</t>
  </si>
  <si>
    <t>ASYR</t>
  </si>
  <si>
    <t>EQ5D</t>
  </si>
  <si>
    <t>Discounting</t>
  </si>
  <si>
    <t>Discounted YLL</t>
  </si>
  <si>
    <t>Quality adjusted YLL</t>
  </si>
  <si>
    <t>Quality adjusted and Discounted YLL</t>
  </si>
  <si>
    <t>% of total</t>
  </si>
  <si>
    <t>(a)</t>
  </si>
  <si>
    <t>(d)</t>
  </si>
  <si>
    <t>(e) = (a) * (d)</t>
  </si>
  <si>
    <t>(h)</t>
  </si>
  <si>
    <t>(i) = (e)/(h)</t>
  </si>
  <si>
    <t>(l)</t>
  </si>
  <si>
    <t>(m)=(i)*(l)</t>
  </si>
  <si>
    <t>(n)</t>
  </si>
  <si>
    <t>General population</t>
  </si>
  <si>
    <t xml:space="preserve">*100,000 </t>
  </si>
  <si>
    <t>0-4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</si>
  <si>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</si>
  <si>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</si>
  <si>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</si>
  <si>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</si>
  <si>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</si>
  <si>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</si>
  <si>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</si>
  <si>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</si>
  <si>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</si>
  <si>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</si>
  <si>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</si>
  <si>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</si>
  <si>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</si>
  <si>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</si>
  <si>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</si>
  <si>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80+</t>
  </si>
  <si>
    <t>Total</t>
  </si>
  <si>
    <t>Using cases age strata QOL weight</t>
  </si>
  <si>
    <t>Using general population age strata instead of cases for QOL adjustment</t>
  </si>
  <si>
    <t>YLL per COVID-19 death</t>
  </si>
  <si>
    <t>Total YLL</t>
  </si>
  <si>
    <t>Total deaths</t>
  </si>
  <si>
    <t>QAYLL per COVID-19 death</t>
  </si>
  <si>
    <t>Total QAYLL</t>
  </si>
  <si>
    <t>Discounted YLL per COVID-19 death</t>
  </si>
  <si>
    <t>Total discounted YLL</t>
  </si>
  <si>
    <t>Discounted QAYLL per death</t>
  </si>
  <si>
    <t>Discounted YLL per death</t>
  </si>
  <si>
    <t>Total QOL-discounted YLL</t>
  </si>
  <si>
    <t>Not discounted QAYLL per death</t>
  </si>
  <si>
    <t>(r)=(s)/(t)</t>
  </si>
  <si>
    <t>(s)</t>
  </si>
  <si>
    <t>(t)</t>
  </si>
  <si>
    <t>(o)=(n)/(t)</t>
  </si>
  <si>
    <t>These are the values that could be used in the manuscript</t>
  </si>
  <si>
    <t>Cases</t>
  </si>
  <si>
    <t>Total Deaths</t>
  </si>
  <si>
    <t>SA</t>
  </si>
  <si>
    <t>May 3rd</t>
  </si>
  <si>
    <t xml:space="preserve">May 2nd </t>
  </si>
  <si>
    <t xml:space="preserve">Deaths and cases </t>
  </si>
  <si>
    <t>Source https://www.nicd.ac.za/wp-content/uploads/2020/05/Week-18-Weekly-Epidemiology-Brief-Template-V8.pdf</t>
  </si>
  <si>
    <t>Source of mortality https://www.nicd.ac.za/covid-19-update-46/</t>
  </si>
  <si>
    <t>Age</t>
  </si>
  <si>
    <t>Cases SA</t>
  </si>
  <si>
    <t>Cases SA after execluding LTCF</t>
  </si>
  <si>
    <t>Deaths SA after execluding LTCF</t>
  </si>
  <si>
    <t>Deaths SA</t>
  </si>
  <si>
    <t>CFR SA</t>
  </si>
  <si>
    <t>% of deaths</t>
  </si>
  <si>
    <t>Deaths</t>
  </si>
  <si>
    <t>%</t>
  </si>
  <si>
    <t>CFR</t>
  </si>
  <si>
    <t>% of total cases</t>
  </si>
  <si>
    <t>CFR*cases</t>
  </si>
  <si>
    <t>% of total population</t>
  </si>
  <si>
    <t>%deaths</t>
  </si>
  <si>
    <t>0-9</t>
  </si>
  <si>
    <t>0-19</t>
  </si>
  <si>
    <t>10-19</t>
  </si>
  <si>
    <t>20-59</t>
  </si>
  <si>
    <t>20-29</t>
  </si>
  <si>
    <t>60+</t>
  </si>
  <si>
    <t>30-39</t>
  </si>
  <si>
    <t>40-49</t>
  </si>
  <si>
    <t>50-59</t>
  </si>
  <si>
    <t>60-69</t>
  </si>
  <si>
    <t>70-79</t>
  </si>
  <si>
    <t>https://www.sanews.gov.za/south-africa/covid-19-deaths-rare-children-nicd-confirms</t>
  </si>
  <si>
    <t>Deaths in children</t>
  </si>
  <si>
    <t>N</t>
  </si>
  <si>
    <t>%of cases</t>
  </si>
  <si>
    <t>%of children deaths</t>
  </si>
  <si>
    <t>LTCF</t>
  </si>
  <si>
    <t>total deaths</t>
  </si>
  <si>
    <t>Reported Deaths and Recoveries:</t>
  </si>
  <si>
    <t>Regrettably, we report 7 more COVID-19 related deaths: 6 from Western Cape and 1 from KwaZulu Natal. This brings the total deaths</t>
  </si>
  <si>
    <t>nationally to 138.</t>
  </si>
  <si>
    <r>
      <t>According to the Department of Health’s recent statistics released on Wednesday, of the 2 749 COVID-19 related deaths recorded since the outbreak, three are children between the ages of zero and nine, while seven are between 10 and 19 years. – </t>
    </r>
    <r>
      <rPr>
        <b/>
        <sz val="11"/>
        <color rgb="FF585858"/>
        <rFont val="Arial"/>
        <family val="2"/>
      </rPr>
      <t>SAnews.gov.za</t>
    </r>
  </si>
  <si>
    <t>Source of death below 19: https://www.nicd.ac.za/wp-content/uploads/2020/08/Epidemiology-Covid-Under-18-years-V2.pdf</t>
  </si>
  <si>
    <t>https://images.theconversation.com/files/345262/original/file-20200702-111242-1mxg3cp.jpg?ixlib=rb-1.1.0&amp;q=15&amp;auto=format&amp;w=600&amp;h=287&amp;fit=crop&amp;dpr=3</t>
  </si>
  <si>
    <t>Table 3.6   EQ-5D index population norms (country-specific TTO value sets)</t>
  </si>
  <si>
    <t>18–24</t>
  </si>
  <si>
    <t>25–34</t>
  </si>
  <si>
    <t>35–44</t>
  </si>
  <si>
    <t>45–54</t>
  </si>
  <si>
    <t>55–64</t>
  </si>
  <si>
    <t>65–74</t>
  </si>
  <si>
    <t>75+</t>
  </si>
  <si>
    <t>National
Argentina</t>
  </si>
  <si>
    <t>Denmark</t>
  </si>
  <si>
    <t>Proportion</t>
  </si>
  <si>
    <t>France</t>
  </si>
  <si>
    <t>EQ-5D score</t>
  </si>
  <si>
    <t>Germany</t>
  </si>
  <si>
    <t>Italy</t>
  </si>
  <si>
    <t>Weighted EQ-5D:</t>
  </si>
  <si>
    <t>Korea</t>
  </si>
  <si>
    <t>Netherlands</t>
  </si>
  <si>
    <t>Spain</t>
  </si>
  <si>
    <t>UK</t>
  </si>
  <si>
    <t>UK-England</t>
  </si>
  <si>
    <t>US</t>
  </si>
  <si>
    <t>Regional</t>
  </si>
  <si>
    <t>Japan (3 prefecture)</t>
  </si>
  <si>
    <t>Spain-Canary Islands</t>
  </si>
  <si>
    <t>Spain – Catalunya</t>
  </si>
  <si>
    <t>Zimbabwe – Harare 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</si>
</sst>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00"/>
    <numFmt numFmtId="165" formatCode="0.0"/>
    <numFmt numFmtId="166" formatCode="0.000"/>
    <numFmt numFmtId="167" formatCode="0.0000"/>
  </numFmts>
  <fonts count="3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1"/>
      <color rgb="FF008DC9"/>
      <name val="Times New Roman"/>
      <family val="1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0"/>
      <color indexed="8"/>
      <name val="Book Antiqua"/>
      <family val="1"/>
      <charset val="204"/>
    </font>
    <font>
      <b/>
      <sz val="10"/>
      <color rgb="FF000000"/>
      <name val="Arial"/>
      <family val="2"/>
    </font>
    <font>
      <sz val="9"/>
      <color indexed="8"/>
      <name val="Book Antiqua"/>
      <family val="2"/>
    </font>
    <font>
      <sz val="10"/>
      <name val="Times New Roman"/>
      <family val="1"/>
      <charset val="204"/>
    </font>
    <font>
      <sz val="9"/>
      <color indexed="8"/>
      <name val="Arial"/>
      <family val="2"/>
    </font>
    <font>
      <sz val="9"/>
      <color indexed="8"/>
      <name val="Symbol"/>
      <family val="1"/>
      <charset val="204"/>
    </font>
    <font>
      <sz val="10"/>
      <color rgb="FF000000"/>
      <name val="Arial"/>
      <family val="2"/>
    </font>
    <font>
      <i/>
      <sz val="11"/>
      <color theme="1"/>
      <name val="Times New Roman"/>
      <family val="1"/>
    </font>
    <font>
      <u/>
      <sz val="11"/>
      <color theme="10"/>
      <name val="Times New Roman"/>
      <family val="1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9"/>
      <color indexed="8"/>
      <name val="Times New Roman"/>
      <family val="2"/>
    </font>
    <font>
      <sz val="9"/>
      <color indexed="8"/>
      <name val="Times New Roman"/>
      <family val="1"/>
      <charset val="204"/>
    </font>
    <font>
      <sz val="11"/>
      <color rgb="FF585858"/>
      <name val="Arial"/>
      <family val="2"/>
    </font>
    <font>
      <b/>
      <sz val="11"/>
      <color rgb="FF585858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rgb="FF000000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20">
    <xf numFmtId="0" fontId="0" fillId="0" borderId="0" xfId="0"/>
    <xf numFmtId="0" fontId="0" fillId="0" borderId="1" xfId="0" applyBorder="1" applyAlignment="1">
      <alignment wrapText="1"/>
    </xf>
    <xf numFmtId="0" fontId="3" fillId="0" borderId="0" xfId="0" applyFont="1" applyAlignment="1">
      <alignment vertical="center"/>
    </xf>
    <xf numFmtId="3" fontId="3" fillId="0" borderId="0" xfId="0" applyNumberFormat="1" applyFont="1" applyAlignment="1">
      <alignment horizontal="right" vertical="center"/>
    </xf>
    <xf numFmtId="0" fontId="3" fillId="0" borderId="0" xfId="0" applyFont="1" applyAlignment="1">
      <alignment horizontal="right" vertical="center"/>
    </xf>
    <xf numFmtId="4" fontId="3" fillId="0" borderId="0" xfId="0" applyNumberFormat="1" applyFont="1" applyAlignment="1">
      <alignment horizontal="right" vertical="center"/>
    </xf>
    <xf numFmtId="0" fontId="2" fillId="0" borderId="0" xfId="0" applyFont="1" applyAlignment="1">
      <alignment vertical="center"/>
    </xf>
    <xf numFmtId="3" fontId="2" fillId="0" borderId="0" xfId="0" applyNumberFormat="1" applyFont="1" applyAlignment="1">
      <alignment horizontal="right" vertical="center"/>
    </xf>
    <xf numFmtId="16" fontId="3" fillId="0" borderId="0" xfId="0" quotePrefix="1" applyNumberFormat="1" applyFont="1" applyAlignment="1">
      <alignment vertical="center"/>
    </xf>
    <xf numFmtId="0" fontId="4" fillId="0" borderId="0" xfId="1"/>
    <xf numFmtId="0" fontId="5" fillId="0" borderId="0" xfId="0" applyFont="1"/>
    <xf numFmtId="0" fontId="6" fillId="0" borderId="0" xfId="0" applyFont="1" applyAlignment="1">
      <alignment horizontal="left" vertical="top" wrapText="1"/>
    </xf>
    <xf numFmtId="0" fontId="6" fillId="0" borderId="0" xfId="0" applyFont="1"/>
    <xf numFmtId="0" fontId="5" fillId="0" borderId="0" xfId="0" applyFont="1" applyAlignment="1">
      <alignment wrapText="1"/>
    </xf>
    <xf numFmtId="0" fontId="7" fillId="0" borderId="0" xfId="0" applyFont="1" applyAlignment="1">
      <alignment vertical="center" wrapText="1"/>
    </xf>
    <xf numFmtId="0" fontId="0" fillId="2" borderId="0" xfId="0" applyFill="1"/>
    <xf numFmtId="164" fontId="3" fillId="0" borderId="0" xfId="0" applyNumberFormat="1" applyFont="1" applyAlignment="1">
      <alignment horizontal="right" vertical="center"/>
    </xf>
    <xf numFmtId="0" fontId="0" fillId="0" borderId="0" xfId="0" applyAlignment="1">
      <alignment wrapText="1"/>
    </xf>
    <xf numFmtId="0" fontId="0" fillId="0" borderId="0" xfId="0" quotePrefix="1"/>
    <xf numFmtId="16" fontId="0" fillId="0" borderId="0" xfId="0" quotePrefix="1" applyNumberFormat="1"/>
    <xf numFmtId="0" fontId="1" fillId="3" borderId="2" xfId="0" applyFont="1" applyFill="1" applyBorder="1" applyAlignment="1">
      <alignment wrapText="1"/>
    </xf>
    <xf numFmtId="0" fontId="1" fillId="3" borderId="3" xfId="0" applyFont="1" applyFill="1" applyBorder="1" applyAlignment="1"/>
    <xf numFmtId="0" fontId="1" fillId="3" borderId="3" xfId="0" applyFont="1" applyFill="1" applyBorder="1" applyAlignment="1">
      <alignment wrapText="1"/>
    </xf>
    <xf numFmtId="0" fontId="0" fillId="3" borderId="4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1" fillId="3" borderId="5" xfId="0" applyFont="1" applyFill="1" applyBorder="1"/>
    <xf numFmtId="3" fontId="0" fillId="3" borderId="1" xfId="0" applyNumberFormat="1" applyFill="1" applyBorder="1"/>
    <xf numFmtId="0" fontId="0" fillId="3" borderId="1" xfId="0" applyFill="1" applyBorder="1"/>
    <xf numFmtId="0" fontId="10" fillId="0" borderId="0" xfId="0" applyFont="1" applyAlignment="1">
      <alignment horizontal="left" vertical="center" wrapText="1" indent="4"/>
    </xf>
    <xf numFmtId="0" fontId="11" fillId="0" borderId="0" xfId="0" applyFont="1" applyAlignment="1">
      <alignment horizontal="center" vertical="center" wrapText="1"/>
    </xf>
    <xf numFmtId="3" fontId="6" fillId="0" borderId="0" xfId="0" applyNumberFormat="1" applyFont="1"/>
    <xf numFmtId="0" fontId="12" fillId="0" borderId="6" xfId="0" applyFont="1" applyBorder="1" applyAlignment="1">
      <alignment horizontal="center"/>
    </xf>
    <xf numFmtId="0" fontId="12" fillId="0" borderId="7" xfId="0" applyFont="1" applyBorder="1" applyAlignment="1">
      <alignment horizontal="center"/>
    </xf>
    <xf numFmtId="0" fontId="13" fillId="0" borderId="8" xfId="0" applyFont="1" applyBorder="1" applyAlignment="1">
      <alignment horizontal="right"/>
    </xf>
    <xf numFmtId="3" fontId="13" fillId="0" borderId="0" xfId="0" applyNumberFormat="1" applyFont="1"/>
    <xf numFmtId="10" fontId="13" fillId="0" borderId="0" xfId="0" applyNumberFormat="1" applyFont="1"/>
    <xf numFmtId="0" fontId="13" fillId="0" borderId="0" xfId="0" applyFont="1"/>
    <xf numFmtId="0" fontId="13" fillId="0" borderId="6" xfId="0" applyFont="1" applyBorder="1" applyAlignment="1">
      <alignment horizontal="right"/>
    </xf>
    <xf numFmtId="0" fontId="13" fillId="0" borderId="7" xfId="0" applyFont="1" applyBorder="1"/>
    <xf numFmtId="10" fontId="13" fillId="0" borderId="7" xfId="0" applyNumberFormat="1" applyFont="1" applyBorder="1"/>
    <xf numFmtId="0" fontId="14" fillId="0" borderId="8" xfId="0" applyFont="1" applyBorder="1" applyAlignment="1">
      <alignment horizontal="center"/>
    </xf>
    <xf numFmtId="0" fontId="3" fillId="4" borderId="0" xfId="0" applyFont="1" applyFill="1" applyAlignment="1">
      <alignment vertical="center"/>
    </xf>
    <xf numFmtId="3" fontId="3" fillId="3" borderId="0" xfId="0" applyNumberFormat="1" applyFont="1" applyFill="1" applyAlignment="1">
      <alignment horizontal="right" vertical="center"/>
    </xf>
    <xf numFmtId="4" fontId="0" fillId="0" borderId="0" xfId="0" applyNumberFormat="1"/>
    <xf numFmtId="0" fontId="16" fillId="0" borderId="0" xfId="0" applyFont="1"/>
    <xf numFmtId="0" fontId="17" fillId="0" borderId="9" xfId="0" applyFont="1" applyBorder="1" applyAlignment="1">
      <alignment horizontal="left" vertical="top" wrapText="1"/>
    </xf>
    <xf numFmtId="0" fontId="18" fillId="0" borderId="0" xfId="0" applyFont="1" applyAlignment="1">
      <alignment vertical="top" wrapText="1"/>
    </xf>
    <xf numFmtId="0" fontId="17" fillId="0" borderId="0" xfId="0" applyFont="1" applyAlignment="1">
      <alignment horizontal="left" vertical="top" wrapText="1" indent="1"/>
    </xf>
    <xf numFmtId="1" fontId="19" fillId="0" borderId="0" xfId="0" applyNumberFormat="1" applyFont="1" applyAlignment="1">
      <alignment horizontal="right" vertical="top" indent="1" shrinkToFit="1"/>
    </xf>
    <xf numFmtId="1" fontId="19" fillId="0" borderId="0" xfId="0" applyNumberFormat="1" applyFont="1" applyAlignment="1">
      <alignment horizontal="right" vertical="top" indent="2" shrinkToFit="1"/>
    </xf>
    <xf numFmtId="1" fontId="19" fillId="0" borderId="0" xfId="0" applyNumberFormat="1" applyFont="1" applyAlignment="1">
      <alignment horizontal="left" vertical="top" indent="2" shrinkToFit="1"/>
    </xf>
    <xf numFmtId="165" fontId="19" fillId="0" borderId="0" xfId="0" applyNumberFormat="1" applyFont="1" applyAlignment="1">
      <alignment horizontal="right" vertical="top" indent="2" shrinkToFit="1"/>
    </xf>
    <xf numFmtId="166" fontId="19" fillId="0" borderId="0" xfId="0" applyNumberFormat="1" applyFont="1" applyAlignment="1">
      <alignment horizontal="center" vertical="top" shrinkToFit="1"/>
    </xf>
    <xf numFmtId="167" fontId="19" fillId="0" borderId="0" xfId="0" applyNumberFormat="1" applyFont="1" applyAlignment="1">
      <alignment horizontal="right" vertical="top" indent="1" shrinkToFit="1"/>
    </xf>
    <xf numFmtId="0" fontId="20" fillId="0" borderId="0" xfId="0" applyFont="1" applyAlignment="1">
      <alignment horizontal="left" vertical="top" wrapText="1" indent="1"/>
    </xf>
    <xf numFmtId="0" fontId="17" fillId="0" borderId="0" xfId="0" applyFont="1" applyAlignment="1">
      <alignment horizontal="left" vertical="top" wrapText="1"/>
    </xf>
    <xf numFmtId="0" fontId="18" fillId="0" borderId="0" xfId="0" applyFont="1" applyAlignment="1">
      <alignment horizontal="left" vertical="center" wrapText="1"/>
    </xf>
    <xf numFmtId="0" fontId="21" fillId="0" borderId="0" xfId="0" applyFont="1" applyAlignment="1">
      <alignment vertical="center"/>
    </xf>
    <xf numFmtId="0" fontId="2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top" wrapText="1"/>
    </xf>
    <xf numFmtId="0" fontId="0" fillId="0" borderId="0" xfId="0" applyAlignment="1">
      <alignment vertical="top" wrapText="1"/>
    </xf>
    <xf numFmtId="0" fontId="8" fillId="2" borderId="0" xfId="0" applyFont="1" applyFill="1" applyAlignment="1">
      <alignment horizontal="right" vertical="center" wrapText="1"/>
    </xf>
    <xf numFmtId="0" fontId="0" fillId="6" borderId="0" xfId="0" applyFill="1"/>
    <xf numFmtId="3" fontId="8" fillId="0" borderId="0" xfId="0" applyNumberFormat="1" applyFont="1" applyFill="1"/>
    <xf numFmtId="16" fontId="0" fillId="0" borderId="0" xfId="0" applyNumberFormat="1"/>
    <xf numFmtId="0" fontId="4" fillId="0" borderId="0" xfId="1" applyAlignment="1">
      <alignment wrapText="1"/>
    </xf>
    <xf numFmtId="0" fontId="6" fillId="0" borderId="0" xfId="0" applyFont="1" applyAlignment="1">
      <alignment wrapText="1"/>
    </xf>
    <xf numFmtId="0" fontId="1" fillId="0" borderId="0" xfId="0" applyFont="1"/>
    <xf numFmtId="0" fontId="0" fillId="0" borderId="0" xfId="0" applyBorder="1" applyAlignment="1">
      <alignment wrapText="1"/>
    </xf>
    <xf numFmtId="3" fontId="2" fillId="5" borderId="0" xfId="0" applyNumberFormat="1" applyFont="1" applyFill="1" applyAlignment="1">
      <alignment horizontal="right" vertical="center"/>
    </xf>
    <xf numFmtId="0" fontId="2" fillId="5" borderId="0" xfId="0" applyFont="1" applyFill="1" applyAlignment="1">
      <alignment vertical="center"/>
    </xf>
    <xf numFmtId="0" fontId="0" fillId="5" borderId="0" xfId="0" applyFill="1"/>
    <xf numFmtId="0" fontId="1" fillId="0" borderId="7" xfId="0" applyFont="1" applyBorder="1" applyAlignment="1">
      <alignment horizontal="center"/>
    </xf>
    <xf numFmtId="1" fontId="0" fillId="0" borderId="0" xfId="0" applyNumberFormat="1"/>
    <xf numFmtId="166" fontId="0" fillId="0" borderId="0" xfId="0" applyNumberFormat="1"/>
    <xf numFmtId="0" fontId="1" fillId="5" borderId="0" xfId="0" applyFont="1" applyFill="1"/>
    <xf numFmtId="164" fontId="0" fillId="3" borderId="1" xfId="0" applyNumberFormat="1" applyFill="1" applyBorder="1"/>
    <xf numFmtId="0" fontId="5" fillId="0" borderId="0" xfId="0" applyFont="1" applyAlignment="1">
      <alignment vertical="center"/>
    </xf>
    <xf numFmtId="0" fontId="4" fillId="0" borderId="0" xfId="1" applyFont="1"/>
    <xf numFmtId="0" fontId="23" fillId="0" borderId="0" xfId="1" applyFont="1"/>
    <xf numFmtId="0" fontId="24" fillId="0" borderId="0" xfId="0" applyFont="1"/>
    <xf numFmtId="0" fontId="1" fillId="7" borderId="10" xfId="0" applyFont="1" applyFill="1" applyBorder="1" applyAlignment="1">
      <alignment wrapText="1"/>
    </xf>
    <xf numFmtId="0" fontId="1" fillId="7" borderId="11" xfId="0" applyFont="1" applyFill="1" applyBorder="1" applyAlignment="1">
      <alignment wrapText="1"/>
    </xf>
    <xf numFmtId="0" fontId="1" fillId="7" borderId="12" xfId="0" applyFont="1" applyFill="1" applyBorder="1" applyAlignment="1">
      <alignment wrapText="1"/>
    </xf>
    <xf numFmtId="0" fontId="25" fillId="8" borderId="14" xfId="0" applyFont="1" applyFill="1" applyBorder="1"/>
    <xf numFmtId="0" fontId="25" fillId="8" borderId="15" xfId="0" applyFont="1" applyFill="1" applyBorder="1"/>
    <xf numFmtId="3" fontId="3" fillId="2" borderId="0" xfId="0" applyNumberFormat="1" applyFont="1" applyFill="1" applyAlignment="1">
      <alignment horizontal="right" vertical="center"/>
    </xf>
    <xf numFmtId="0" fontId="26" fillId="0" borderId="16" xfId="0" applyFont="1" applyBorder="1" applyAlignment="1">
      <alignment horizontal="left" vertical="top" wrapText="1"/>
    </xf>
    <xf numFmtId="0" fontId="26" fillId="0" borderId="16" xfId="0" applyFont="1" applyBorder="1" applyAlignment="1">
      <alignment horizontal="center" vertical="top" wrapText="1"/>
    </xf>
    <xf numFmtId="0" fontId="26" fillId="0" borderId="17" xfId="0" applyFont="1" applyBorder="1" applyAlignment="1">
      <alignment horizontal="right" vertical="top" wrapText="1"/>
    </xf>
    <xf numFmtId="0" fontId="27" fillId="0" borderId="9" xfId="0" applyFont="1" applyBorder="1" applyAlignment="1">
      <alignment horizontal="left" vertical="top" wrapText="1"/>
    </xf>
    <xf numFmtId="166" fontId="19" fillId="0" borderId="9" xfId="0" applyNumberFormat="1" applyFont="1" applyBorder="1" applyAlignment="1">
      <alignment horizontal="left" vertical="center" shrinkToFit="1"/>
    </xf>
    <xf numFmtId="166" fontId="19" fillId="0" borderId="9" xfId="0" applyNumberFormat="1" applyFont="1" applyBorder="1" applyAlignment="1">
      <alignment horizontal="center" vertical="center" shrinkToFit="1"/>
    </xf>
    <xf numFmtId="166" fontId="19" fillId="0" borderId="9" xfId="0" applyNumberFormat="1" applyFont="1" applyBorder="1" applyAlignment="1">
      <alignment horizontal="right" vertical="center" shrinkToFit="1"/>
    </xf>
    <xf numFmtId="166" fontId="19" fillId="0" borderId="0" xfId="0" applyNumberFormat="1" applyFont="1" applyAlignment="1">
      <alignment horizontal="left" vertical="top" shrinkToFit="1"/>
    </xf>
    <xf numFmtId="166" fontId="19" fillId="0" borderId="0" xfId="0" applyNumberFormat="1" applyFont="1" applyAlignment="1">
      <alignment horizontal="right" vertical="top" shrinkToFit="1"/>
    </xf>
    <xf numFmtId="0" fontId="26" fillId="0" borderId="0" xfId="0" applyFont="1" applyAlignment="1">
      <alignment horizontal="center" vertical="top" wrapText="1"/>
    </xf>
    <xf numFmtId="0" fontId="26" fillId="0" borderId="0" xfId="0" applyFont="1" applyAlignment="1">
      <alignment horizontal="right" vertical="top" wrapText="1"/>
    </xf>
    <xf numFmtId="0" fontId="26" fillId="0" borderId="17" xfId="0" applyFont="1" applyBorder="1" applyAlignment="1">
      <alignment horizontal="left" vertical="top" wrapText="1"/>
    </xf>
    <xf numFmtId="166" fontId="19" fillId="0" borderId="17" xfId="0" applyNumberFormat="1" applyFont="1" applyBorder="1" applyAlignment="1">
      <alignment horizontal="left" vertical="top" shrinkToFit="1"/>
    </xf>
    <xf numFmtId="166" fontId="19" fillId="0" borderId="17" xfId="0" applyNumberFormat="1" applyFont="1" applyBorder="1" applyAlignment="1">
      <alignment horizontal="center" vertical="top" shrinkToFit="1"/>
    </xf>
    <xf numFmtId="0" fontId="18" fillId="0" borderId="17" xfId="0" applyFont="1" applyBorder="1" applyAlignment="1">
      <alignment horizontal="left" vertical="center" wrapText="1"/>
    </xf>
    <xf numFmtId="166" fontId="19" fillId="0" borderId="17" xfId="0" applyNumberFormat="1" applyFont="1" applyBorder="1" applyAlignment="1">
      <alignment horizontal="right" vertical="top" shrinkToFit="1"/>
    </xf>
    <xf numFmtId="0" fontId="6" fillId="0" borderId="0" xfId="0" quotePrefix="1" applyFont="1"/>
    <xf numFmtId="16" fontId="6" fillId="0" borderId="0" xfId="0" quotePrefix="1" applyNumberFormat="1" applyFont="1"/>
    <xf numFmtId="0" fontId="28" fillId="0" borderId="0" xfId="0" applyFont="1"/>
    <xf numFmtId="0" fontId="2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top" wrapText="1"/>
    </xf>
    <xf numFmtId="0" fontId="26" fillId="0" borderId="0" xfId="0" applyFont="1" applyAlignment="1">
      <alignment horizontal="left" vertical="top" wrapText="1"/>
    </xf>
    <xf numFmtId="0" fontId="18" fillId="0" borderId="9" xfId="0" applyFont="1" applyBorder="1" applyAlignment="1">
      <alignment horizontal="left" wrapText="1"/>
    </xf>
    <xf numFmtId="0" fontId="25" fillId="5" borderId="13" xfId="0" applyFont="1" applyFill="1" applyBorder="1"/>
    <xf numFmtId="0" fontId="2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top" wrapText="1"/>
    </xf>
    <xf numFmtId="0" fontId="10" fillId="0" borderId="0" xfId="0" applyFont="1" applyAlignment="1">
      <alignment horizontal="center" vertical="center" wrapText="1"/>
    </xf>
    <xf numFmtId="0" fontId="15" fillId="0" borderId="0" xfId="0" applyFont="1" applyAlignment="1">
      <alignment horizontal="left" vertical="top" wrapText="1" indent="2"/>
    </xf>
    <xf numFmtId="0" fontId="26" fillId="0" borderId="0" xfId="0" applyFont="1" applyAlignment="1">
      <alignment horizontal="left" vertical="top" wrapText="1"/>
    </xf>
    <xf numFmtId="0" fontId="18" fillId="0" borderId="9" xfId="0" applyFont="1" applyBorder="1" applyAlignment="1">
      <alignment horizontal="left" wrapText="1"/>
    </xf>
    <xf numFmtId="0" fontId="18" fillId="0" borderId="17" xfId="0" applyFont="1" applyBorder="1" applyAlignment="1">
      <alignment horizontal="left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emf"/><Relationship Id="rId2" Type="http://schemas.openxmlformats.org/officeDocument/2006/relationships/image" Target="../media/image3.emf"/><Relationship Id="rId1" Type="http://schemas.openxmlformats.org/officeDocument/2006/relationships/image" Target="../media/image2.emf"/><Relationship Id="rId5" Type="http://schemas.openxmlformats.org/officeDocument/2006/relationships/image" Target="../media/image6.jpeg"/><Relationship Id="rId4" Type="http://schemas.openxmlformats.org/officeDocument/2006/relationships/image" Target="../media/image5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24</xdr:col>
      <xdr:colOff>514350</xdr:colOff>
      <xdr:row>0</xdr:row>
      <xdr:rowOff>0</xdr:rowOff>
    </xdr:from>
    <xdr:to>
      <xdr:col>29</xdr:col>
      <xdr:colOff>485775</xdr:colOff>
      <xdr:row>2</xdr:row>
      <xdr:rowOff>95250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9DCE0E5-B101-470B-AEE3-1A78CD4954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0"/>
          <a:ext cx="3448050" cy="1419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47</xdr:col>
      <xdr:colOff>623048</xdr:colOff>
      <xdr:row>1</xdr:row>
      <xdr:rowOff>295836</xdr:rowOff>
    </xdr:from>
    <xdr:to>
      <xdr:col>59</xdr:col>
      <xdr:colOff>605902</xdr:colOff>
      <xdr:row>36</xdr:row>
      <xdr:rowOff>96243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187810E-10DB-4C45-B5B3-7CB99C765A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016142" y="479612"/>
          <a:ext cx="7703147" cy="71914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60</xdr:col>
      <xdr:colOff>322729</xdr:colOff>
      <xdr:row>1</xdr:row>
      <xdr:rowOff>197864</xdr:rowOff>
    </xdr:from>
    <xdr:to>
      <xdr:col>72</xdr:col>
      <xdr:colOff>349399</xdr:colOff>
      <xdr:row>20</xdr:row>
      <xdr:rowOff>115420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892F09A-2532-4F0E-8E65-0A7BDF27EE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03586" y="382921"/>
          <a:ext cx="7733756" cy="43425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60</xdr:col>
      <xdr:colOff>304799</xdr:colOff>
      <xdr:row>19</xdr:row>
      <xdr:rowOff>16649</xdr:rowOff>
    </xdr:from>
    <xdr:to>
      <xdr:col>71</xdr:col>
      <xdr:colOff>31375</xdr:colOff>
      <xdr:row>25</xdr:row>
      <xdr:rowOff>3416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FCF06A9-438F-4E11-8113-2D7354999C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085656" y="4430806"/>
          <a:ext cx="6791405" cy="11352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61</xdr:col>
      <xdr:colOff>0</xdr:colOff>
      <xdr:row>28</xdr:row>
      <xdr:rowOff>21773</xdr:rowOff>
    </xdr:from>
    <xdr:to>
      <xdr:col>70</xdr:col>
      <xdr:colOff>377190</xdr:colOff>
      <xdr:row>57</xdr:row>
      <xdr:rowOff>58784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1B7773F-948B-42B7-B6D8-9D8BDDCD58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423114" y="6177644"/>
          <a:ext cx="6157505" cy="54036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48</xdr:col>
      <xdr:colOff>0</xdr:colOff>
      <xdr:row>42</xdr:row>
      <xdr:rowOff>0</xdr:rowOff>
    </xdr:from>
    <xdr:to>
      <xdr:col>59</xdr:col>
      <xdr:colOff>140970</xdr:colOff>
      <xdr:row>60</xdr:row>
      <xdr:rowOff>137160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57613EC2-4142-43A4-BA01-0F1DBD2DB7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998660" y="8694420"/>
          <a:ext cx="7181850" cy="3429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Shebl, Fatma Mohamed" id="{ED9538EB-9FAD-40C4-9F74-CBA378E8D2A9}" userId="Shebl, Fatma Mohamed" providerId="None"/>
  <person displayName="Shebl, Fatma Mohamed" id="{47F4F6D3-37C2-42F3-A5F0-F2BE3750902F}" userId="S::FSHEBL@mgh.harvard.edu::29d5d6ee-35c7-44d6-a2d5-f9141c7e2b86" providerId="AD"/>
  <person displayName="Shebl, Fatma Mohamed" id="{03B80417-BCBD-452B-BF3D-FCD2876435DD}" userId="S::fshebl@mgh.harvard.edu::29d5d6ee-35c7-44d6-a2d5-f9141c7e2b86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Q24" dT="2020-09-02T19:15:01.19" personId="{03B80417-BCBD-452B-BF3D-FCD2876435DD}" id="{40F84848-4DE1-49CE-8A33-A78DAFE8964F}">
    <text>Not recommended.</text>
  </threadedComment>
  <threadedComment ref="C32" dT="2020-09-02T18:58:21.08" personId="{47F4F6D3-37C2-42F3-A5F0-F2BE3750902F}" id="{18B423B7-1809-4400-925A-D06C33FD3A58}">
    <text>This is the value used in this analysis.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G2" dT="2020-05-18T22:03:02.83" personId="{47F4F6D3-37C2-42F3-A5F0-F2BE3750902F}" id="{75012BF1-29A0-4E28-AD8C-2B9690DCC1EF}">
    <text>This is based on SA data as of May 3rd.</text>
  </threadedComment>
  <threadedComment ref="AI3" dT="2020-04-21T11:16:26.29" personId="{ED9538EB-9FAD-40C4-9F74-CBA378E8D2A9}" id="{3146DD4D-DBBA-40E7-97C6-C84AFF5775FF}">
    <text>I added small number of death instead of zero</text>
  </threadedComment>
  <threadedComment ref="AJ3" dT="2020-04-21T11:16:26.29" personId="{ED9538EB-9FAD-40C4-9F74-CBA378E8D2A9}" id="{4F3007F7-48E9-4ADE-9167-DAE0A7DDD4E7}">
    <text>I added small number of death instead of zero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pringer.com/biomed/book/978-94-007-7595-4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7" Type="http://schemas.microsoft.com/office/2017/10/relationships/threadedComment" Target="../threadedComments/threadedComment2.xml"/><Relationship Id="rId2" Type="http://schemas.openxmlformats.org/officeDocument/2006/relationships/hyperlink" Target="https://www.sanews.gov.za/south-africa/covid-19-deaths-rare-children-nicd-confirms" TargetMode="External"/><Relationship Id="rId1" Type="http://schemas.openxmlformats.org/officeDocument/2006/relationships/hyperlink" Target="https://www.nicd.ac.za/wp-content/uploads/2020/05/Week-18-Weekly-Epidemiology-Brief-Template-V8.pdf" TargetMode="External"/><Relationship Id="rId6" Type="http://schemas.openxmlformats.org/officeDocument/2006/relationships/comments" Target="../comments2.xml"/><Relationship Id="rId5" Type="http://schemas.openxmlformats.org/officeDocument/2006/relationships/vmlDrawing" Target="../drawings/vmlDrawing2.vml"/><Relationship Id="rId4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pringer.com/biomed/book/978-94-007-7595-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F875C-CB07-4D5B-9091-119B85707D9B}">
  <dimension ref="A1:D11"/>
  <sheetViews>
    <sheetView zoomScale="115" workbookViewId="0">
      <selection activeCell="A4" sqref="A4"/>
    </sheetView>
  </sheetViews>
  <sheetFormatPr defaultColWidth="8.85546875" defaultRowHeight="14.1"/>
  <cols>
    <col min="1" max="1" width="25.85546875" style="10" customWidth="1"/>
    <col min="2" max="16384" width="8.85546875" style="10"/>
  </cols>
  <sheetData>
    <row r="1" spans="1:4" ht="15">
      <c r="A1" s="10" t="s">
        <v>0</v>
      </c>
    </row>
    <row r="2" spans="1:4" ht="15">
      <c r="A2" s="10" t="s">
        <v>1</v>
      </c>
    </row>
    <row r="3" spans="1:4" ht="15"/>
    <row r="4" spans="1:4" ht="15">
      <c r="A4" s="14" t="s">
        <v>2</v>
      </c>
      <c r="D4" s="13"/>
    </row>
    <row r="5" spans="1:4" ht="24.6" customHeight="1">
      <c r="A5" s="10" t="s">
        <v>3</v>
      </c>
      <c r="B5" s="79" t="s">
        <v>4</v>
      </c>
    </row>
    <row r="6" spans="1:4">
      <c r="A6" s="10" t="s">
        <v>5</v>
      </c>
      <c r="B6" s="10" t="s">
        <v>6</v>
      </c>
    </row>
    <row r="7" spans="1:4">
      <c r="A7" s="10" t="s">
        <v>5</v>
      </c>
      <c r="B7" s="77" t="s">
        <v>7</v>
      </c>
    </row>
    <row r="8" spans="1:4">
      <c r="A8" s="10" t="s">
        <v>8</v>
      </c>
      <c r="B8" s="10" t="s">
        <v>9</v>
      </c>
    </row>
    <row r="9" spans="1:4">
      <c r="A9" s="10" t="s">
        <v>10</v>
      </c>
      <c r="B9" s="79" t="s">
        <v>11</v>
      </c>
    </row>
    <row r="11" spans="1:4" ht="14.45">
      <c r="B11" s="78"/>
    </row>
  </sheetData>
  <hyperlinks>
    <hyperlink ref="B5" r:id="rId1" display="http://www.springer.com/biomed/book/978-94-007-7595-4" xr:uid="{23F79E62-9C43-41FE-8C20-499B4AE0A8AA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7DE2D-FAE7-4CD8-BAAD-20AE33BF7EA0}">
  <dimension ref="A1:AC32"/>
  <sheetViews>
    <sheetView tabSelected="1" topLeftCell="A24" zoomScale="112" zoomScaleNormal="112" workbookViewId="0">
      <pane xSplit="1" topLeftCell="E20" activePane="topRight" state="frozen"/>
      <selection pane="topRight" activeCell="Q24" sqref="Q24"/>
    </sheetView>
  </sheetViews>
  <sheetFormatPr defaultRowHeight="14.45"/>
  <cols>
    <col min="1" max="2" width="14.7109375" customWidth="1"/>
    <col min="12" max="13" width="10" customWidth="1"/>
    <col min="14" max="14" width="11" customWidth="1"/>
    <col min="17" max="17" width="9.85546875" customWidth="1"/>
    <col min="19" max="19" width="10.7109375" customWidth="1"/>
    <col min="20" max="20" width="9.140625" bestFit="1" customWidth="1"/>
    <col min="24" max="24" width="11.140625" bestFit="1" customWidth="1"/>
    <col min="27" max="27" width="11.5703125" customWidth="1"/>
    <col min="28" max="29" width="11.140625" bestFit="1" customWidth="1"/>
  </cols>
  <sheetData>
    <row r="1" spans="1:24" ht="90">
      <c r="A1" s="112" t="s">
        <v>12</v>
      </c>
      <c r="B1" s="106" t="s">
        <v>13</v>
      </c>
      <c r="C1" s="106" t="s">
        <v>14</v>
      </c>
      <c r="D1" s="106" t="s">
        <v>15</v>
      </c>
      <c r="E1" s="106" t="s">
        <v>16</v>
      </c>
      <c r="F1" s="106" t="s">
        <v>17</v>
      </c>
      <c r="G1" s="106" t="s">
        <v>18</v>
      </c>
      <c r="H1" s="106" t="s">
        <v>19</v>
      </c>
      <c r="I1" s="106" t="s">
        <v>20</v>
      </c>
      <c r="J1" s="106" t="s">
        <v>21</v>
      </c>
      <c r="K1" s="106" t="s">
        <v>22</v>
      </c>
      <c r="L1" s="106" t="s">
        <v>23</v>
      </c>
      <c r="M1" s="106" t="s">
        <v>24</v>
      </c>
      <c r="N1" s="106" t="s">
        <v>25</v>
      </c>
      <c r="O1" s="106" t="s">
        <v>26</v>
      </c>
      <c r="P1" s="106" t="s">
        <v>27</v>
      </c>
      <c r="Q1" s="106" t="s">
        <v>28</v>
      </c>
      <c r="R1" s="106" t="s">
        <v>29</v>
      </c>
      <c r="S1" s="106" t="s">
        <v>30</v>
      </c>
      <c r="T1" s="106" t="s">
        <v>31</v>
      </c>
      <c r="U1" s="106" t="s">
        <v>32</v>
      </c>
      <c r="V1" s="106" t="s">
        <v>33</v>
      </c>
      <c r="W1" s="106" t="s">
        <v>34</v>
      </c>
      <c r="X1" s="106" t="s">
        <v>35</v>
      </c>
    </row>
    <row r="2" spans="1:24">
      <c r="A2" s="112"/>
      <c r="B2" s="106" t="s">
        <v>36</v>
      </c>
      <c r="C2" s="106"/>
      <c r="D2" s="106" t="s">
        <v>36</v>
      </c>
      <c r="E2" s="106"/>
      <c r="F2" s="106"/>
      <c r="G2" s="106"/>
      <c r="H2" s="106"/>
      <c r="I2" s="106"/>
      <c r="J2" s="106" t="s">
        <v>37</v>
      </c>
      <c r="K2" s="106" t="s">
        <v>38</v>
      </c>
      <c r="L2" s="106"/>
      <c r="M2" s="106"/>
      <c r="N2" s="106" t="s">
        <v>39</v>
      </c>
      <c r="O2" s="106" t="s">
        <v>36</v>
      </c>
      <c r="P2" s="106" t="s">
        <v>40</v>
      </c>
      <c r="Q2" s="106" t="s">
        <v>41</v>
      </c>
      <c r="R2" s="106" t="s">
        <v>42</v>
      </c>
      <c r="S2" s="106" t="s">
        <v>43</v>
      </c>
      <c r="T2" s="106"/>
      <c r="U2" s="106"/>
      <c r="V2" s="106" t="s">
        <v>44</v>
      </c>
    </row>
    <row r="3" spans="1:24" ht="21.4" thickBot="1">
      <c r="A3" s="113"/>
      <c r="B3" s="107"/>
      <c r="C3" s="107"/>
      <c r="D3" s="107"/>
      <c r="E3" s="107"/>
      <c r="F3" s="107"/>
      <c r="G3" s="107"/>
      <c r="H3" s="107"/>
      <c r="I3" s="107"/>
      <c r="J3" s="107"/>
      <c r="K3" s="106" t="s">
        <v>45</v>
      </c>
      <c r="L3" s="1"/>
      <c r="M3" s="1"/>
      <c r="N3" s="1"/>
      <c r="O3" s="1"/>
      <c r="P3" s="1"/>
      <c r="Q3" s="107" t="s">
        <v>46</v>
      </c>
      <c r="R3" s="1"/>
      <c r="S3" s="1"/>
      <c r="T3" s="68"/>
    </row>
    <row r="4" spans="1:24">
      <c r="A4" s="2" t="s">
        <v>47</v>
      </c>
      <c r="B4" s="2">
        <f>C4/$C$21</f>
        <v>1.6498881431767337E-2</v>
      </c>
      <c r="C4" s="41">
        <f>'Cases and CFR worksheet'!S4</f>
        <v>118</v>
      </c>
      <c r="D4" s="2">
        <f>J4/$J$21</f>
        <v>5.9677840808516739E-4</v>
      </c>
      <c r="E4" s="2">
        <f t="shared" ref="E4:E20" si="0">J4/P4</f>
        <v>5.9624469636914923E-8</v>
      </c>
      <c r="F4" s="15">
        <v>8.8614555210880207E-3</v>
      </c>
      <c r="G4" s="2">
        <f t="shared" ref="G4:G20" si="1">E4+F4</f>
        <v>8.8615151455576583E-3</v>
      </c>
      <c r="H4" s="2">
        <f t="shared" ref="H4:H20" si="2">G4*P4</f>
        <v>10909.420157211178</v>
      </c>
      <c r="I4" s="2">
        <f>G4/F4</f>
        <v>1.0000067285187513</v>
      </c>
      <c r="J4" s="41">
        <f>'Cases and CFR worksheet'!V4</f>
        <v>7.3403744194475595E-2</v>
      </c>
      <c r="K4" s="15">
        <v>63.301718749292426</v>
      </c>
      <c r="L4">
        <f t="shared" ref="L4:L20" si="3">K4*B4</f>
        <v>1.0444075520716591</v>
      </c>
      <c r="M4">
        <f t="shared" ref="M4:M20" si="4">K4*O4</f>
        <v>6.9031985716801243</v>
      </c>
      <c r="N4" s="42">
        <f t="shared" ref="N4:N20" si="5">J4*K4</f>
        <v>4.6465831701437006</v>
      </c>
      <c r="O4" s="16">
        <f>P4/$P$21</f>
        <v>0.10905230865879588</v>
      </c>
      <c r="P4" s="86">
        <v>1231101</v>
      </c>
      <c r="Q4" s="5">
        <f>N4/P4*100000</f>
        <v>0.37743314075317141</v>
      </c>
      <c r="R4" s="4">
        <v>8.8599999999999998E-2</v>
      </c>
      <c r="S4" s="4">
        <f>Q4*R4</f>
        <v>3.3440576270730986E-2</v>
      </c>
      <c r="T4" s="4">
        <f>'EQ-5D'!B16</f>
        <v>0.84799999999999998</v>
      </c>
      <c r="U4">
        <v>0.03</v>
      </c>
      <c r="V4">
        <f>J4/U4*(1-EXP(-1*U4*K4))</f>
        <v>2.0804809930830745</v>
      </c>
      <c r="W4">
        <f>T4*N4</f>
        <v>3.9403025282818578</v>
      </c>
      <c r="X4">
        <f>V4*T4</f>
        <v>1.7642478821344472</v>
      </c>
    </row>
    <row r="5" spans="1:24">
      <c r="A5" s="8" t="s">
        <v>48</v>
      </c>
      <c r="B5" s="2">
        <f t="shared" ref="B5:B20" si="6">C5/$C$21</f>
        <v>1.3562639821029083E-2</v>
      </c>
      <c r="C5" s="41">
        <f>'Cases and CFR worksheet'!S5</f>
        <v>97</v>
      </c>
      <c r="D5" s="2">
        <f t="shared" ref="D5:D21" si="7">J5/$J$21</f>
        <v>4.9057208122255287E-4</v>
      </c>
      <c r="E5" s="2">
        <f t="shared" si="0"/>
        <v>5.0413495086405068E-8</v>
      </c>
      <c r="F5" s="15">
        <v>8.1858040578173456E-4</v>
      </c>
      <c r="G5" s="2">
        <f t="shared" si="1"/>
        <v>8.1863081927682096E-4</v>
      </c>
      <c r="H5" s="2">
        <f t="shared" si="2"/>
        <v>979.82659526980046</v>
      </c>
      <c r="I5" s="2">
        <f t="shared" ref="I5:I20" si="8">G5/F5</f>
        <v>1.0000615864913578</v>
      </c>
      <c r="J5" s="41">
        <f>'Cases and CFR worksheet'!V5</f>
        <v>6.0340365990374005E-2</v>
      </c>
      <c r="K5" s="15">
        <v>74.295209769890377</v>
      </c>
      <c r="L5">
        <f t="shared" si="3"/>
        <v>1.0076391705368242</v>
      </c>
      <c r="M5">
        <f t="shared" si="4"/>
        <v>7.8770413613137826</v>
      </c>
      <c r="N5" s="42">
        <f t="shared" si="5"/>
        <v>4.4830001488467959</v>
      </c>
      <c r="O5" s="16">
        <f t="shared" ref="O5:O21" si="9">P5/$P$21</f>
        <v>0.10602354291361206</v>
      </c>
      <c r="P5" s="86">
        <v>1196909</v>
      </c>
      <c r="Q5" s="5">
        <f t="shared" ref="Q5:Q21" si="10">N5/P5*100000</f>
        <v>0.37454811926778026</v>
      </c>
      <c r="R5" s="4">
        <v>8.6900000000000005E-2</v>
      </c>
      <c r="S5" s="4">
        <f t="shared" ref="S5:S20" si="11">Q5*R5</f>
        <v>3.2548231564370103E-2</v>
      </c>
      <c r="T5" s="4">
        <f>'EQ-5D'!B16</f>
        <v>0.84799999999999998</v>
      </c>
      <c r="U5">
        <v>0.03</v>
      </c>
      <c r="V5">
        <f t="shared" ref="V5:V20" si="12">J5/U5*(1-EXP(-1*U5*K5))</f>
        <v>1.7948212065801479</v>
      </c>
      <c r="W5">
        <f t="shared" ref="W5:W20" si="13">T5*N5</f>
        <v>3.8015841262220826</v>
      </c>
      <c r="X5">
        <f t="shared" ref="X5:X20" si="14">V5*T5</f>
        <v>1.5220083831799653</v>
      </c>
    </row>
    <row r="6" spans="1:24">
      <c r="A6" s="8" t="s">
        <v>49</v>
      </c>
      <c r="B6" s="2">
        <f t="shared" si="6"/>
        <v>1.971476510067114E-2</v>
      </c>
      <c r="C6" s="41">
        <f>'Cases and CFR worksheet'!S6</f>
        <v>141</v>
      </c>
      <c r="D6" s="2">
        <f t="shared" si="7"/>
        <v>1.0678755551708657E-3</v>
      </c>
      <c r="E6" s="2">
        <f t="shared" si="0"/>
        <v>1.1560726170982199E-7</v>
      </c>
      <c r="F6" s="15">
        <v>1.2235796749015589E-3</v>
      </c>
      <c r="G6" s="2">
        <f t="shared" si="1"/>
        <v>1.2236952821632688E-3</v>
      </c>
      <c r="H6" s="2">
        <f t="shared" si="2"/>
        <v>1390.317302868466</v>
      </c>
      <c r="I6" s="2">
        <f t="shared" si="8"/>
        <v>1.0000944828228853</v>
      </c>
      <c r="J6" s="41">
        <f>'Cases and CFR worksheet'!V6</f>
        <v>0.13134869328601648</v>
      </c>
      <c r="K6" s="15">
        <v>55.872175763276346</v>
      </c>
      <c r="L6">
        <f t="shared" si="3"/>
        <v>1.1015068208364045</v>
      </c>
      <c r="M6">
        <f t="shared" si="4"/>
        <v>5.6231207033599215</v>
      </c>
      <c r="N6" s="42">
        <f t="shared" si="5"/>
        <v>7.3387372775529887</v>
      </c>
      <c r="O6" s="16">
        <f t="shared" si="9"/>
        <v>0.10064259403794125</v>
      </c>
      <c r="P6" s="86">
        <v>1136163</v>
      </c>
      <c r="Q6" s="5">
        <f t="shared" si="10"/>
        <v>0.64592292457622624</v>
      </c>
      <c r="R6" s="4">
        <v>8.5999999999999993E-2</v>
      </c>
      <c r="S6" s="4">
        <f t="shared" si="11"/>
        <v>5.5549371513555455E-2</v>
      </c>
      <c r="T6" s="4">
        <f>'EQ-5D'!B16</f>
        <v>0.84799999999999998</v>
      </c>
      <c r="U6">
        <v>0.03</v>
      </c>
      <c r="V6">
        <f t="shared" si="12"/>
        <v>3.5591553604620647</v>
      </c>
      <c r="W6">
        <f t="shared" si="13"/>
        <v>6.2232492113649345</v>
      </c>
      <c r="X6">
        <f t="shared" si="14"/>
        <v>3.0181637456718309</v>
      </c>
    </row>
    <row r="7" spans="1:24">
      <c r="A7" s="2" t="s">
        <v>50</v>
      </c>
      <c r="B7" s="2">
        <f t="shared" si="6"/>
        <v>2.7125279642058166E-2</v>
      </c>
      <c r="C7" s="41">
        <f>'Cases and CFR worksheet'!S7</f>
        <v>194</v>
      </c>
      <c r="D7" s="2">
        <f t="shared" si="7"/>
        <v>1.4692755865471484E-3</v>
      </c>
      <c r="E7" s="2">
        <f t="shared" si="0"/>
        <v>1.8430131886692704E-7</v>
      </c>
      <c r="F7" s="15">
        <v>1.456362025815852E-3</v>
      </c>
      <c r="G7" s="2">
        <f t="shared" si="1"/>
        <v>1.4565463271347188E-3</v>
      </c>
      <c r="H7" s="2">
        <f t="shared" si="2"/>
        <v>1428.2500016374727</v>
      </c>
      <c r="I7" s="2">
        <f t="shared" si="8"/>
        <v>1.0001265491104545</v>
      </c>
      <c r="J7" s="41">
        <f>'Cases and CFR worksheet'!V7</f>
        <v>0.18072089714529926</v>
      </c>
      <c r="K7" s="15">
        <v>51.19894225331312</v>
      </c>
      <c r="L7">
        <f t="shared" si="3"/>
        <v>1.3887856259987059</v>
      </c>
      <c r="M7">
        <f t="shared" si="4"/>
        <v>4.4471532907982736</v>
      </c>
      <c r="N7" s="42">
        <f t="shared" si="5"/>
        <v>9.2527187769091164</v>
      </c>
      <c r="O7" s="16">
        <f t="shared" si="9"/>
        <v>8.6860257166943622E-2</v>
      </c>
      <c r="P7" s="86">
        <v>980573</v>
      </c>
      <c r="Q7" s="5">
        <f t="shared" si="10"/>
        <v>0.9436032581877245</v>
      </c>
      <c r="R7" s="4">
        <v>8.4699999999999998E-2</v>
      </c>
      <c r="S7" s="4">
        <f t="shared" si="11"/>
        <v>7.9923195968500269E-2</v>
      </c>
      <c r="T7" s="4">
        <f>'EQ-5D'!B16</f>
        <v>0.84799999999999998</v>
      </c>
      <c r="U7">
        <v>0.03</v>
      </c>
      <c r="V7">
        <f t="shared" si="12"/>
        <v>4.7273744955193013</v>
      </c>
      <c r="W7">
        <f t="shared" si="13"/>
        <v>7.8463055228189305</v>
      </c>
      <c r="X7">
        <f t="shared" si="14"/>
        <v>4.008813572200367</v>
      </c>
    </row>
    <row r="8" spans="1:24">
      <c r="A8" s="2" t="s">
        <v>51</v>
      </c>
      <c r="B8" s="2">
        <f t="shared" si="6"/>
        <v>7.983780760626398E-2</v>
      </c>
      <c r="C8" s="41">
        <f>'Cases and CFR worksheet'!S8</f>
        <v>571</v>
      </c>
      <c r="D8" s="2">
        <f t="shared" si="7"/>
        <v>3.1702882003414989E-3</v>
      </c>
      <c r="E8" s="2">
        <f t="shared" si="0"/>
        <v>3.87607786084131E-7</v>
      </c>
      <c r="F8" s="15">
        <v>2.2819010435807547E-3</v>
      </c>
      <c r="G8" s="2">
        <f t="shared" si="1"/>
        <v>2.2822886513668389E-3</v>
      </c>
      <c r="H8" s="2">
        <f t="shared" si="2"/>
        <v>2296.0531342232321</v>
      </c>
      <c r="I8" s="2">
        <f t="shared" si="8"/>
        <v>1.0001698617857135</v>
      </c>
      <c r="J8" s="41">
        <f>'Cases and CFR worksheet'!V8</f>
        <v>0.38994544864200437</v>
      </c>
      <c r="K8" s="15">
        <v>46.552647404506089</v>
      </c>
      <c r="L8">
        <f t="shared" si="3"/>
        <v>3.7166613070432013</v>
      </c>
      <c r="M8">
        <f t="shared" si="4"/>
        <v>4.1485557176592467</v>
      </c>
      <c r="N8" s="42">
        <f t="shared" si="5"/>
        <v>18.152992977623168</v>
      </c>
      <c r="O8" s="16">
        <f t="shared" si="9"/>
        <v>8.9115355387021117E-2</v>
      </c>
      <c r="P8" s="86">
        <v>1006031</v>
      </c>
      <c r="Q8" s="5">
        <f t="shared" si="10"/>
        <v>1.8044168596815771</v>
      </c>
      <c r="R8" s="4">
        <v>8.2199999999999995E-2</v>
      </c>
      <c r="S8" s="4">
        <f t="shared" si="11"/>
        <v>0.14832306586582564</v>
      </c>
      <c r="T8" s="4">
        <f>'EQ-5D'!C16</f>
        <v>0.84099999999999997</v>
      </c>
      <c r="U8">
        <v>0.03</v>
      </c>
      <c r="V8">
        <f t="shared" si="12"/>
        <v>9.7818867040577171</v>
      </c>
      <c r="W8">
        <f t="shared" si="13"/>
        <v>15.266667094181082</v>
      </c>
      <c r="X8">
        <f t="shared" si="14"/>
        <v>8.2265667181125401</v>
      </c>
    </row>
    <row r="9" spans="1:24">
      <c r="A9" s="2" t="s">
        <v>52</v>
      </c>
      <c r="B9" s="2">
        <f t="shared" si="6"/>
        <v>0.12416107382550336</v>
      </c>
      <c r="C9" s="41">
        <f>'Cases and CFR worksheet'!S9</f>
        <v>888</v>
      </c>
      <c r="D9" s="2">
        <f t="shared" si="7"/>
        <v>4.9303256075363417E-3</v>
      </c>
      <c r="E9" s="2">
        <f t="shared" si="0"/>
        <v>5.7152582456889827E-7</v>
      </c>
      <c r="F9" s="15">
        <v>3.5580400167356772E-3</v>
      </c>
      <c r="G9" s="2">
        <f t="shared" si="1"/>
        <v>3.558611542560246E-3</v>
      </c>
      <c r="H9" s="2">
        <f t="shared" si="2"/>
        <v>3775.9430666874855</v>
      </c>
      <c r="I9" s="2">
        <f t="shared" si="8"/>
        <v>1.0001606293976124</v>
      </c>
      <c r="J9" s="41">
        <f>'Cases and CFR worksheet'!V9</f>
        <v>0.60643004972697001</v>
      </c>
      <c r="K9" s="15">
        <v>42.055487890292909</v>
      </c>
      <c r="L9">
        <f t="shared" si="3"/>
        <v>5.2216545367142206</v>
      </c>
      <c r="M9">
        <f t="shared" si="4"/>
        <v>3.9528352157024633</v>
      </c>
      <c r="N9" s="42">
        <f t="shared" si="5"/>
        <v>25.503711612602313</v>
      </c>
      <c r="O9" s="16">
        <f t="shared" si="9"/>
        <v>9.3990948958051254E-2</v>
      </c>
      <c r="P9" s="86">
        <v>1061072</v>
      </c>
      <c r="Q9" s="5">
        <f t="shared" si="10"/>
        <v>2.4035797394146967</v>
      </c>
      <c r="R9" s="4">
        <v>7.9299999999999995E-2</v>
      </c>
      <c r="S9" s="4">
        <f t="shared" si="11"/>
        <v>0.19060387333558543</v>
      </c>
      <c r="T9" s="4">
        <f>'EQ-5D'!C16</f>
        <v>0.84099999999999997</v>
      </c>
      <c r="U9">
        <v>0.03</v>
      </c>
      <c r="V9">
        <f t="shared" si="12"/>
        <v>14.489994360782378</v>
      </c>
      <c r="W9">
        <f t="shared" si="13"/>
        <v>21.448621466198546</v>
      </c>
      <c r="X9">
        <f t="shared" si="14"/>
        <v>12.186085257417979</v>
      </c>
    </row>
    <row r="10" spans="1:24">
      <c r="A10" s="2" t="s">
        <v>53</v>
      </c>
      <c r="B10" s="2">
        <f t="shared" si="6"/>
        <v>0.13856263982102909</v>
      </c>
      <c r="C10" s="41">
        <f>'Cases and CFR worksheet'!S10</f>
        <v>991</v>
      </c>
      <c r="D10" s="2">
        <f t="shared" si="7"/>
        <v>2.491787361698998E-2</v>
      </c>
      <c r="E10" s="2">
        <f t="shared" si="0"/>
        <v>3.03884341147974E-6</v>
      </c>
      <c r="F10" s="15">
        <v>5.3015643912555747E-3</v>
      </c>
      <c r="G10" s="2">
        <f t="shared" si="1"/>
        <v>5.3046032346670546E-3</v>
      </c>
      <c r="H10" s="2">
        <f t="shared" si="2"/>
        <v>5350.0849028010898</v>
      </c>
      <c r="I10" s="2">
        <f t="shared" si="8"/>
        <v>1.0005731974917615</v>
      </c>
      <c r="J10" s="41">
        <f>'Cases and CFR worksheet'!V10</f>
        <v>3.0648984548897675</v>
      </c>
      <c r="K10" s="15">
        <v>37.762595716711537</v>
      </c>
      <c r="L10">
        <f t="shared" si="3"/>
        <v>5.2324849490018366</v>
      </c>
      <c r="M10">
        <f t="shared" si="4"/>
        <v>3.3737336077210336</v>
      </c>
      <c r="N10" s="42">
        <f t="shared" si="5"/>
        <v>115.73852126477614</v>
      </c>
      <c r="O10" s="16">
        <f t="shared" si="9"/>
        <v>8.9340617181885476E-2</v>
      </c>
      <c r="P10" s="86">
        <v>1008574</v>
      </c>
      <c r="Q10" s="5">
        <f t="shared" si="10"/>
        <v>11.475461519410191</v>
      </c>
      <c r="R10" s="4">
        <v>7.6100000000000001E-2</v>
      </c>
      <c r="S10" s="4">
        <f t="shared" si="11"/>
        <v>0.87328262162711556</v>
      </c>
      <c r="T10" s="4">
        <f>'EQ-5D'!D16</f>
        <v>0.79300000000000004</v>
      </c>
      <c r="U10">
        <v>0.03</v>
      </c>
      <c r="V10">
        <f t="shared" si="12"/>
        <v>69.255983591541195</v>
      </c>
      <c r="W10">
        <f t="shared" si="13"/>
        <v>91.780647362967485</v>
      </c>
      <c r="X10">
        <f t="shared" si="14"/>
        <v>54.919994988092171</v>
      </c>
    </row>
    <row r="11" spans="1:24">
      <c r="A11" s="2" t="s">
        <v>54</v>
      </c>
      <c r="B11" s="2">
        <f t="shared" si="6"/>
        <v>0.13171140939597314</v>
      </c>
      <c r="C11" s="41">
        <f>'Cases and CFR worksheet'!S11</f>
        <v>942</v>
      </c>
      <c r="D11" s="2">
        <f t="shared" si="7"/>
        <v>2.3685809230277056E-2</v>
      </c>
      <c r="E11" s="2">
        <f t="shared" si="0"/>
        <v>3.6172496049496504E-6</v>
      </c>
      <c r="F11" s="15">
        <v>8.3727453974618664E-3</v>
      </c>
      <c r="G11" s="2">
        <f t="shared" si="1"/>
        <v>8.3763626470668168E-3</v>
      </c>
      <c r="H11" s="2">
        <f t="shared" si="2"/>
        <v>6746.3727341234962</v>
      </c>
      <c r="I11" s="2">
        <f t="shared" si="8"/>
        <v>1.0004320267048903</v>
      </c>
      <c r="J11" s="41">
        <f>'Cases and CFR worksheet'!V11</f>
        <v>2.913354535324078</v>
      </c>
      <c r="K11" s="15">
        <v>33.706554501463891</v>
      </c>
      <c r="L11">
        <f t="shared" si="3"/>
        <v>4.439537799269992</v>
      </c>
      <c r="M11">
        <f t="shared" si="4"/>
        <v>2.4047525929072942</v>
      </c>
      <c r="N11" s="42">
        <f t="shared" si="5"/>
        <v>98.199143426988044</v>
      </c>
      <c r="O11" s="16">
        <f t="shared" si="9"/>
        <v>7.1343767658093166E-2</v>
      </c>
      <c r="P11" s="86">
        <v>805406</v>
      </c>
      <c r="Q11" s="5">
        <f t="shared" si="10"/>
        <v>12.192502095463411</v>
      </c>
      <c r="R11" s="4">
        <v>7.1499999999999994E-2</v>
      </c>
      <c r="S11" s="4">
        <f t="shared" si="11"/>
        <v>0.87176389982563374</v>
      </c>
      <c r="T11" s="4">
        <f>'EQ-5D'!D16</f>
        <v>0.79300000000000004</v>
      </c>
      <c r="U11">
        <v>0.03</v>
      </c>
      <c r="V11">
        <f t="shared" si="12"/>
        <v>61.784150273205753</v>
      </c>
      <c r="W11">
        <f t="shared" si="13"/>
        <v>77.871920737601528</v>
      </c>
      <c r="X11">
        <f t="shared" si="14"/>
        <v>48.994831166652162</v>
      </c>
    </row>
    <row r="12" spans="1:24">
      <c r="A12" s="2" t="s">
        <v>55</v>
      </c>
      <c r="B12" s="2">
        <f t="shared" si="6"/>
        <v>0.10542505592841163</v>
      </c>
      <c r="C12" s="41">
        <f>'Cases and CFR worksheet'!S12</f>
        <v>754</v>
      </c>
      <c r="D12" s="2">
        <f t="shared" si="7"/>
        <v>8.1782518260505949E-2</v>
      </c>
      <c r="E12" s="2">
        <f t="shared" si="0"/>
        <v>1.6408477170031633E-5</v>
      </c>
      <c r="F12" s="15">
        <v>9.0258016129222182E-3</v>
      </c>
      <c r="G12" s="2">
        <f t="shared" si="1"/>
        <v>9.0422100900922498E-3</v>
      </c>
      <c r="H12" s="2">
        <f t="shared" si="2"/>
        <v>5543.3449801512343</v>
      </c>
      <c r="I12" s="2">
        <f t="shared" si="8"/>
        <v>1.0018179523408248</v>
      </c>
      <c r="J12" s="41">
        <f>'Cases and CFR worksheet'!V12</f>
        <v>10.059249746042232</v>
      </c>
      <c r="K12" s="15">
        <v>30.038128359297474</v>
      </c>
      <c r="L12">
        <f t="shared" si="3"/>
        <v>3.1667713622637437</v>
      </c>
      <c r="M12">
        <f t="shared" si="4"/>
        <v>1.6312155860721098</v>
      </c>
      <c r="N12" s="42">
        <f t="shared" si="5"/>
        <v>302.16103506984706</v>
      </c>
      <c r="O12" s="16">
        <f t="shared" si="9"/>
        <v>5.4304834394490895E-2</v>
      </c>
      <c r="P12" s="86">
        <v>613052</v>
      </c>
      <c r="Q12" s="5">
        <f t="shared" si="10"/>
        <v>49.28799434140123</v>
      </c>
      <c r="R12" s="4">
        <v>6.59E-2</v>
      </c>
      <c r="S12" s="4">
        <f t="shared" si="11"/>
        <v>3.2480788270983409</v>
      </c>
      <c r="T12" s="4">
        <f>'EQ-5D'!E16</f>
        <v>0.78500000000000003</v>
      </c>
      <c r="U12">
        <v>0.03</v>
      </c>
      <c r="V12">
        <f t="shared" si="12"/>
        <v>199.13798098843114</v>
      </c>
      <c r="W12">
        <f t="shared" si="13"/>
        <v>237.19641252982996</v>
      </c>
      <c r="X12">
        <f t="shared" si="14"/>
        <v>156.32331507591846</v>
      </c>
    </row>
    <row r="13" spans="1:24">
      <c r="A13" s="2" t="s">
        <v>56</v>
      </c>
      <c r="B13" s="2">
        <f t="shared" si="6"/>
        <v>9.2980984340044745E-2</v>
      </c>
      <c r="C13" s="41">
        <f>'Cases and CFR worksheet'!S13</f>
        <v>665</v>
      </c>
      <c r="D13" s="2">
        <f t="shared" si="7"/>
        <v>7.2129144089173008E-2</v>
      </c>
      <c r="E13" s="2">
        <f t="shared" si="0"/>
        <v>1.7159223343516332E-5</v>
      </c>
      <c r="F13" s="15">
        <v>1.0207466858701671E-2</v>
      </c>
      <c r="G13" s="2">
        <f t="shared" si="1"/>
        <v>1.0224626082045187E-2</v>
      </c>
      <c r="H13" s="2">
        <f t="shared" si="2"/>
        <v>5286.4690970780694</v>
      </c>
      <c r="I13" s="2">
        <f t="shared" si="8"/>
        <v>1.0016810461969698</v>
      </c>
      <c r="J13" s="41">
        <f>'Cases and CFR worksheet'!V13</f>
        <v>8.8718847229682805</v>
      </c>
      <c r="K13" s="15">
        <v>26.308801696615056</v>
      </c>
      <c r="L13">
        <f t="shared" si="3"/>
        <v>2.4462182785583071</v>
      </c>
      <c r="M13">
        <f t="shared" si="4"/>
        <v>1.2049263742591381</v>
      </c>
      <c r="N13" s="42">
        <f t="shared" si="5"/>
        <v>233.40865585180109</v>
      </c>
      <c r="O13" s="16">
        <f t="shared" si="9"/>
        <v>4.5799363580066303E-2</v>
      </c>
      <c r="P13" s="86">
        <v>517033</v>
      </c>
      <c r="Q13" s="5">
        <f t="shared" si="10"/>
        <v>45.143860421249919</v>
      </c>
      <c r="R13" s="4">
        <v>6.0400000000000002E-2</v>
      </c>
      <c r="S13" s="4">
        <f t="shared" si="11"/>
        <v>2.7266891694434952</v>
      </c>
      <c r="T13" s="4">
        <f>'EQ-5D'!E16</f>
        <v>0.78500000000000003</v>
      </c>
      <c r="U13">
        <v>0.03</v>
      </c>
      <c r="V13">
        <f t="shared" si="12"/>
        <v>161.41538859206926</v>
      </c>
      <c r="W13">
        <f t="shared" si="13"/>
        <v>183.22579484366386</v>
      </c>
      <c r="X13">
        <f t="shared" si="14"/>
        <v>126.71108004477438</v>
      </c>
    </row>
    <row r="14" spans="1:24">
      <c r="A14" s="2" t="s">
        <v>57</v>
      </c>
      <c r="B14" s="2">
        <f t="shared" si="6"/>
        <v>7.9697986577181204E-2</v>
      </c>
      <c r="C14" s="41">
        <f>'Cases and CFR worksheet'!S14</f>
        <v>570</v>
      </c>
      <c r="D14" s="2">
        <f t="shared" si="7"/>
        <v>0.10609295406721127</v>
      </c>
      <c r="E14" s="2">
        <f t="shared" si="0"/>
        <v>3.0781902168902052E-5</v>
      </c>
      <c r="F14" s="15">
        <v>1.3308623832739969E-2</v>
      </c>
      <c r="G14" s="2">
        <f t="shared" si="1"/>
        <v>1.3339405734908872E-2</v>
      </c>
      <c r="H14" s="2">
        <f t="shared" si="2"/>
        <v>5655.0009520113881</v>
      </c>
      <c r="I14" s="2">
        <f t="shared" si="8"/>
        <v>1.0023129290117267</v>
      </c>
      <c r="J14" s="41">
        <f>'Cases and CFR worksheet'!V14</f>
        <v>13.049433350266986</v>
      </c>
      <c r="K14" s="15">
        <v>22.657500834844878</v>
      </c>
      <c r="L14">
        <f t="shared" si="3"/>
        <v>1.8057571974079389</v>
      </c>
      <c r="M14">
        <f t="shared" si="4"/>
        <v>0.85084291084987296</v>
      </c>
      <c r="N14" s="42">
        <f t="shared" si="5"/>
        <v>295.66754702792684</v>
      </c>
      <c r="O14" s="16">
        <f t="shared" si="9"/>
        <v>3.755237248149474E-2</v>
      </c>
      <c r="P14" s="86">
        <v>423932</v>
      </c>
      <c r="Q14" s="5">
        <f t="shared" si="10"/>
        <v>69.744097409001171</v>
      </c>
      <c r="R14" s="4">
        <v>5.3699999999999998E-2</v>
      </c>
      <c r="S14" s="4">
        <f t="shared" si="11"/>
        <v>3.7452580308633627</v>
      </c>
      <c r="T14" s="4">
        <f>'EQ-5D'!F16</f>
        <v>0.75600000000000001</v>
      </c>
      <c r="U14">
        <v>0.03</v>
      </c>
      <c r="V14">
        <f t="shared" si="12"/>
        <v>214.55168490372506</v>
      </c>
      <c r="W14">
        <f t="shared" si="13"/>
        <v>223.5246655531127</v>
      </c>
      <c r="X14">
        <f t="shared" si="14"/>
        <v>162.20107378721616</v>
      </c>
    </row>
    <row r="15" spans="1:24">
      <c r="A15" s="2" t="s">
        <v>58</v>
      </c>
      <c r="B15" s="2">
        <f t="shared" si="6"/>
        <v>6.0262863534675616E-2</v>
      </c>
      <c r="C15" s="41">
        <f>'Cases and CFR worksheet'!S15</f>
        <v>431</v>
      </c>
      <c r="D15" s="2">
        <f t="shared" si="7"/>
        <v>8.0221163513979038E-2</v>
      </c>
      <c r="E15" s="2">
        <f t="shared" si="0"/>
        <v>2.6205065922216142E-5</v>
      </c>
      <c r="F15" s="15">
        <v>1.8047151344833912E-2</v>
      </c>
      <c r="G15" s="2">
        <f t="shared" si="1"/>
        <v>1.8073356410756129E-2</v>
      </c>
      <c r="H15" s="2">
        <f t="shared" si="2"/>
        <v>6805.3054761932917</v>
      </c>
      <c r="I15" s="2">
        <f t="shared" si="8"/>
        <v>1.001452033366458</v>
      </c>
      <c r="J15" s="41">
        <f>'Cases and CFR worksheet'!V15</f>
        <v>9.8672031122194213</v>
      </c>
      <c r="K15" s="15">
        <v>19.040121188971106</v>
      </c>
      <c r="L15">
        <f t="shared" si="3"/>
        <v>1.1474122248946514</v>
      </c>
      <c r="M15">
        <f t="shared" si="4"/>
        <v>0.63506722485643019</v>
      </c>
      <c r="N15" s="42">
        <f t="shared" si="5"/>
        <v>187.87274305285064</v>
      </c>
      <c r="O15" s="16">
        <f t="shared" si="9"/>
        <v>3.3354158755265151E-2</v>
      </c>
      <c r="P15" s="86">
        <v>376538</v>
      </c>
      <c r="Q15" s="5">
        <f t="shared" si="10"/>
        <v>49.894763092397213</v>
      </c>
      <c r="R15" s="4">
        <v>4.5499999999999999E-2</v>
      </c>
      <c r="S15" s="4">
        <f t="shared" si="11"/>
        <v>2.2702117207040731</v>
      </c>
      <c r="T15" s="4">
        <f>'EQ-5D'!F16</f>
        <v>0.75600000000000001</v>
      </c>
      <c r="U15">
        <v>0.03</v>
      </c>
      <c r="V15">
        <f t="shared" si="12"/>
        <v>143.12537252699104</v>
      </c>
      <c r="W15">
        <f t="shared" si="13"/>
        <v>142.03179374795508</v>
      </c>
      <c r="X15">
        <f t="shared" si="14"/>
        <v>108.20278163040523</v>
      </c>
    </row>
    <row r="16" spans="1:24">
      <c r="A16" s="2" t="s">
        <v>59</v>
      </c>
      <c r="B16" s="2">
        <f t="shared" si="6"/>
        <v>3.9289709172259511E-2</v>
      </c>
      <c r="C16" s="41">
        <f>'Cases and CFR worksheet'!S16</f>
        <v>281</v>
      </c>
      <c r="D16" s="2">
        <f t="shared" si="7"/>
        <v>0.14226703000085458</v>
      </c>
      <c r="E16" s="2">
        <f t="shared" si="0"/>
        <v>5.7087077210003335E-5</v>
      </c>
      <c r="F16" s="15">
        <v>2.6604830308962112E-2</v>
      </c>
      <c r="G16" s="2">
        <f t="shared" si="1"/>
        <v>2.6661917386172115E-2</v>
      </c>
      <c r="H16" s="2">
        <f t="shared" si="2"/>
        <v>8172.6508744659523</v>
      </c>
      <c r="I16" s="2">
        <f t="shared" si="8"/>
        <v>1.0021457410758516</v>
      </c>
      <c r="J16" s="41">
        <f>'Cases and CFR worksheet'!V16</f>
        <v>17.498844690105113</v>
      </c>
      <c r="K16" s="15">
        <v>15.594080243734334</v>
      </c>
      <c r="L16">
        <f t="shared" si="3"/>
        <v>0.61268687758519969</v>
      </c>
      <c r="M16">
        <f t="shared" si="4"/>
        <v>0.42342111660860099</v>
      </c>
      <c r="N16" s="42">
        <f t="shared" si="5"/>
        <v>272.8783882701436</v>
      </c>
      <c r="O16" s="16">
        <f t="shared" si="9"/>
        <v>2.7152682940613355E-2</v>
      </c>
      <c r="P16" s="86">
        <v>306529</v>
      </c>
      <c r="Q16" s="5">
        <f t="shared" si="10"/>
        <v>89.022046289304953</v>
      </c>
      <c r="R16" s="4">
        <v>3.7199999999999997E-2</v>
      </c>
      <c r="S16" s="4">
        <f t="shared" si="11"/>
        <v>3.3116201219621439</v>
      </c>
      <c r="T16" s="4">
        <f>'EQ-5D'!G16</f>
        <v>0.66100000000000003</v>
      </c>
      <c r="U16">
        <v>0.03</v>
      </c>
      <c r="V16">
        <f t="shared" si="12"/>
        <v>217.93950609471452</v>
      </c>
      <c r="W16">
        <f t="shared" si="13"/>
        <v>180.37261464656493</v>
      </c>
      <c r="X16">
        <f t="shared" si="14"/>
        <v>144.0580135286063</v>
      </c>
    </row>
    <row r="17" spans="1:29">
      <c r="A17" s="2" t="s">
        <v>60</v>
      </c>
      <c r="B17" s="2">
        <f t="shared" si="6"/>
        <v>2.7824384787472036E-2</v>
      </c>
      <c r="C17" s="41">
        <f>'Cases and CFR worksheet'!S17</f>
        <v>199</v>
      </c>
      <c r="D17" s="2">
        <f t="shared" si="7"/>
        <v>0.10075138423548063</v>
      </c>
      <c r="E17" s="2">
        <f t="shared" si="0"/>
        <v>5.0609400569149068E-5</v>
      </c>
      <c r="F17" s="15">
        <v>3.8847189522784188E-2</v>
      </c>
      <c r="G17" s="2">
        <f t="shared" si="1"/>
        <v>3.8897798923353336E-2</v>
      </c>
      <c r="H17" s="2">
        <f t="shared" si="2"/>
        <v>9524.6706355679908</v>
      </c>
      <c r="I17" s="2">
        <f t="shared" si="8"/>
        <v>1.0013027815188398</v>
      </c>
      <c r="J17" s="41">
        <f>'Cases and CFR worksheet'!V17</f>
        <v>12.392420260964117</v>
      </c>
      <c r="K17" s="15">
        <v>12.443628687206033</v>
      </c>
      <c r="L17">
        <f t="shared" si="3"/>
        <v>0.34623631274524619</v>
      </c>
      <c r="M17">
        <f t="shared" si="4"/>
        <v>0.26990638790045801</v>
      </c>
      <c r="N17" s="42">
        <f t="shared" si="5"/>
        <v>154.20667626324635</v>
      </c>
      <c r="O17" s="16">
        <f t="shared" si="9"/>
        <v>2.1690328013239689E-2</v>
      </c>
      <c r="P17" s="86">
        <v>244864</v>
      </c>
      <c r="Q17" s="5">
        <f t="shared" si="10"/>
        <v>62.976458876456469</v>
      </c>
      <c r="R17" s="4">
        <v>2.9600000000000001E-2</v>
      </c>
      <c r="S17" s="4">
        <f t="shared" si="11"/>
        <v>1.8641031827431116</v>
      </c>
      <c r="T17" s="4">
        <f>'EQ-5D'!G16</f>
        <v>0.66100000000000003</v>
      </c>
      <c r="U17">
        <v>0.03</v>
      </c>
      <c r="V17">
        <f t="shared" si="12"/>
        <v>128.69422522169748</v>
      </c>
      <c r="W17">
        <f t="shared" si="13"/>
        <v>101.93061301000584</v>
      </c>
      <c r="X17">
        <f t="shared" si="14"/>
        <v>85.066882871542035</v>
      </c>
    </row>
    <row r="18" spans="1:29">
      <c r="A18" s="2" t="s">
        <v>61</v>
      </c>
      <c r="B18" s="2">
        <f t="shared" si="6"/>
        <v>1.971476510067114E-2</v>
      </c>
      <c r="C18" s="41">
        <f>'Cases and CFR worksheet'!S18</f>
        <v>141</v>
      </c>
      <c r="D18" s="2">
        <f t="shared" si="7"/>
        <v>0.13844685417100305</v>
      </c>
      <c r="E18" s="2">
        <f t="shared" si="0"/>
        <v>9.5248808970788083E-5</v>
      </c>
      <c r="F18" s="15">
        <v>5.5678027062688235E-2</v>
      </c>
      <c r="G18" s="2">
        <f t="shared" si="1"/>
        <v>5.577327587165902E-2</v>
      </c>
      <c r="H18" s="2">
        <f t="shared" si="2"/>
        <v>9971.3693534386857</v>
      </c>
      <c r="I18" s="2">
        <f t="shared" si="8"/>
        <v>1.0017107073291864</v>
      </c>
      <c r="J18" s="41">
        <f>'Cases and CFR worksheet'!V18</f>
        <v>17.028963063033377</v>
      </c>
      <c r="K18" s="15">
        <v>9.5580500085101576</v>
      </c>
      <c r="L18">
        <f t="shared" si="3"/>
        <v>0.18843471073824555</v>
      </c>
      <c r="M18">
        <f t="shared" si="4"/>
        <v>0.15136976202960256</v>
      </c>
      <c r="N18" s="42">
        <f t="shared" si="5"/>
        <v>162.76368054954531</v>
      </c>
      <c r="O18" s="16">
        <f t="shared" si="9"/>
        <v>1.5836887429426311E-2</v>
      </c>
      <c r="P18" s="86">
        <v>178784</v>
      </c>
      <c r="Q18" s="5">
        <f t="shared" si="10"/>
        <v>91.039287939382334</v>
      </c>
      <c r="R18" s="4">
        <v>2.2100000000000002E-2</v>
      </c>
      <c r="S18" s="4">
        <f t="shared" si="11"/>
        <v>2.0119682634603495</v>
      </c>
      <c r="T18" s="4">
        <f>'EQ-5D'!H16</f>
        <v>0.66100000000000003</v>
      </c>
      <c r="U18">
        <v>0.03</v>
      </c>
      <c r="V18">
        <f t="shared" si="12"/>
        <v>141.5074129224769</v>
      </c>
      <c r="W18">
        <f t="shared" si="13"/>
        <v>107.58679284324946</v>
      </c>
      <c r="X18">
        <f t="shared" si="14"/>
        <v>93.536399941757239</v>
      </c>
    </row>
    <row r="19" spans="1:29">
      <c r="A19" s="2" t="s">
        <v>62</v>
      </c>
      <c r="B19" s="2">
        <f t="shared" si="6"/>
        <v>1.2583892617449664E-2</v>
      </c>
      <c r="C19" s="41">
        <f>'Cases and CFR worksheet'!S19</f>
        <v>90</v>
      </c>
      <c r="D19" s="2">
        <f t="shared" si="7"/>
        <v>8.8370332449576455E-2</v>
      </c>
      <c r="E19" s="2">
        <f t="shared" si="0"/>
        <v>1.0244242338929638E-4</v>
      </c>
      <c r="F19" s="15">
        <v>7.7931005311396143E-2</v>
      </c>
      <c r="G19" s="2">
        <f t="shared" si="1"/>
        <v>7.8033447734785433E-2</v>
      </c>
      <c r="H19" s="2">
        <f t="shared" si="2"/>
        <v>8279.6609384516742</v>
      </c>
      <c r="I19" s="2">
        <f t="shared" si="8"/>
        <v>1.001314527163867</v>
      </c>
      <c r="J19" s="41">
        <f>'Cases and CFR worksheet'!V19</f>
        <v>10.869550891297903</v>
      </c>
      <c r="K19" s="15">
        <v>6.8154453757439635</v>
      </c>
      <c r="L19">
        <f t="shared" si="3"/>
        <v>8.5764832748455908E-2</v>
      </c>
      <c r="M19">
        <f t="shared" si="4"/>
        <v>6.4057085940425251E-2</v>
      </c>
      <c r="N19" s="42">
        <f t="shared" si="5"/>
        <v>74.080830358509971</v>
      </c>
      <c r="O19" s="16">
        <f t="shared" si="9"/>
        <v>9.3988114362126892E-3</v>
      </c>
      <c r="P19" s="86">
        <v>106104</v>
      </c>
      <c r="Q19" s="5">
        <f t="shared" si="10"/>
        <v>69.819074076858527</v>
      </c>
      <c r="R19" s="4">
        <v>1.52E-2</v>
      </c>
      <c r="S19" s="4">
        <f t="shared" si="11"/>
        <v>1.0612499259682495</v>
      </c>
      <c r="T19" s="4">
        <f>'EQ-5D'!H16</f>
        <v>0.66100000000000003</v>
      </c>
      <c r="U19">
        <v>0.03</v>
      </c>
      <c r="V19">
        <f t="shared" si="12"/>
        <v>66.998243205828544</v>
      </c>
      <c r="W19">
        <f t="shared" si="13"/>
        <v>48.967428866975091</v>
      </c>
      <c r="X19">
        <f t="shared" si="14"/>
        <v>44.285838759052673</v>
      </c>
    </row>
    <row r="20" spans="1:29">
      <c r="A20" s="2" t="s">
        <v>63</v>
      </c>
      <c r="B20" s="2">
        <f t="shared" si="6"/>
        <v>1.104586129753915E-2</v>
      </c>
      <c r="C20" s="41">
        <f>'Cases and CFR worksheet'!S20</f>
        <v>79</v>
      </c>
      <c r="D20" s="2">
        <f t="shared" si="7"/>
        <v>0.12960982092604545</v>
      </c>
      <c r="E20" s="2">
        <f t="shared" si="0"/>
        <v>1.6533579446499335E-4</v>
      </c>
      <c r="F20" s="15">
        <v>0.14418072820383693</v>
      </c>
      <c r="G20" s="2">
        <f t="shared" si="1"/>
        <v>0.14434606399830191</v>
      </c>
      <c r="H20" s="2">
        <f t="shared" si="2"/>
        <v>13918.136182844266</v>
      </c>
      <c r="I20" s="2">
        <f t="shared" si="8"/>
        <v>1.0011467260328386</v>
      </c>
      <c r="J20" s="41">
        <f>'Cases and CFR worksheet'!V20</f>
        <v>15.942007973903589</v>
      </c>
      <c r="K20" s="15">
        <v>6.55</v>
      </c>
      <c r="L20">
        <f t="shared" si="3"/>
        <v>7.2350391498881436E-2</v>
      </c>
      <c r="M20">
        <f t="shared" si="4"/>
        <v>5.5944656994848213E-2</v>
      </c>
      <c r="N20" s="42">
        <f t="shared" si="5"/>
        <v>104.42015222906851</v>
      </c>
      <c r="O20" s="16">
        <f t="shared" si="9"/>
        <v>8.5411690068470554E-3</v>
      </c>
      <c r="P20" s="86">
        <v>96422</v>
      </c>
      <c r="Q20" s="5">
        <f t="shared" si="10"/>
        <v>108.29494537457066</v>
      </c>
      <c r="R20" s="4">
        <f>0.0091+0.006</f>
        <v>1.5100000000000001E-2</v>
      </c>
      <c r="S20" s="4">
        <f t="shared" si="11"/>
        <v>1.6352536751560169</v>
      </c>
      <c r="T20" s="4">
        <f>'EQ-5D'!I16</f>
        <v>0.66100000000000003</v>
      </c>
      <c r="U20">
        <v>0.03</v>
      </c>
      <c r="V20">
        <f t="shared" si="12"/>
        <v>94.80109996749502</v>
      </c>
      <c r="W20">
        <f t="shared" si="13"/>
        <v>69.021720623414282</v>
      </c>
      <c r="X20">
        <f t="shared" si="14"/>
        <v>62.663527078514214</v>
      </c>
    </row>
    <row r="21" spans="1:29">
      <c r="A21" s="6" t="s">
        <v>64</v>
      </c>
      <c r="B21" s="2">
        <f>C21/$C$21</f>
        <v>1</v>
      </c>
      <c r="C21" s="6">
        <f>SUM(C4:C20)</f>
        <v>7152</v>
      </c>
      <c r="D21" s="2">
        <f t="shared" si="7"/>
        <v>1</v>
      </c>
      <c r="E21" s="2"/>
      <c r="F21" s="2"/>
      <c r="G21" s="2"/>
      <c r="H21" s="2"/>
      <c r="I21" s="2"/>
      <c r="J21" s="70">
        <f>SUM(J4:J20)</f>
        <v>123</v>
      </c>
      <c r="L21">
        <f>SUM(L4:L20)</f>
        <v>33.024309949913508</v>
      </c>
      <c r="M21">
        <f>SUM(M4:M20)</f>
        <v>44.01714216665362</v>
      </c>
      <c r="N21" s="69">
        <f>SUM(N4:N20)</f>
        <v>2070.7751173283818</v>
      </c>
      <c r="O21" s="3">
        <f t="shared" si="9"/>
        <v>1</v>
      </c>
      <c r="P21" s="7">
        <f>SUM(P4:P20)</f>
        <v>11289087</v>
      </c>
      <c r="Q21" s="5">
        <f t="shared" si="10"/>
        <v>18.343158462047299</v>
      </c>
      <c r="R21">
        <f>SUM(R4:R20)</f>
        <v>0.99999999999999978</v>
      </c>
      <c r="T21" s="74">
        <f>SUMPRODUCT(O4:O20,T4:T20)</f>
        <v>0.80960073201668115</v>
      </c>
      <c r="V21" s="71">
        <f>SUM(V4:V20)</f>
        <v>1535.6447614086608</v>
      </c>
      <c r="W21" s="71">
        <f>SUM(W4:W20)</f>
        <v>1522.0371347144076</v>
      </c>
      <c r="X21" s="71">
        <f>SUM(X4:X20)</f>
        <v>1117.6896244312481</v>
      </c>
    </row>
    <row r="22" spans="1:29">
      <c r="P22" s="3"/>
    </row>
    <row r="23" spans="1:29">
      <c r="P23" s="3"/>
    </row>
    <row r="24" spans="1:29" ht="99.4" customHeight="1" thickBot="1">
      <c r="P24" s="3"/>
      <c r="Q24" s="17" t="s">
        <v>65</v>
      </c>
      <c r="V24" s="17" t="s">
        <v>66</v>
      </c>
      <c r="AA24" s="17" t="s">
        <v>66</v>
      </c>
    </row>
    <row r="25" spans="1:29" ht="57.6">
      <c r="C25" s="20" t="s">
        <v>67</v>
      </c>
      <c r="D25" s="21" t="s">
        <v>68</v>
      </c>
      <c r="E25" s="22" t="s">
        <v>69</v>
      </c>
      <c r="G25" s="20" t="s">
        <v>70</v>
      </c>
      <c r="H25" s="22" t="s">
        <v>71</v>
      </c>
      <c r="I25" s="22" t="s">
        <v>69</v>
      </c>
      <c r="L25" s="20" t="s">
        <v>72</v>
      </c>
      <c r="M25" s="22" t="s">
        <v>73</v>
      </c>
      <c r="N25" s="22" t="s">
        <v>69</v>
      </c>
      <c r="P25" s="3"/>
      <c r="Q25" s="20" t="s">
        <v>74</v>
      </c>
      <c r="R25" s="22" t="s">
        <v>31</v>
      </c>
      <c r="S25" s="22" t="s">
        <v>75</v>
      </c>
      <c r="V25" s="20" t="s">
        <v>74</v>
      </c>
      <c r="W25" s="22" t="s">
        <v>76</v>
      </c>
      <c r="X25" s="22" t="s">
        <v>69</v>
      </c>
      <c r="AA25" s="20" t="s">
        <v>77</v>
      </c>
      <c r="AB25" s="22" t="s">
        <v>76</v>
      </c>
      <c r="AC25" s="22" t="s">
        <v>69</v>
      </c>
    </row>
    <row r="26" spans="1:29" ht="14.65" thickBot="1">
      <c r="C26" s="23" t="s">
        <v>78</v>
      </c>
      <c r="D26" s="24" t="s">
        <v>79</v>
      </c>
      <c r="E26" s="24" t="s">
        <v>80</v>
      </c>
      <c r="G26" s="23" t="s">
        <v>78</v>
      </c>
      <c r="H26" s="24" t="s">
        <v>79</v>
      </c>
      <c r="I26" s="24" t="s">
        <v>80</v>
      </c>
      <c r="L26" s="23" t="s">
        <v>81</v>
      </c>
      <c r="M26" s="24" t="s">
        <v>44</v>
      </c>
      <c r="N26" s="24" t="s">
        <v>80</v>
      </c>
      <c r="Q26" s="23"/>
      <c r="R26" s="24"/>
      <c r="S26" s="24"/>
      <c r="V26" s="23"/>
      <c r="W26" s="24"/>
      <c r="X26" s="24" t="s">
        <v>80</v>
      </c>
      <c r="AA26" s="23"/>
      <c r="AB26" s="24"/>
      <c r="AC26" s="24" t="s">
        <v>80</v>
      </c>
    </row>
    <row r="27" spans="1:29" ht="14.65" thickBot="1">
      <c r="C27" s="25">
        <f>N21/J21</f>
        <v>16.835570059580341</v>
      </c>
      <c r="D27" s="26">
        <f>N21</f>
        <v>2070.7751173283818</v>
      </c>
      <c r="E27" s="27">
        <f>J21</f>
        <v>123</v>
      </c>
      <c r="G27" s="25">
        <f>H27/I27</f>
        <v>12.374285648084614</v>
      </c>
      <c r="H27" s="26">
        <f>W21</f>
        <v>1522.0371347144076</v>
      </c>
      <c r="I27" s="27">
        <f>J21</f>
        <v>123</v>
      </c>
      <c r="L27" s="25">
        <f>M27/N27</f>
        <v>12.484916759420006</v>
      </c>
      <c r="M27" s="26">
        <f>V21</f>
        <v>1535.6447614086608</v>
      </c>
      <c r="N27" s="27">
        <f>J21</f>
        <v>123</v>
      </c>
      <c r="Q27" s="25">
        <f>R27*S27</f>
        <v>9.8090894188727855</v>
      </c>
      <c r="R27" s="76">
        <f>'EQ-5D'!B18</f>
        <v>0.78567519574944067</v>
      </c>
      <c r="S27" s="27">
        <f>L27</f>
        <v>12.484916759420006</v>
      </c>
      <c r="V27" s="20">
        <f>W27/X27</f>
        <v>9.0869075157012045</v>
      </c>
      <c r="W27" s="22">
        <f>X21</f>
        <v>1117.6896244312481</v>
      </c>
      <c r="X27" s="22">
        <f>J21</f>
        <v>123</v>
      </c>
      <c r="AA27" s="20">
        <f>AB27/AC27</f>
        <v>12.374285648084614</v>
      </c>
      <c r="AB27" s="22">
        <f>W21</f>
        <v>1522.0371347144076</v>
      </c>
      <c r="AC27" s="22">
        <f>J21</f>
        <v>123</v>
      </c>
    </row>
    <row r="30" spans="1:29" ht="14.65" thickBot="1">
      <c r="C30" s="80" t="s">
        <v>82</v>
      </c>
    </row>
    <row r="31" spans="1:29" ht="57.95" thickBot="1">
      <c r="C31" s="81" t="s">
        <v>67</v>
      </c>
      <c r="D31" s="82" t="s">
        <v>70</v>
      </c>
      <c r="E31" s="83" t="s">
        <v>75</v>
      </c>
      <c r="F31" s="83" t="s">
        <v>74</v>
      </c>
    </row>
    <row r="32" spans="1:29" ht="14.65" thickBot="1">
      <c r="C32" s="111">
        <f>C27</f>
        <v>16.835570059580341</v>
      </c>
      <c r="D32" s="84">
        <f>G27</f>
        <v>12.374285648084614</v>
      </c>
      <c r="E32" s="85">
        <f>L27</f>
        <v>12.484916759420006</v>
      </c>
      <c r="F32" s="85">
        <f>V27</f>
        <v>9.0869075157012045</v>
      </c>
    </row>
  </sheetData>
  <mergeCells count="1">
    <mergeCell ref="A1:A3"/>
  </mergeCell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DAAE6-1994-48CC-A562-41FC102A66D8}">
  <dimension ref="A1:BK59"/>
  <sheetViews>
    <sheetView zoomScale="70" zoomScaleNormal="70" workbookViewId="0">
      <selection activeCell="AW1" sqref="AW1"/>
    </sheetView>
  </sheetViews>
  <sheetFormatPr defaultRowHeight="14.45"/>
  <cols>
    <col min="1" max="1" width="13.85546875" customWidth="1"/>
    <col min="2" max="2" width="26.7109375" customWidth="1"/>
    <col min="3" max="3" width="9.85546875" customWidth="1"/>
    <col min="5" max="5" width="9" bestFit="1" customWidth="1"/>
    <col min="6" max="6" width="18.140625" customWidth="1"/>
    <col min="13" max="13" width="17.42578125" customWidth="1"/>
    <col min="23" max="23" width="10.140625" customWidth="1"/>
    <col min="34" max="34" width="9" bestFit="1" customWidth="1"/>
    <col min="35" max="36" width="15.28515625" customWidth="1"/>
    <col min="37" max="37" width="11.85546875" customWidth="1"/>
  </cols>
  <sheetData>
    <row r="1" spans="1:63">
      <c r="A1" s="108"/>
      <c r="B1" s="108"/>
      <c r="C1" s="108"/>
      <c r="D1" s="108"/>
      <c r="H1" s="9"/>
      <c r="M1" t="s">
        <v>83</v>
      </c>
      <c r="N1" s="61">
        <v>7142</v>
      </c>
      <c r="AA1" t="s">
        <v>84</v>
      </c>
      <c r="AC1" t="s">
        <v>85</v>
      </c>
      <c r="AD1" s="64" t="s">
        <v>86</v>
      </c>
      <c r="AH1" t="s">
        <v>85</v>
      </c>
      <c r="AJ1" t="s">
        <v>87</v>
      </c>
      <c r="AP1" t="s">
        <v>88</v>
      </c>
      <c r="AQ1" s="28"/>
      <c r="AR1" s="115"/>
      <c r="AS1" s="115"/>
      <c r="AT1" s="29"/>
      <c r="AW1" s="9" t="s">
        <v>89</v>
      </c>
      <c r="BK1" t="s">
        <v>90</v>
      </c>
    </row>
    <row r="2" spans="1:63" ht="57.6">
      <c r="A2" s="114"/>
      <c r="B2" s="114"/>
      <c r="C2" s="59"/>
      <c r="D2" s="60"/>
      <c r="H2" s="65"/>
      <c r="Q2" t="s">
        <v>15</v>
      </c>
      <c r="Y2" s="43"/>
      <c r="AA2" s="61">
        <v>123</v>
      </c>
      <c r="AC2" t="s">
        <v>91</v>
      </c>
      <c r="AD2" t="s">
        <v>92</v>
      </c>
      <c r="AE2" s="17" t="s">
        <v>93</v>
      </c>
      <c r="AF2" s="17"/>
      <c r="AG2" s="17"/>
      <c r="AH2" t="s">
        <v>91</v>
      </c>
      <c r="AI2" s="17" t="s">
        <v>94</v>
      </c>
      <c r="AJ2" s="17" t="s">
        <v>95</v>
      </c>
      <c r="AK2" s="17" t="s">
        <v>96</v>
      </c>
      <c r="AL2" s="17" t="s">
        <v>97</v>
      </c>
      <c r="AP2" t="s">
        <v>91</v>
      </c>
      <c r="AQ2" t="s">
        <v>98</v>
      </c>
      <c r="AR2" t="s">
        <v>99</v>
      </c>
      <c r="AS2" t="s">
        <v>83</v>
      </c>
      <c r="AT2" t="s">
        <v>99</v>
      </c>
      <c r="AU2" t="s">
        <v>100</v>
      </c>
    </row>
    <row r="3" spans="1:63" s="12" customFormat="1" ht="28.9">
      <c r="A3" s="114"/>
      <c r="B3" s="114"/>
      <c r="C3" s="59"/>
      <c r="D3" s="60"/>
      <c r="E3" s="11"/>
      <c r="F3" s="11"/>
      <c r="G3" s="66"/>
      <c r="L3" s="12" t="s">
        <v>91</v>
      </c>
      <c r="M3" s="12" t="s">
        <v>83</v>
      </c>
      <c r="N3" s="12" t="s">
        <v>101</v>
      </c>
      <c r="Q3" t="s">
        <v>91</v>
      </c>
      <c r="R3"/>
      <c r="S3" t="s">
        <v>83</v>
      </c>
      <c r="T3" t="s">
        <v>100</v>
      </c>
      <c r="U3" s="17" t="s">
        <v>102</v>
      </c>
      <c r="V3" t="s">
        <v>98</v>
      </c>
      <c r="W3" s="17" t="s">
        <v>103</v>
      </c>
      <c r="X3" s="17"/>
      <c r="Y3" s="17" t="s">
        <v>104</v>
      </c>
      <c r="Z3"/>
      <c r="AA3"/>
      <c r="AB3"/>
      <c r="AC3" s="18" t="s">
        <v>105</v>
      </c>
      <c r="AD3" s="15">
        <f>SUM(S4:S5)</f>
        <v>215</v>
      </c>
      <c r="AE3">
        <f>AD3</f>
        <v>215</v>
      </c>
      <c r="AF3"/>
      <c r="AG3"/>
      <c r="AH3" s="18" t="s">
        <v>105</v>
      </c>
      <c r="AI3">
        <f t="shared" ref="AI3:AI4" si="0">AJ3</f>
        <v>0.13423062931975263</v>
      </c>
      <c r="AJ3" s="15">
        <f>(AR14*$AJ$16)</f>
        <v>0.13423062931975263</v>
      </c>
      <c r="AK3" s="62">
        <f>AI3/AE3</f>
        <v>6.2432850846396576E-4</v>
      </c>
      <c r="AL3">
        <f>AI3/$AI$12</f>
        <v>1.0873504893077202E-3</v>
      </c>
      <c r="AP3" t="s">
        <v>106</v>
      </c>
      <c r="AQ3">
        <f>SUM(AJ3:AJ4)</f>
        <v>0.44743543106584216</v>
      </c>
      <c r="AR3">
        <v>8.9919072834448999E-4</v>
      </c>
      <c r="AS3">
        <f>AD3+AD4</f>
        <v>550</v>
      </c>
      <c r="AT3">
        <v>2.8152439576355572E-2</v>
      </c>
      <c r="AU3">
        <f>AQ3/AS3</f>
        <v>8.1351896557425852E-4</v>
      </c>
    </row>
    <row r="4" spans="1:63" s="12" customFormat="1" ht="15.4">
      <c r="A4" s="114"/>
      <c r="B4" s="114"/>
      <c r="C4" s="59"/>
      <c r="D4" s="60"/>
      <c r="E4" s="11"/>
      <c r="F4" s="11"/>
      <c r="L4" s="2" t="s">
        <v>47</v>
      </c>
      <c r="M4" s="12">
        <v>118</v>
      </c>
      <c r="N4" s="12">
        <f>M4/$M$21</f>
        <v>1.6498881431767337E-2</v>
      </c>
      <c r="Q4" s="2" t="s">
        <v>47</v>
      </c>
      <c r="R4"/>
      <c r="S4">
        <f>M4</f>
        <v>118</v>
      </c>
      <c r="T4">
        <f>AK3</f>
        <v>6.2432850846396576E-4</v>
      </c>
      <c r="U4">
        <f>(T4*S4)</f>
        <v>7.367076399874796E-2</v>
      </c>
      <c r="V4">
        <f>($AA$2/$U$21)*U4</f>
        <v>7.3403744194475595E-2</v>
      </c>
      <c r="W4">
        <f>'YLL worksheet'!O4</f>
        <v>0.10905230865879588</v>
      </c>
      <c r="X4"/>
      <c r="Y4">
        <f>V4/$V$21</f>
        <v>5.9677840808516739E-4</v>
      </c>
      <c r="Z4"/>
      <c r="AA4"/>
      <c r="AB4"/>
      <c r="AC4" s="19" t="s">
        <v>107</v>
      </c>
      <c r="AD4" s="15">
        <f>SUM(S6:S7)</f>
        <v>335</v>
      </c>
      <c r="AE4">
        <f t="shared" ref="AE4:AE7" si="1">AD4</f>
        <v>335</v>
      </c>
      <c r="AF4"/>
      <c r="AG4"/>
      <c r="AH4" s="19" t="s">
        <v>107</v>
      </c>
      <c r="AI4">
        <f t="shared" si="0"/>
        <v>0.3132048017460895</v>
      </c>
      <c r="AJ4" s="15">
        <f>(AR15*$AJ$16)</f>
        <v>0.3132048017460895</v>
      </c>
      <c r="AK4" s="62">
        <f t="shared" ref="AK4:AK11" si="2">AI4/AE4</f>
        <v>9.3493970670474483E-4</v>
      </c>
      <c r="AL4">
        <f t="shared" ref="AL4:AL13" si="3">AI4/$AI$12</f>
        <v>2.5371511417180137E-3</v>
      </c>
      <c r="AP4" t="s">
        <v>108</v>
      </c>
      <c r="AQ4">
        <f>SUM(AJ5:AJ8)</f>
        <v>49</v>
      </c>
      <c r="AR4">
        <v>9.072915457169628E-2</v>
      </c>
      <c r="AS4">
        <f>SUM(AD5:AD8)</f>
        <v>5812</v>
      </c>
      <c r="AT4">
        <v>0.68727558009716061</v>
      </c>
      <c r="AU4">
        <f t="shared" ref="AU4:AU5" si="4">AQ4/AS4</f>
        <v>8.4308327598072944E-3</v>
      </c>
    </row>
    <row r="5" spans="1:63" s="12" customFormat="1" ht="15.4">
      <c r="A5" s="114"/>
      <c r="B5" s="114"/>
      <c r="C5" s="59"/>
      <c r="D5" s="60"/>
      <c r="E5" s="11"/>
      <c r="F5" s="11"/>
      <c r="L5" s="8" t="s">
        <v>48</v>
      </c>
      <c r="M5" s="12">
        <v>97</v>
      </c>
      <c r="N5" s="12">
        <f t="shared" ref="N5:N21" si="5">M5/$M$21</f>
        <v>1.3562639821029083E-2</v>
      </c>
      <c r="Q5" s="8" t="s">
        <v>48</v>
      </c>
      <c r="R5"/>
      <c r="S5">
        <f t="shared" ref="S5:S20" si="6">M5</f>
        <v>97</v>
      </c>
      <c r="T5">
        <f>AK3</f>
        <v>6.2432850846396576E-4</v>
      </c>
      <c r="U5">
        <f t="shared" ref="U5:U20" si="7">(T5*S5)</f>
        <v>6.0559865321004679E-2</v>
      </c>
      <c r="V5">
        <f t="shared" ref="V5:V21" si="8">($AA$2/$U$21)*U5</f>
        <v>6.0340365990374005E-2</v>
      </c>
      <c r="W5">
        <f>'YLL worksheet'!O5</f>
        <v>0.10602354291361206</v>
      </c>
      <c r="X5"/>
      <c r="Y5">
        <f t="shared" ref="Y5:Y20" si="9">V5/$V$21</f>
        <v>4.9057208122255287E-4</v>
      </c>
      <c r="Z5"/>
      <c r="AA5"/>
      <c r="AB5"/>
      <c r="AC5" s="18" t="s">
        <v>109</v>
      </c>
      <c r="AD5" s="15">
        <f>SUM(S8:S9)</f>
        <v>1459</v>
      </c>
      <c r="AE5">
        <f t="shared" si="1"/>
        <v>1459</v>
      </c>
      <c r="AF5"/>
      <c r="AG5"/>
      <c r="AH5" s="18" t="s">
        <v>109</v>
      </c>
      <c r="AI5">
        <f>AJ5</f>
        <v>1</v>
      </c>
      <c r="AJ5" s="15">
        <v>1</v>
      </c>
      <c r="AK5" s="62">
        <f t="shared" si="2"/>
        <v>6.8540095956134343E-4</v>
      </c>
      <c r="AL5">
        <f t="shared" si="3"/>
        <v>8.1006138078778388E-3</v>
      </c>
      <c r="AP5" t="s">
        <v>110</v>
      </c>
      <c r="AQ5">
        <f>SUM(AJ9:AJ11)-AI15</f>
        <v>74</v>
      </c>
      <c r="AR5">
        <v>0.90837165469995929</v>
      </c>
      <c r="AS5">
        <f>SUM(AD9:AD11)-AD15</f>
        <v>790</v>
      </c>
      <c r="AT5">
        <v>0.28457198032648379</v>
      </c>
      <c r="AU5">
        <f t="shared" si="4"/>
        <v>9.3670886075949367E-2</v>
      </c>
    </row>
    <row r="6" spans="1:63" s="12" customFormat="1" ht="15.4">
      <c r="A6" s="114"/>
      <c r="B6" s="114"/>
      <c r="C6" s="59"/>
      <c r="D6" s="60"/>
      <c r="E6" s="11"/>
      <c r="F6" s="11"/>
      <c r="L6" s="8" t="s">
        <v>49</v>
      </c>
      <c r="M6" s="12">
        <v>141</v>
      </c>
      <c r="N6" s="12">
        <f t="shared" si="5"/>
        <v>1.971476510067114E-2</v>
      </c>
      <c r="Q6" s="8" t="s">
        <v>49</v>
      </c>
      <c r="R6"/>
      <c r="S6">
        <f t="shared" si="6"/>
        <v>141</v>
      </c>
      <c r="T6">
        <f>AK4</f>
        <v>9.3493970670474483E-4</v>
      </c>
      <c r="U6">
        <f t="shared" si="7"/>
        <v>0.13182649864536902</v>
      </c>
      <c r="V6">
        <f t="shared" si="8"/>
        <v>0.13134869328601648</v>
      </c>
      <c r="W6">
        <f>'YLL worksheet'!O6</f>
        <v>0.10064259403794125</v>
      </c>
      <c r="X6"/>
      <c r="Y6">
        <f t="shared" si="9"/>
        <v>1.0678755551708657E-3</v>
      </c>
      <c r="Z6"/>
      <c r="AA6"/>
      <c r="AB6"/>
      <c r="AC6" s="18" t="s">
        <v>111</v>
      </c>
      <c r="AD6" s="15">
        <f>SUM(S10:S11)</f>
        <v>1933</v>
      </c>
      <c r="AE6">
        <f t="shared" si="1"/>
        <v>1933</v>
      </c>
      <c r="AF6"/>
      <c r="AG6"/>
      <c r="AH6" s="18" t="s">
        <v>111</v>
      </c>
      <c r="AI6">
        <f t="shared" ref="AI6:AI8" si="10">AJ6</f>
        <v>6</v>
      </c>
      <c r="AJ6" s="15">
        <v>6</v>
      </c>
      <c r="AK6" s="62">
        <f t="shared" si="2"/>
        <v>3.1039834454216243E-3</v>
      </c>
      <c r="AL6">
        <f t="shared" si="3"/>
        <v>4.8603682847267037E-2</v>
      </c>
      <c r="AP6" t="s">
        <v>64</v>
      </c>
      <c r="AQ6">
        <f>SUM(AQ3:AQ5)</f>
        <v>123.44743543106584</v>
      </c>
      <c r="AR6">
        <v>1</v>
      </c>
      <c r="AS6">
        <f>SUM(AS3:AS5)</f>
        <v>7152</v>
      </c>
      <c r="AT6">
        <v>1</v>
      </c>
      <c r="AU6">
        <f t="shared" ref="AU6" si="11">AQ6/AS6</f>
        <v>1.7260547459600928E-2</v>
      </c>
    </row>
    <row r="7" spans="1:63" s="12" customFormat="1" ht="15.4">
      <c r="A7" s="114"/>
      <c r="B7" s="114"/>
      <c r="C7" s="59"/>
      <c r="D7" s="60"/>
      <c r="E7" s="11"/>
      <c r="F7" s="11"/>
      <c r="L7" s="2" t="s">
        <v>50</v>
      </c>
      <c r="M7" s="12">
        <v>194</v>
      </c>
      <c r="N7" s="12">
        <f t="shared" si="5"/>
        <v>2.7125279642058166E-2</v>
      </c>
      <c r="Q7" s="2" t="s">
        <v>50</v>
      </c>
      <c r="R7"/>
      <c r="S7">
        <f t="shared" si="6"/>
        <v>194</v>
      </c>
      <c r="T7">
        <f>AK4</f>
        <v>9.3493970670474483E-4</v>
      </c>
      <c r="U7">
        <f t="shared" si="7"/>
        <v>0.18137830310072051</v>
      </c>
      <c r="V7">
        <f t="shared" si="8"/>
        <v>0.18072089714529926</v>
      </c>
      <c r="W7">
        <f>'YLL worksheet'!O7</f>
        <v>8.6860257166943622E-2</v>
      </c>
      <c r="X7"/>
      <c r="Y7">
        <f t="shared" si="9"/>
        <v>1.4692755865471484E-3</v>
      </c>
      <c r="Z7"/>
      <c r="AA7"/>
      <c r="AB7"/>
      <c r="AC7" t="s">
        <v>112</v>
      </c>
      <c r="AD7" s="15">
        <f>SUM(S12:S13)</f>
        <v>1419</v>
      </c>
      <c r="AE7">
        <f t="shared" si="1"/>
        <v>1419</v>
      </c>
      <c r="AF7"/>
      <c r="AG7"/>
      <c r="AH7" t="s">
        <v>112</v>
      </c>
      <c r="AI7">
        <f t="shared" si="10"/>
        <v>19</v>
      </c>
      <c r="AJ7" s="15">
        <v>19</v>
      </c>
      <c r="AK7" s="62">
        <f t="shared" si="2"/>
        <v>1.3389711064129669E-2</v>
      </c>
      <c r="AL7">
        <f t="shared" si="3"/>
        <v>0.15391166234967896</v>
      </c>
    </row>
    <row r="8" spans="1:63" s="12" customFormat="1" ht="15.4">
      <c r="A8" s="114"/>
      <c r="B8" s="114"/>
      <c r="C8" s="59"/>
      <c r="D8" s="60"/>
      <c r="E8" s="11"/>
      <c r="F8" s="11"/>
      <c r="L8" s="2" t="s">
        <v>51</v>
      </c>
      <c r="M8" s="12">
        <v>571</v>
      </c>
      <c r="N8" s="12">
        <f t="shared" si="5"/>
        <v>7.983780760626398E-2</v>
      </c>
      <c r="Q8" s="2" t="s">
        <v>51</v>
      </c>
      <c r="R8"/>
      <c r="S8">
        <f t="shared" si="6"/>
        <v>571</v>
      </c>
      <c r="T8">
        <f>AK5</f>
        <v>6.8540095956134343E-4</v>
      </c>
      <c r="U8">
        <f t="shared" si="7"/>
        <v>0.39136394790952711</v>
      </c>
      <c r="V8">
        <f t="shared" si="8"/>
        <v>0.38994544864200437</v>
      </c>
      <c r="W8">
        <f>'YLL worksheet'!O8</f>
        <v>8.9115355387021117E-2</v>
      </c>
      <c r="X8"/>
      <c r="Y8">
        <f t="shared" si="9"/>
        <v>3.1702882003414989E-3</v>
      </c>
      <c r="Z8"/>
      <c r="AA8"/>
      <c r="AB8"/>
      <c r="AC8" s="18" t="s">
        <v>113</v>
      </c>
      <c r="AD8" s="15">
        <f>SUM(S14:S15)</f>
        <v>1001</v>
      </c>
      <c r="AE8">
        <f>AD8</f>
        <v>1001</v>
      </c>
      <c r="AF8"/>
      <c r="AG8"/>
      <c r="AH8" s="18" t="s">
        <v>113</v>
      </c>
      <c r="AI8">
        <f t="shared" si="10"/>
        <v>23</v>
      </c>
      <c r="AJ8" s="15">
        <v>23</v>
      </c>
      <c r="AK8" s="62">
        <f t="shared" si="2"/>
        <v>2.2977022977022976E-2</v>
      </c>
      <c r="AL8">
        <f t="shared" si="3"/>
        <v>0.18631411758119032</v>
      </c>
    </row>
    <row r="9" spans="1:63" s="12" customFormat="1" ht="15.4">
      <c r="A9" s="114"/>
      <c r="B9" s="114"/>
      <c r="C9" s="59"/>
      <c r="D9" s="60"/>
      <c r="E9" s="11"/>
      <c r="F9" s="11"/>
      <c r="L9" s="2" t="s">
        <v>52</v>
      </c>
      <c r="M9" s="12">
        <v>888</v>
      </c>
      <c r="N9" s="12">
        <f t="shared" si="5"/>
        <v>0.12416107382550336</v>
      </c>
      <c r="Q9" s="2" t="s">
        <v>52</v>
      </c>
      <c r="R9"/>
      <c r="S9">
        <f t="shared" si="6"/>
        <v>888</v>
      </c>
      <c r="T9">
        <f>AK5</f>
        <v>6.8540095956134343E-4</v>
      </c>
      <c r="U9">
        <f t="shared" si="7"/>
        <v>0.608636052090473</v>
      </c>
      <c r="V9">
        <f t="shared" si="8"/>
        <v>0.60643004972697001</v>
      </c>
      <c r="W9">
        <f>'YLL worksheet'!O9</f>
        <v>9.3990948958051254E-2</v>
      </c>
      <c r="X9"/>
      <c r="Y9">
        <f t="shared" si="9"/>
        <v>4.9303256075363417E-3</v>
      </c>
      <c r="Z9"/>
      <c r="AA9"/>
      <c r="AB9"/>
      <c r="AC9" s="18" t="s">
        <v>114</v>
      </c>
      <c r="AD9" s="15">
        <f>SUM(S16:S17)</f>
        <v>480</v>
      </c>
      <c r="AE9">
        <f>AD9/$AD$13*$AS$5</f>
        <v>480</v>
      </c>
      <c r="AF9"/>
      <c r="AG9"/>
      <c r="AH9" s="18" t="s">
        <v>114</v>
      </c>
      <c r="AI9">
        <f>AJ9/$AJ$13*$AQ$5</f>
        <v>30</v>
      </c>
      <c r="AJ9" s="15">
        <v>30</v>
      </c>
      <c r="AK9" s="62">
        <f t="shared" si="2"/>
        <v>6.25E-2</v>
      </c>
      <c r="AL9">
        <f t="shared" si="3"/>
        <v>0.24301841423633519</v>
      </c>
    </row>
    <row r="10" spans="1:63" s="12" customFormat="1" ht="15.4">
      <c r="A10" s="114"/>
      <c r="B10" s="114"/>
      <c r="C10" s="59"/>
      <c r="D10" s="60"/>
      <c r="E10" s="11"/>
      <c r="F10" s="11"/>
      <c r="G10" s="30"/>
      <c r="I10" s="30"/>
      <c r="L10" s="2" t="s">
        <v>53</v>
      </c>
      <c r="M10" s="12">
        <v>991</v>
      </c>
      <c r="N10" s="12">
        <f t="shared" si="5"/>
        <v>0.13856263982102909</v>
      </c>
      <c r="Q10" s="2" t="s">
        <v>53</v>
      </c>
      <c r="R10"/>
      <c r="S10">
        <f t="shared" si="6"/>
        <v>991</v>
      </c>
      <c r="T10">
        <f>AK6</f>
        <v>3.1039834454216243E-3</v>
      </c>
      <c r="U10">
        <f t="shared" si="7"/>
        <v>3.0760475944128296</v>
      </c>
      <c r="V10">
        <f t="shared" si="8"/>
        <v>3.0648984548897675</v>
      </c>
      <c r="W10">
        <f>'YLL worksheet'!O10</f>
        <v>8.9340617181885476E-2</v>
      </c>
      <c r="X10"/>
      <c r="Y10">
        <f t="shared" si="9"/>
        <v>2.491787361698998E-2</v>
      </c>
      <c r="Z10"/>
      <c r="AA10"/>
      <c r="AB10"/>
      <c r="AC10" s="18" t="s">
        <v>115</v>
      </c>
      <c r="AD10" s="15">
        <f>SUM(S18:S19)</f>
        <v>231</v>
      </c>
      <c r="AE10">
        <f t="shared" ref="AE10:AE11" si="12">AD10/$AD$13*$AS$5</f>
        <v>231</v>
      </c>
      <c r="AF10"/>
      <c r="AG10"/>
      <c r="AH10" s="18" t="s">
        <v>115</v>
      </c>
      <c r="AI10">
        <f t="shared" ref="AI10:AI11" si="13">AJ10/$AJ$13*$AQ$5</f>
        <v>28</v>
      </c>
      <c r="AJ10" s="15">
        <v>28</v>
      </c>
      <c r="AK10" s="62">
        <f t="shared" si="2"/>
        <v>0.12121212121212122</v>
      </c>
      <c r="AL10">
        <f t="shared" si="3"/>
        <v>0.22681718662057951</v>
      </c>
      <c r="AO10" s="9" t="s">
        <v>116</v>
      </c>
    </row>
    <row r="11" spans="1:63" s="12" customFormat="1" ht="15.4">
      <c r="A11" s="114"/>
      <c r="B11" s="114"/>
      <c r="C11" s="59"/>
      <c r="D11" s="60"/>
      <c r="E11" s="11"/>
      <c r="F11" s="11"/>
      <c r="L11" s="2" t="s">
        <v>54</v>
      </c>
      <c r="M11" s="12">
        <v>942</v>
      </c>
      <c r="N11" s="12">
        <f t="shared" si="5"/>
        <v>0.13171140939597314</v>
      </c>
      <c r="Q11" s="2" t="s">
        <v>54</v>
      </c>
      <c r="R11"/>
      <c r="S11">
        <f t="shared" si="6"/>
        <v>942</v>
      </c>
      <c r="T11">
        <f>AK6</f>
        <v>3.1039834454216243E-3</v>
      </c>
      <c r="U11">
        <f t="shared" si="7"/>
        <v>2.92395240558717</v>
      </c>
      <c r="V11">
        <f t="shared" si="8"/>
        <v>2.913354535324078</v>
      </c>
      <c r="W11">
        <f>'YLL worksheet'!O11</f>
        <v>7.1343767658093166E-2</v>
      </c>
      <c r="X11"/>
      <c r="Y11">
        <f t="shared" si="9"/>
        <v>2.3685809230277056E-2</v>
      </c>
      <c r="Z11"/>
      <c r="AA11"/>
      <c r="AB11"/>
      <c r="AC11" t="s">
        <v>63</v>
      </c>
      <c r="AD11" s="15">
        <f>S20</f>
        <v>79</v>
      </c>
      <c r="AE11">
        <f t="shared" si="12"/>
        <v>79</v>
      </c>
      <c r="AF11"/>
      <c r="AG11"/>
      <c r="AH11" t="s">
        <v>63</v>
      </c>
      <c r="AI11">
        <f t="shared" si="13"/>
        <v>16</v>
      </c>
      <c r="AJ11" s="15">
        <f>14+2</f>
        <v>16</v>
      </c>
      <c r="AK11" s="62">
        <f t="shared" si="2"/>
        <v>0.20253164556962025</v>
      </c>
      <c r="AL11">
        <f t="shared" si="3"/>
        <v>0.12960982092604542</v>
      </c>
    </row>
    <row r="12" spans="1:63" s="12" customFormat="1" ht="15.4">
      <c r="A12" s="114"/>
      <c r="B12" s="114"/>
      <c r="C12" s="59"/>
      <c r="D12" s="60"/>
      <c r="E12" s="11"/>
      <c r="F12" s="11"/>
      <c r="L12" s="2" t="s">
        <v>55</v>
      </c>
      <c r="M12" s="12">
        <v>754</v>
      </c>
      <c r="N12" s="12">
        <f t="shared" si="5"/>
        <v>0.10542505592841163</v>
      </c>
      <c r="Q12" s="2" t="s">
        <v>55</v>
      </c>
      <c r="R12"/>
      <c r="S12">
        <f t="shared" si="6"/>
        <v>754</v>
      </c>
      <c r="T12">
        <f>AK7</f>
        <v>1.3389711064129669E-2</v>
      </c>
      <c r="U12">
        <f t="shared" si="7"/>
        <v>10.095842142353771</v>
      </c>
      <c r="V12">
        <f t="shared" si="8"/>
        <v>10.059249746042232</v>
      </c>
      <c r="W12">
        <f>'YLL worksheet'!O12</f>
        <v>5.4304834394490895E-2</v>
      </c>
      <c r="X12"/>
      <c r="Y12">
        <f t="shared" si="9"/>
        <v>8.1782518260505949E-2</v>
      </c>
      <c r="Z12"/>
      <c r="AA12"/>
      <c r="AB12"/>
      <c r="AC12"/>
      <c r="AD12">
        <f>SUM(AD3:AD11)</f>
        <v>7152</v>
      </c>
      <c r="AE12">
        <f>SUM(AE3:AE11)</f>
        <v>7152</v>
      </c>
      <c r="AF12"/>
      <c r="AG12"/>
      <c r="AH12"/>
      <c r="AI12">
        <f>SUM(AI3:AI11)</f>
        <v>123.44743543106584</v>
      </c>
      <c r="AJ12">
        <f>SUM(AJ3:AJ11)</f>
        <v>123.44743543106584</v>
      </c>
      <c r="AK12">
        <f t="shared" ref="AK12:AK13" si="14">AI12/AE12</f>
        <v>1.7260547459600928E-2</v>
      </c>
      <c r="AL12">
        <f t="shared" si="3"/>
        <v>1</v>
      </c>
    </row>
    <row r="13" spans="1:63" s="12" customFormat="1" ht="15.4">
      <c r="A13" s="114"/>
      <c r="B13" s="114"/>
      <c r="C13" s="59"/>
      <c r="D13" s="60"/>
      <c r="E13" s="11"/>
      <c r="F13" s="11"/>
      <c r="L13" s="2" t="s">
        <v>56</v>
      </c>
      <c r="M13" s="12">
        <v>665</v>
      </c>
      <c r="N13" s="12">
        <f t="shared" si="5"/>
        <v>9.2980984340044745E-2</v>
      </c>
      <c r="Q13" s="2" t="s">
        <v>56</v>
      </c>
      <c r="R13"/>
      <c r="S13">
        <f t="shared" si="6"/>
        <v>665</v>
      </c>
      <c r="T13">
        <f>AK7</f>
        <v>1.3389711064129669E-2</v>
      </c>
      <c r="U13">
        <f t="shared" si="7"/>
        <v>8.9041578576462292</v>
      </c>
      <c r="V13">
        <f t="shared" si="8"/>
        <v>8.8718847229682805</v>
      </c>
      <c r="W13">
        <f>'YLL worksheet'!O13</f>
        <v>4.5799363580066303E-2</v>
      </c>
      <c r="X13"/>
      <c r="Y13">
        <f t="shared" si="9"/>
        <v>7.2129144089173008E-2</v>
      </c>
      <c r="Z13"/>
      <c r="AA13"/>
      <c r="AB13"/>
      <c r="AC13" t="s">
        <v>110</v>
      </c>
      <c r="AD13">
        <f>SUM(AD9:AD11)</f>
        <v>790</v>
      </c>
      <c r="AE13">
        <f t="shared" ref="AE13" si="15">SUM(AE9:AE11)</f>
        <v>790</v>
      </c>
      <c r="AF13"/>
      <c r="AG13"/>
      <c r="AH13" t="s">
        <v>110</v>
      </c>
      <c r="AI13">
        <f>SUM(AI9:AI11)</f>
        <v>74</v>
      </c>
      <c r="AJ13">
        <f>SUM(AJ9:AJ11)</f>
        <v>74</v>
      </c>
      <c r="AK13">
        <f t="shared" si="14"/>
        <v>9.3670886075949367E-2</v>
      </c>
      <c r="AL13">
        <f t="shared" si="3"/>
        <v>0.59944542178296012</v>
      </c>
      <c r="AP13" s="12" t="s">
        <v>117</v>
      </c>
      <c r="AQ13" s="12" t="s">
        <v>118</v>
      </c>
      <c r="AR13" s="12" t="s">
        <v>119</v>
      </c>
      <c r="AS13" s="12" t="s">
        <v>120</v>
      </c>
    </row>
    <row r="14" spans="1:63" s="12" customFormat="1" ht="15.4">
      <c r="A14" s="114"/>
      <c r="B14" s="114"/>
      <c r="C14" s="59"/>
      <c r="D14" s="60"/>
      <c r="E14" s="11"/>
      <c r="F14" s="11"/>
      <c r="L14" s="2" t="s">
        <v>57</v>
      </c>
      <c r="M14" s="12">
        <v>570</v>
      </c>
      <c r="N14" s="12">
        <f t="shared" si="5"/>
        <v>7.9697986577181204E-2</v>
      </c>
      <c r="Q14" s="2" t="s">
        <v>57</v>
      </c>
      <c r="R14"/>
      <c r="S14">
        <f t="shared" si="6"/>
        <v>570</v>
      </c>
      <c r="T14">
        <f>AK8</f>
        <v>2.2977022977022976E-2</v>
      </c>
      <c r="U14">
        <f t="shared" si="7"/>
        <v>13.096903096903096</v>
      </c>
      <c r="V14">
        <f t="shared" si="8"/>
        <v>13.049433350266986</v>
      </c>
      <c r="W14">
        <f>'YLL worksheet'!O14</f>
        <v>3.755237248149474E-2</v>
      </c>
      <c r="X14"/>
      <c r="Y14">
        <f t="shared" si="9"/>
        <v>0.10609295406721127</v>
      </c>
      <c r="Z14"/>
      <c r="AA14"/>
      <c r="AB14"/>
      <c r="AC14"/>
      <c r="AD14"/>
      <c r="AE14"/>
      <c r="AF14"/>
      <c r="AG14"/>
      <c r="AH14"/>
      <c r="AI14"/>
      <c r="AJ14"/>
      <c r="AK14"/>
      <c r="AL14"/>
      <c r="AP14" s="103" t="s">
        <v>105</v>
      </c>
      <c r="AQ14" s="12">
        <v>3</v>
      </c>
      <c r="AR14" s="12">
        <f>AQ14/$AQ$17</f>
        <v>1.0913059294288831E-3</v>
      </c>
      <c r="AS14" s="12">
        <f>AQ14/$AQ$16</f>
        <v>0.3</v>
      </c>
    </row>
    <row r="15" spans="1:63" s="12" customFormat="1" ht="15.4">
      <c r="A15" s="114"/>
      <c r="B15" s="114"/>
      <c r="C15" s="59"/>
      <c r="D15" s="60"/>
      <c r="E15" s="11"/>
      <c r="F15" s="11"/>
      <c r="G15" s="11"/>
      <c r="L15" s="2" t="s">
        <v>58</v>
      </c>
      <c r="M15" s="12">
        <v>431</v>
      </c>
      <c r="N15" s="12">
        <f t="shared" si="5"/>
        <v>6.0262863534675616E-2</v>
      </c>
      <c r="Q15" s="2" t="s">
        <v>58</v>
      </c>
      <c r="R15"/>
      <c r="S15">
        <f t="shared" si="6"/>
        <v>431</v>
      </c>
      <c r="T15">
        <f>AK8</f>
        <v>2.2977022977022976E-2</v>
      </c>
      <c r="U15">
        <f t="shared" si="7"/>
        <v>9.9030969030969018</v>
      </c>
      <c r="V15">
        <f t="shared" si="8"/>
        <v>9.8672031122194213</v>
      </c>
      <c r="W15">
        <f>'YLL worksheet'!O15</f>
        <v>3.3354158755265151E-2</v>
      </c>
      <c r="X15"/>
      <c r="Y15">
        <f t="shared" si="9"/>
        <v>8.0221163513979038E-2</v>
      </c>
      <c r="Z15"/>
      <c r="AA15"/>
      <c r="AB15"/>
      <c r="AC15" t="s">
        <v>121</v>
      </c>
      <c r="AD15" s="15">
        <v>0</v>
      </c>
      <c r="AF15"/>
      <c r="AG15"/>
      <c r="AH15"/>
      <c r="AI15" s="15">
        <v>0</v>
      </c>
      <c r="AJ15"/>
      <c r="AK15"/>
      <c r="AL15"/>
      <c r="AP15" s="104" t="s">
        <v>107</v>
      </c>
      <c r="AQ15" s="12">
        <v>7</v>
      </c>
      <c r="AR15" s="12">
        <f t="shared" ref="AR15:AR16" si="16">AQ15/$AQ$17</f>
        <v>2.5463805020007274E-3</v>
      </c>
      <c r="AS15" s="12">
        <f>AQ15/$AQ$16</f>
        <v>0.7</v>
      </c>
    </row>
    <row r="16" spans="1:63" ht="15.4">
      <c r="A16" s="114"/>
      <c r="B16" s="114"/>
      <c r="C16" s="59"/>
      <c r="D16" s="60"/>
      <c r="F16" s="11"/>
      <c r="L16" s="2" t="s">
        <v>59</v>
      </c>
      <c r="M16">
        <v>281</v>
      </c>
      <c r="N16" s="12">
        <f t="shared" si="5"/>
        <v>3.9289709172259511E-2</v>
      </c>
      <c r="Q16" s="2" t="s">
        <v>59</v>
      </c>
      <c r="S16">
        <f t="shared" si="6"/>
        <v>281</v>
      </c>
      <c r="T16">
        <f>AK9</f>
        <v>6.25E-2</v>
      </c>
      <c r="U16">
        <f t="shared" si="7"/>
        <v>17.5625</v>
      </c>
      <c r="V16">
        <f t="shared" si="8"/>
        <v>17.498844690105113</v>
      </c>
      <c r="W16">
        <f>'YLL worksheet'!O16</f>
        <v>2.7152682940613355E-2</v>
      </c>
      <c r="Y16">
        <f t="shared" si="9"/>
        <v>0.14226703000085458</v>
      </c>
      <c r="AI16" t="s">
        <v>69</v>
      </c>
      <c r="AJ16">
        <v>123</v>
      </c>
      <c r="AP16" s="12" t="s">
        <v>106</v>
      </c>
      <c r="AQ16">
        <f>AQ14+AQ15</f>
        <v>10</v>
      </c>
      <c r="AR16" s="12">
        <f t="shared" si="16"/>
        <v>3.6376864314296106E-3</v>
      </c>
    </row>
    <row r="17" spans="1:62" ht="15.4">
      <c r="A17" s="114"/>
      <c r="B17" s="114"/>
      <c r="C17" s="59"/>
      <c r="D17" s="60"/>
      <c r="F17" s="11"/>
      <c r="G17" s="15"/>
      <c r="L17" s="2" t="s">
        <v>60</v>
      </c>
      <c r="M17">
        <v>199</v>
      </c>
      <c r="N17" s="12">
        <f t="shared" si="5"/>
        <v>2.7824384787472036E-2</v>
      </c>
      <c r="Q17" s="2" t="s">
        <v>60</v>
      </c>
      <c r="S17">
        <f t="shared" si="6"/>
        <v>199</v>
      </c>
      <c r="T17">
        <f>AK9</f>
        <v>6.25E-2</v>
      </c>
      <c r="U17">
        <f t="shared" si="7"/>
        <v>12.4375</v>
      </c>
      <c r="V17">
        <f t="shared" si="8"/>
        <v>12.392420260964117</v>
      </c>
      <c r="W17">
        <f>'YLL worksheet'!O17</f>
        <v>2.1690328013239689E-2</v>
      </c>
      <c r="Y17">
        <f t="shared" si="9"/>
        <v>0.10075138423548063</v>
      </c>
      <c r="AP17" t="s">
        <v>122</v>
      </c>
      <c r="AQ17">
        <v>2749</v>
      </c>
    </row>
    <row r="18" spans="1:62" ht="15.4">
      <c r="A18" s="114"/>
      <c r="B18" s="114"/>
      <c r="C18" s="59"/>
      <c r="D18" s="60"/>
      <c r="F18" s="11"/>
      <c r="L18" s="2" t="s">
        <v>61</v>
      </c>
      <c r="M18">
        <v>141</v>
      </c>
      <c r="N18" s="12">
        <f t="shared" si="5"/>
        <v>1.971476510067114E-2</v>
      </c>
      <c r="Q18" s="2" t="s">
        <v>61</v>
      </c>
      <c r="S18">
        <f t="shared" si="6"/>
        <v>141</v>
      </c>
      <c r="T18">
        <f>AK10</f>
        <v>0.12121212121212122</v>
      </c>
      <c r="U18">
        <f t="shared" si="7"/>
        <v>17.09090909090909</v>
      </c>
      <c r="V18">
        <f t="shared" si="8"/>
        <v>17.028963063033377</v>
      </c>
      <c r="W18">
        <f>'YLL worksheet'!O18</f>
        <v>1.5836887429426311E-2</v>
      </c>
      <c r="Y18">
        <f t="shared" si="9"/>
        <v>0.13844685417100305</v>
      </c>
      <c r="AC18" t="s">
        <v>123</v>
      </c>
    </row>
    <row r="19" spans="1:62" ht="15.4">
      <c r="A19" s="114"/>
      <c r="B19" s="114"/>
      <c r="C19" s="59"/>
      <c r="D19" s="60"/>
      <c r="L19" s="2" t="s">
        <v>62</v>
      </c>
      <c r="M19">
        <v>90</v>
      </c>
      <c r="N19" s="12">
        <f t="shared" si="5"/>
        <v>1.2583892617449664E-2</v>
      </c>
      <c r="Q19" s="2" t="s">
        <v>62</v>
      </c>
      <c r="S19">
        <f t="shared" si="6"/>
        <v>90</v>
      </c>
      <c r="T19">
        <f>AK10</f>
        <v>0.12121212121212122</v>
      </c>
      <c r="U19">
        <f t="shared" si="7"/>
        <v>10.90909090909091</v>
      </c>
      <c r="V19">
        <f t="shared" si="8"/>
        <v>10.869550891297903</v>
      </c>
      <c r="W19">
        <f>'YLL worksheet'!O19</f>
        <v>9.3988114362126892E-3</v>
      </c>
      <c r="Y19">
        <f t="shared" si="9"/>
        <v>8.8370332449576455E-2</v>
      </c>
      <c r="AC19" t="s">
        <v>124</v>
      </c>
    </row>
    <row r="20" spans="1:62" ht="15.4">
      <c r="L20" s="2" t="s">
        <v>63</v>
      </c>
      <c r="M20">
        <v>79</v>
      </c>
      <c r="N20" s="12">
        <f t="shared" si="5"/>
        <v>1.104586129753915E-2</v>
      </c>
      <c r="Q20" s="2" t="s">
        <v>63</v>
      </c>
      <c r="S20">
        <f t="shared" si="6"/>
        <v>79</v>
      </c>
      <c r="T20">
        <f>AK11</f>
        <v>0.20253164556962025</v>
      </c>
      <c r="U20">
        <f t="shared" si="7"/>
        <v>16</v>
      </c>
      <c r="V20">
        <f t="shared" si="8"/>
        <v>15.942007973903589</v>
      </c>
      <c r="W20">
        <f>'YLL worksheet'!O20</f>
        <v>8.5411690068470554E-3</v>
      </c>
      <c r="Y20">
        <f t="shared" si="9"/>
        <v>0.12960982092604545</v>
      </c>
      <c r="AC20" t="s">
        <v>125</v>
      </c>
      <c r="AO20" s="105" t="s">
        <v>126</v>
      </c>
    </row>
    <row r="21" spans="1:62" ht="15.4">
      <c r="L21" s="6" t="s">
        <v>64</v>
      </c>
      <c r="M21">
        <f>SUM(M4:M20)</f>
        <v>7152</v>
      </c>
      <c r="N21" s="12">
        <f t="shared" si="5"/>
        <v>1</v>
      </c>
      <c r="Q21" s="6" t="s">
        <v>64</v>
      </c>
      <c r="S21">
        <f>SUM(S4:S20)</f>
        <v>7152</v>
      </c>
      <c r="T21">
        <f>AK12</f>
        <v>1.7260547459600928E-2</v>
      </c>
      <c r="U21">
        <f>SUM(U4:U20)</f>
        <v>123.44743543106584</v>
      </c>
      <c r="V21">
        <f t="shared" si="8"/>
        <v>123</v>
      </c>
      <c r="W21">
        <f>'YLL worksheet'!O21</f>
        <v>1</v>
      </c>
      <c r="Y21">
        <f>SUM(Y4:Y20)</f>
        <v>1</v>
      </c>
    </row>
    <row r="23" spans="1:62">
      <c r="R23" s="63"/>
      <c r="S23" s="62">
        <f>SUM(S4:S20)</f>
        <v>7152</v>
      </c>
      <c r="T23">
        <f>V23/S23</f>
        <v>1.7197986577181208E-2</v>
      </c>
      <c r="V23" s="62">
        <f>AA2</f>
        <v>123</v>
      </c>
    </row>
    <row r="24" spans="1:62" ht="15.6">
      <c r="A24" s="67"/>
      <c r="B24" s="31"/>
      <c r="C24" s="32"/>
      <c r="D24" s="32"/>
      <c r="E24" s="32"/>
      <c r="F24" s="32"/>
      <c r="G24" s="32"/>
    </row>
    <row r="25" spans="1:62" ht="15.6">
      <c r="B25" s="33"/>
      <c r="C25" s="34"/>
      <c r="D25" s="34"/>
      <c r="E25" s="34"/>
      <c r="F25" s="35"/>
      <c r="G25" s="34"/>
      <c r="BJ25" t="s">
        <v>127</v>
      </c>
    </row>
    <row r="26" spans="1:62" ht="15.6">
      <c r="B26" s="33"/>
      <c r="C26" s="34"/>
      <c r="D26" s="36"/>
      <c r="E26" s="34"/>
      <c r="F26" s="35"/>
      <c r="G26" s="34"/>
    </row>
    <row r="27" spans="1:62" ht="15.6">
      <c r="B27" s="37"/>
      <c r="C27" s="38"/>
      <c r="D27" s="38"/>
      <c r="E27" s="38"/>
      <c r="F27" s="39"/>
    </row>
    <row r="28" spans="1:62" ht="15.6">
      <c r="B28" s="40"/>
      <c r="C28" s="34"/>
      <c r="D28" s="34"/>
      <c r="E28" s="34"/>
      <c r="F28" s="35"/>
    </row>
    <row r="29" spans="1:62">
      <c r="B29" s="28"/>
      <c r="C29" s="115"/>
      <c r="D29" s="115"/>
      <c r="E29" s="29"/>
    </row>
    <row r="30" spans="1:62">
      <c r="C30" s="57"/>
    </row>
    <row r="31" spans="1:62">
      <c r="C31" s="58"/>
    </row>
    <row r="32" spans="1:62">
      <c r="A32" s="67"/>
      <c r="C32" s="108"/>
      <c r="D32" s="108"/>
    </row>
    <row r="33" spans="1:49">
      <c r="C33" s="59"/>
      <c r="D33" s="60"/>
    </row>
    <row r="34" spans="1:49">
      <c r="C34" s="59"/>
      <c r="D34" s="60"/>
    </row>
    <row r="39" spans="1:49">
      <c r="A39" s="57"/>
    </row>
    <row r="40" spans="1:49">
      <c r="A40" s="58"/>
    </row>
    <row r="41" spans="1:49">
      <c r="A41" s="108"/>
      <c r="B41" s="108"/>
      <c r="C41" s="108"/>
      <c r="D41" s="108"/>
      <c r="AW41" t="s">
        <v>128</v>
      </c>
    </row>
    <row r="42" spans="1:49">
      <c r="A42" s="114"/>
      <c r="B42" s="114"/>
      <c r="C42" s="59"/>
      <c r="D42" s="60"/>
    </row>
    <row r="43" spans="1:49">
      <c r="A43" s="114"/>
      <c r="B43" s="114"/>
      <c r="C43" s="59"/>
      <c r="D43" s="60"/>
    </row>
    <row r="44" spans="1:49">
      <c r="A44" s="114"/>
      <c r="B44" s="114"/>
      <c r="C44" s="59"/>
      <c r="D44" s="60"/>
    </row>
    <row r="45" spans="1:49">
      <c r="A45" s="114"/>
      <c r="B45" s="114"/>
      <c r="C45" s="59"/>
      <c r="D45" s="60"/>
    </row>
    <row r="46" spans="1:49">
      <c r="A46" s="114"/>
      <c r="B46" s="114"/>
      <c r="C46" s="59"/>
      <c r="D46" s="60"/>
    </row>
    <row r="47" spans="1:49">
      <c r="A47" s="114"/>
      <c r="B47" s="114"/>
      <c r="C47" s="59"/>
      <c r="D47" s="60"/>
    </row>
    <row r="48" spans="1:49">
      <c r="A48" s="114"/>
      <c r="B48" s="114"/>
      <c r="C48" s="59"/>
      <c r="D48" s="60"/>
    </row>
    <row r="49" spans="1:4">
      <c r="A49" s="114"/>
      <c r="B49" s="114"/>
      <c r="C49" s="59"/>
      <c r="D49" s="60"/>
    </row>
    <row r="50" spans="1:4">
      <c r="A50" s="114"/>
      <c r="B50" s="114"/>
      <c r="C50" s="59"/>
      <c r="D50" s="60"/>
    </row>
    <row r="51" spans="1:4">
      <c r="A51" s="114"/>
      <c r="B51" s="114"/>
      <c r="C51" s="59"/>
      <c r="D51" s="60"/>
    </row>
    <row r="52" spans="1:4">
      <c r="A52" s="114"/>
      <c r="B52" s="114"/>
      <c r="C52" s="59"/>
      <c r="D52" s="60"/>
    </row>
    <row r="53" spans="1:4">
      <c r="A53" s="114"/>
      <c r="B53" s="114"/>
      <c r="C53" s="59"/>
      <c r="D53" s="60"/>
    </row>
    <row r="54" spans="1:4">
      <c r="A54" s="114"/>
      <c r="B54" s="114"/>
      <c r="C54" s="59"/>
      <c r="D54" s="60"/>
    </row>
    <row r="55" spans="1:4">
      <c r="A55" s="114"/>
      <c r="B55" s="114"/>
      <c r="C55" s="59"/>
      <c r="D55" s="60"/>
    </row>
    <row r="56" spans="1:4">
      <c r="A56" s="114"/>
      <c r="B56" s="114"/>
      <c r="C56" s="59"/>
      <c r="D56" s="60"/>
    </row>
    <row r="57" spans="1:4">
      <c r="A57" s="114"/>
      <c r="B57" s="114"/>
      <c r="C57" s="59"/>
      <c r="D57" s="60"/>
    </row>
    <row r="58" spans="1:4">
      <c r="A58" s="114"/>
      <c r="B58" s="114"/>
      <c r="C58" s="59"/>
      <c r="D58" s="60"/>
    </row>
    <row r="59" spans="1:4">
      <c r="A59" s="114"/>
      <c r="B59" s="114"/>
      <c r="C59" s="59"/>
      <c r="D59" s="60"/>
    </row>
  </sheetData>
  <mergeCells count="38">
    <mergeCell ref="C29:D29"/>
    <mergeCell ref="AR1:AS1"/>
    <mergeCell ref="A42:A43"/>
    <mergeCell ref="B42:B43"/>
    <mergeCell ref="A44:A45"/>
    <mergeCell ref="B44:B45"/>
    <mergeCell ref="A16:A17"/>
    <mergeCell ref="B16:B17"/>
    <mergeCell ref="A18:A19"/>
    <mergeCell ref="B18:B19"/>
    <mergeCell ref="A46:A47"/>
    <mergeCell ref="B46:B47"/>
    <mergeCell ref="A48:A49"/>
    <mergeCell ref="B48:B49"/>
    <mergeCell ref="A50:A51"/>
    <mergeCell ref="B50:B51"/>
    <mergeCell ref="A52:A53"/>
    <mergeCell ref="B52:B53"/>
    <mergeCell ref="A54:A55"/>
    <mergeCell ref="B54:B55"/>
    <mergeCell ref="A56:A57"/>
    <mergeCell ref="B56:B57"/>
    <mergeCell ref="A58:A59"/>
    <mergeCell ref="B58:B59"/>
    <mergeCell ref="A2:A3"/>
    <mergeCell ref="B2:B3"/>
    <mergeCell ref="A4:A5"/>
    <mergeCell ref="B4:B5"/>
    <mergeCell ref="A6:A7"/>
    <mergeCell ref="B6:B7"/>
    <mergeCell ref="A8:A9"/>
    <mergeCell ref="B8:B9"/>
    <mergeCell ref="A10:A11"/>
    <mergeCell ref="B10:B11"/>
    <mergeCell ref="A12:A13"/>
    <mergeCell ref="B12:B13"/>
    <mergeCell ref="A14:A15"/>
    <mergeCell ref="B14:B15"/>
  </mergeCells>
  <hyperlinks>
    <hyperlink ref="AW1" r:id="rId1" display="https://www.nicd.ac.za/wp-content/uploads/2020/05/Week-18-Weekly-Epidemiology-Brief-Template-V8.pdf" xr:uid="{BBE2F0DC-7BCA-4FEA-9DF5-1FCE43543562}"/>
    <hyperlink ref="AO10" r:id="rId2" xr:uid="{A8EBB4B4-1358-4A3C-8E73-394A68208E2D}"/>
  </hyperlinks>
  <pageMargins left="0.7" right="0.7" top="0.75" bottom="0.75" header="0.3" footer="0.3"/>
  <pageSetup orientation="portrait" r:id="rId3"/>
  <drawing r:id="rId4"/>
  <legacy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51809-2BC3-4119-8468-DF96B4FA97D3}">
  <dimension ref="A1:V28"/>
  <sheetViews>
    <sheetView workbookViewId="0">
      <selection activeCell="I5" sqref="I5"/>
    </sheetView>
  </sheetViews>
  <sheetFormatPr defaultRowHeight="14.45"/>
  <sheetData>
    <row r="1" spans="1:22">
      <c r="A1" s="116"/>
      <c r="B1" s="116"/>
      <c r="C1" s="116"/>
      <c r="D1" s="116"/>
      <c r="E1" s="116"/>
      <c r="F1" s="116"/>
      <c r="G1" s="116"/>
      <c r="H1" s="116"/>
      <c r="I1" s="116"/>
      <c r="L1" s="44"/>
    </row>
    <row r="2" spans="1:22">
      <c r="A2" s="45"/>
      <c r="B2" s="110"/>
      <c r="C2" s="110"/>
      <c r="D2" s="110"/>
      <c r="E2" s="110"/>
      <c r="F2" s="110"/>
      <c r="G2" s="110"/>
      <c r="H2" s="110"/>
      <c r="I2" s="46"/>
    </row>
    <row r="3" spans="1:22">
      <c r="A3" s="47"/>
      <c r="B3" s="48"/>
      <c r="C3" s="49"/>
      <c r="D3" s="50"/>
      <c r="E3" s="51"/>
      <c r="F3" s="52"/>
      <c r="G3" s="53"/>
      <c r="H3" s="53"/>
      <c r="I3" s="46"/>
    </row>
    <row r="4" spans="1:22">
      <c r="A4" s="47"/>
      <c r="B4" s="48"/>
      <c r="C4" s="49"/>
      <c r="D4" s="50"/>
      <c r="E4" s="51"/>
      <c r="F4" s="52"/>
      <c r="G4" s="53"/>
      <c r="H4" s="53"/>
      <c r="I4" s="46"/>
    </row>
    <row r="5" spans="1:22">
      <c r="A5" s="47"/>
      <c r="B5" s="48"/>
      <c r="C5" s="49"/>
      <c r="D5" s="50"/>
      <c r="E5" s="51"/>
      <c r="F5" s="52"/>
      <c r="G5" s="53"/>
      <c r="H5" s="53"/>
      <c r="I5" s="46"/>
    </row>
    <row r="6" spans="1:22">
      <c r="A6" s="47"/>
      <c r="B6" s="48"/>
      <c r="C6" s="49"/>
      <c r="D6" s="50"/>
      <c r="E6" s="51"/>
      <c r="F6" s="52"/>
      <c r="G6" s="53"/>
      <c r="H6" s="53"/>
      <c r="I6" s="46"/>
    </row>
    <row r="7" spans="1:22">
      <c r="A7" s="47"/>
      <c r="B7" s="48"/>
      <c r="C7" s="49"/>
      <c r="D7" s="50"/>
      <c r="E7" s="51"/>
      <c r="F7" s="52"/>
      <c r="G7" s="53"/>
      <c r="H7" s="53"/>
      <c r="I7" s="46"/>
    </row>
    <row r="8" spans="1:22">
      <c r="A8" s="47"/>
      <c r="B8" s="48"/>
      <c r="C8" s="49"/>
      <c r="D8" s="50"/>
      <c r="E8" s="51"/>
      <c r="F8" s="52"/>
      <c r="G8" s="53"/>
      <c r="H8" s="53"/>
      <c r="I8" s="46"/>
    </row>
    <row r="9" spans="1:22">
      <c r="A9" s="54"/>
      <c r="B9" s="48"/>
      <c r="C9" s="49"/>
      <c r="D9" s="50"/>
      <c r="E9" s="51"/>
      <c r="F9" s="52"/>
      <c r="G9" s="53"/>
      <c r="H9" s="53"/>
      <c r="I9" s="46"/>
      <c r="M9" s="9" t="s">
        <v>4</v>
      </c>
    </row>
    <row r="10" spans="1:22">
      <c r="A10" s="55"/>
      <c r="B10" s="56"/>
      <c r="C10" s="56"/>
      <c r="D10" s="56"/>
      <c r="E10" s="56"/>
      <c r="F10" s="56"/>
      <c r="G10" s="56"/>
      <c r="H10" s="56"/>
      <c r="I10" s="46"/>
      <c r="M10" s="117" t="s">
        <v>129</v>
      </c>
      <c r="N10" s="117"/>
      <c r="O10" s="117"/>
      <c r="P10" s="117"/>
      <c r="Q10" s="117"/>
      <c r="R10" s="117"/>
      <c r="S10" s="117"/>
      <c r="T10" s="117"/>
      <c r="U10" s="117"/>
      <c r="V10" s="117"/>
    </row>
    <row r="11" spans="1:22">
      <c r="M11" s="118"/>
      <c r="N11" s="87" t="s">
        <v>91</v>
      </c>
      <c r="O11" s="118"/>
      <c r="P11" s="118"/>
      <c r="Q11" s="118"/>
      <c r="R11" s="118"/>
      <c r="S11" s="118"/>
      <c r="T11" s="118"/>
      <c r="U11" s="118"/>
      <c r="V11" s="46"/>
    </row>
    <row r="12" spans="1:22">
      <c r="M12" s="119"/>
      <c r="N12" s="87" t="s">
        <v>130</v>
      </c>
      <c r="O12" s="88" t="s">
        <v>131</v>
      </c>
      <c r="P12" s="88" t="s">
        <v>132</v>
      </c>
      <c r="Q12" s="87" t="s">
        <v>133</v>
      </c>
      <c r="R12" s="88" t="s">
        <v>134</v>
      </c>
      <c r="S12" s="88" t="s">
        <v>135</v>
      </c>
      <c r="T12" s="87" t="s">
        <v>136</v>
      </c>
      <c r="U12" s="89" t="s">
        <v>64</v>
      </c>
      <c r="V12" s="46"/>
    </row>
    <row r="13" spans="1:22" ht="22.9">
      <c r="B13" s="72" t="s">
        <v>106</v>
      </c>
      <c r="C13" s="72" t="s">
        <v>109</v>
      </c>
      <c r="D13" s="72" t="s">
        <v>111</v>
      </c>
      <c r="E13" s="72" t="s">
        <v>112</v>
      </c>
      <c r="F13" s="72" t="s">
        <v>113</v>
      </c>
      <c r="G13" s="72" t="s">
        <v>114</v>
      </c>
      <c r="H13" s="72" t="s">
        <v>115</v>
      </c>
      <c r="I13" s="72" t="s">
        <v>63</v>
      </c>
      <c r="M13" s="90" t="s">
        <v>137</v>
      </c>
      <c r="N13" s="91">
        <v>0.95099999999999996</v>
      </c>
      <c r="O13" s="92">
        <v>0.93600000000000005</v>
      </c>
      <c r="P13" s="92">
        <v>0.91900000000000004</v>
      </c>
      <c r="Q13" s="91">
        <v>0.89800000000000002</v>
      </c>
      <c r="R13" s="92">
        <v>0.874</v>
      </c>
      <c r="S13" s="92">
        <v>0.83499999999999996</v>
      </c>
      <c r="T13" s="91">
        <v>0.75600000000000001</v>
      </c>
      <c r="U13" s="93">
        <v>0.90200000000000002</v>
      </c>
      <c r="V13" s="46"/>
    </row>
    <row r="14" spans="1:22">
      <c r="A14" t="s">
        <v>83</v>
      </c>
      <c r="B14">
        <f>SUM('Cases and CFR worksheet'!M4:M7)</f>
        <v>550</v>
      </c>
      <c r="C14">
        <f>SUM('Cases and CFR worksheet'!M8:M9)</f>
        <v>1459</v>
      </c>
      <c r="D14">
        <f>SUM('Cases and CFR worksheet'!M10:M11)</f>
        <v>1933</v>
      </c>
      <c r="E14">
        <f>SUM('Cases and CFR worksheet'!M12:M13)</f>
        <v>1419</v>
      </c>
      <c r="F14">
        <f>SUM('Cases and CFR worksheet'!M14:M15)</f>
        <v>1001</v>
      </c>
      <c r="G14" s="73">
        <f>SUM('Cases and CFR worksheet'!M16:M17)</f>
        <v>480</v>
      </c>
      <c r="H14" s="73">
        <f>SUM('Cases and CFR worksheet'!M18:M19)</f>
        <v>231</v>
      </c>
      <c r="I14" s="73">
        <f>'Cases and CFR worksheet'!M20</f>
        <v>79</v>
      </c>
      <c r="J14">
        <f>SUM(B14:I14)</f>
        <v>7152</v>
      </c>
      <c r="M14" s="109" t="s">
        <v>138</v>
      </c>
      <c r="N14" s="94">
        <v>0.92800000000000005</v>
      </c>
      <c r="O14" s="52">
        <v>0.92700000000000005</v>
      </c>
      <c r="P14" s="52">
        <v>0.90100000000000002</v>
      </c>
      <c r="Q14" s="94">
        <v>0.88200000000000001</v>
      </c>
      <c r="R14" s="52">
        <v>0.87</v>
      </c>
      <c r="S14" s="52">
        <v>0.84699999999999998</v>
      </c>
      <c r="T14" s="94">
        <v>0.79400000000000004</v>
      </c>
      <c r="U14" s="95">
        <v>0.88700000000000001</v>
      </c>
      <c r="V14" s="46"/>
    </row>
    <row r="15" spans="1:22">
      <c r="A15" t="s">
        <v>139</v>
      </c>
      <c r="B15" s="74">
        <f>B14/$J$14</f>
        <v>7.6901565995525722E-2</v>
      </c>
      <c r="C15" s="74">
        <f t="shared" ref="C15:I15" si="0">C14/$J$14</f>
        <v>0.20399888143176734</v>
      </c>
      <c r="D15" s="74">
        <f t="shared" si="0"/>
        <v>0.27027404921700221</v>
      </c>
      <c r="E15" s="74">
        <f t="shared" si="0"/>
        <v>0.19840604026845637</v>
      </c>
      <c r="F15" s="74">
        <f t="shared" si="0"/>
        <v>0.13996085011185683</v>
      </c>
      <c r="G15" s="74">
        <f t="shared" si="0"/>
        <v>6.7114093959731544E-2</v>
      </c>
      <c r="H15" s="74">
        <f t="shared" si="0"/>
        <v>3.2298657718120807E-2</v>
      </c>
      <c r="I15" s="74">
        <f t="shared" si="0"/>
        <v>1.104586129753915E-2</v>
      </c>
      <c r="M15" s="109" t="s">
        <v>140</v>
      </c>
      <c r="N15" s="94">
        <v>0.94799999999999995</v>
      </c>
      <c r="O15" s="52">
        <v>0.94599999999999995</v>
      </c>
      <c r="P15" s="52">
        <v>0.91300000000000003</v>
      </c>
      <c r="Q15" s="94">
        <v>0.92200000000000004</v>
      </c>
      <c r="R15" s="52">
        <v>0.85299999999999998</v>
      </c>
      <c r="S15" s="52">
        <v>0.81</v>
      </c>
      <c r="T15" s="94">
        <v>0.73499999999999999</v>
      </c>
      <c r="U15" s="95">
        <v>0.89200000000000002</v>
      </c>
      <c r="V15" s="46"/>
    </row>
    <row r="16" spans="1:22">
      <c r="A16" t="s">
        <v>141</v>
      </c>
      <c r="B16">
        <v>0.84799999999999998</v>
      </c>
      <c r="C16">
        <v>0.84099999999999997</v>
      </c>
      <c r="D16">
        <v>0.79300000000000004</v>
      </c>
      <c r="E16">
        <v>0.78500000000000003</v>
      </c>
      <c r="F16">
        <v>0.75600000000000001</v>
      </c>
      <c r="G16">
        <v>0.66100000000000003</v>
      </c>
      <c r="H16">
        <v>0.66100000000000003</v>
      </c>
      <c r="I16">
        <v>0.66100000000000003</v>
      </c>
      <c r="M16" s="109" t="s">
        <v>142</v>
      </c>
      <c r="N16" s="94">
        <v>0.97199999999999998</v>
      </c>
      <c r="O16" s="52">
        <v>0.97299999999999998</v>
      </c>
      <c r="P16" s="52">
        <v>0.96599999999999997</v>
      </c>
      <c r="Q16" s="94">
        <v>0.94499999999999995</v>
      </c>
      <c r="R16" s="52">
        <v>0.92200000000000004</v>
      </c>
      <c r="S16" s="52">
        <v>0.89100000000000001</v>
      </c>
      <c r="T16" s="94">
        <v>0.83899999999999997</v>
      </c>
      <c r="U16" s="95">
        <v>0.93799999999999994</v>
      </c>
      <c r="V16" s="46"/>
    </row>
    <row r="17" spans="1:22">
      <c r="M17" s="109" t="s">
        <v>143</v>
      </c>
      <c r="N17" s="94">
        <v>0.98399999999999999</v>
      </c>
      <c r="O17" s="52">
        <v>0.97799999999999998</v>
      </c>
      <c r="P17" s="52">
        <v>0.97299999999999998</v>
      </c>
      <c r="Q17" s="94">
        <v>0.95499999999999996</v>
      </c>
      <c r="R17" s="52">
        <v>0.93600000000000005</v>
      </c>
      <c r="S17" s="52">
        <v>0.90400000000000003</v>
      </c>
      <c r="T17" s="94">
        <v>0.83899999999999997</v>
      </c>
      <c r="U17" s="95">
        <v>0.94699999999999995</v>
      </c>
      <c r="V17" s="46"/>
    </row>
    <row r="18" spans="1:22">
      <c r="A18" s="75" t="s">
        <v>144</v>
      </c>
      <c r="B18" s="75">
        <f>SUMPRODUCT(B15:I15, B16:I16)</f>
        <v>0.78567519574944067</v>
      </c>
      <c r="M18" s="109" t="s">
        <v>145</v>
      </c>
      <c r="N18" s="94">
        <v>0.98099999999999998</v>
      </c>
      <c r="O18" s="52">
        <v>0.98199999999999998</v>
      </c>
      <c r="P18" s="52">
        <v>0.97599999999999998</v>
      </c>
      <c r="Q18" s="94">
        <v>0.96</v>
      </c>
      <c r="R18" s="52">
        <v>0.90900000000000003</v>
      </c>
      <c r="S18" s="52">
        <v>0.88800000000000001</v>
      </c>
      <c r="T18" s="56"/>
      <c r="U18" s="95">
        <v>0.95799999999999996</v>
      </c>
      <c r="V18" s="46"/>
    </row>
    <row r="19" spans="1:22">
      <c r="M19" s="109" t="s">
        <v>146</v>
      </c>
      <c r="N19" s="94">
        <v>0.95</v>
      </c>
      <c r="O19" s="52">
        <v>0.92700000000000005</v>
      </c>
      <c r="P19" s="52">
        <v>0.93500000000000005</v>
      </c>
      <c r="Q19" s="94">
        <v>0.89</v>
      </c>
      <c r="R19" s="52">
        <v>0.89</v>
      </c>
      <c r="S19" s="52">
        <v>0.88600000000000001</v>
      </c>
      <c r="T19" s="94">
        <v>0.83</v>
      </c>
      <c r="U19" s="95">
        <v>0.91</v>
      </c>
      <c r="V19" s="46"/>
    </row>
    <row r="20" spans="1:22">
      <c r="M20" s="109" t="s">
        <v>147</v>
      </c>
      <c r="N20" s="94">
        <v>0.98199999999999998</v>
      </c>
      <c r="O20" s="52">
        <v>0.97499999999999998</v>
      </c>
      <c r="P20" s="52">
        <v>0.94899999999999995</v>
      </c>
      <c r="Q20" s="94">
        <v>0.92300000000000004</v>
      </c>
      <c r="R20" s="52">
        <v>0.90100000000000002</v>
      </c>
      <c r="S20" s="52">
        <v>0.89100000000000001</v>
      </c>
      <c r="T20" s="94">
        <v>0.78100000000000003</v>
      </c>
      <c r="U20" s="95">
        <v>0.92900000000000005</v>
      </c>
      <c r="V20" s="46"/>
    </row>
    <row r="21" spans="1:22">
      <c r="M21" s="109" t="s">
        <v>148</v>
      </c>
      <c r="N21" s="94">
        <v>0.94</v>
      </c>
      <c r="O21" s="52">
        <v>0.92700000000000005</v>
      </c>
      <c r="P21" s="52">
        <v>0.91100000000000003</v>
      </c>
      <c r="Q21" s="94">
        <v>0.84699999999999998</v>
      </c>
      <c r="R21" s="52">
        <v>0.79900000000000004</v>
      </c>
      <c r="S21" s="52">
        <v>0.77900000000000003</v>
      </c>
      <c r="T21" s="94">
        <v>0.72599999999999998</v>
      </c>
      <c r="U21" s="95">
        <v>0.85599999999999998</v>
      </c>
      <c r="V21" s="46"/>
    </row>
    <row r="22" spans="1:22">
      <c r="M22" s="109" t="s">
        <v>149</v>
      </c>
      <c r="N22" s="94">
        <v>0.92900000000000005</v>
      </c>
      <c r="O22" s="52">
        <v>0.91900000000000004</v>
      </c>
      <c r="P22" s="52">
        <v>0.89300000000000002</v>
      </c>
      <c r="Q22" s="94">
        <v>0.85499999999999998</v>
      </c>
      <c r="R22" s="52">
        <v>0.81</v>
      </c>
      <c r="S22" s="52">
        <v>0.77300000000000002</v>
      </c>
      <c r="T22" s="94">
        <v>0.70299999999999996</v>
      </c>
      <c r="U22" s="95">
        <v>0.85499999999999998</v>
      </c>
      <c r="V22" s="46"/>
    </row>
    <row r="23" spans="1:22">
      <c r="M23" s="109" t="s">
        <v>150</v>
      </c>
      <c r="N23" s="94">
        <v>0.92400000000000004</v>
      </c>
      <c r="O23" s="52">
        <v>0.91200000000000003</v>
      </c>
      <c r="P23" s="52">
        <v>0.88900000000000001</v>
      </c>
      <c r="Q23" s="94">
        <v>0.85499999999999998</v>
      </c>
      <c r="R23" s="52">
        <v>0.83</v>
      </c>
      <c r="S23" s="52">
        <v>0.81699999999999995</v>
      </c>
      <c r="T23" s="94">
        <v>0.755</v>
      </c>
      <c r="U23" s="95">
        <v>0.86699999999999999</v>
      </c>
      <c r="V23" s="46"/>
    </row>
    <row r="24" spans="1:22">
      <c r="M24" s="109" t="s">
        <v>151</v>
      </c>
      <c r="N24" s="109" t="s">
        <v>130</v>
      </c>
      <c r="O24" s="96" t="s">
        <v>131</v>
      </c>
      <c r="P24" s="96" t="s">
        <v>132</v>
      </c>
      <c r="Q24" s="109" t="s">
        <v>133</v>
      </c>
      <c r="R24" s="96" t="s">
        <v>134</v>
      </c>
      <c r="S24" s="96" t="s">
        <v>135</v>
      </c>
      <c r="T24" s="109" t="s">
        <v>136</v>
      </c>
      <c r="U24" s="97" t="s">
        <v>64</v>
      </c>
      <c r="V24" s="46"/>
    </row>
    <row r="25" spans="1:22" ht="22.9">
      <c r="M25" s="109" t="s">
        <v>152</v>
      </c>
      <c r="N25" s="94">
        <v>0.96699999999999997</v>
      </c>
      <c r="O25" s="52">
        <v>0.96299999999999997</v>
      </c>
      <c r="P25" s="52">
        <v>0.96499999999999997</v>
      </c>
      <c r="Q25" s="94">
        <v>0.94099999999999995</v>
      </c>
      <c r="R25" s="52">
        <v>0.91200000000000003</v>
      </c>
      <c r="S25" s="52">
        <v>0.88100000000000001</v>
      </c>
      <c r="T25" s="94">
        <v>0.76800000000000002</v>
      </c>
      <c r="U25" s="95">
        <v>0.92900000000000005</v>
      </c>
      <c r="V25" s="46"/>
    </row>
    <row r="26" spans="1:22" ht="34.15">
      <c r="M26" s="109" t="s">
        <v>153</v>
      </c>
      <c r="N26" s="94">
        <v>0.95299999999999996</v>
      </c>
      <c r="O26" s="52">
        <v>0.93400000000000005</v>
      </c>
      <c r="P26" s="52">
        <v>0.91100000000000003</v>
      </c>
      <c r="Q26" s="94">
        <v>0.85399999999999998</v>
      </c>
      <c r="R26" s="52">
        <v>0.78</v>
      </c>
      <c r="S26" s="52">
        <v>0.754</v>
      </c>
      <c r="T26" s="94">
        <v>0.59599999999999997</v>
      </c>
      <c r="U26" s="95">
        <v>0.83599999999999997</v>
      </c>
      <c r="V26" s="46"/>
    </row>
    <row r="27" spans="1:22" ht="22.9">
      <c r="M27" s="109" t="s">
        <v>154</v>
      </c>
      <c r="N27" s="94">
        <v>0.97399999999999998</v>
      </c>
      <c r="O27" s="52">
        <v>0.94699999999999995</v>
      </c>
      <c r="P27" s="52">
        <v>0.94099999999999995</v>
      </c>
      <c r="Q27" s="94">
        <v>0.89800000000000002</v>
      </c>
      <c r="R27" s="52">
        <v>0.83799999999999997</v>
      </c>
      <c r="S27" s="52">
        <v>0.78</v>
      </c>
      <c r="T27" s="94">
        <v>0.59399999999999997</v>
      </c>
      <c r="U27" s="95">
        <v>0.871</v>
      </c>
      <c r="V27" s="46"/>
    </row>
    <row r="28" spans="1:22" ht="34.15">
      <c r="M28" s="98" t="s">
        <v>155</v>
      </c>
      <c r="N28" s="99">
        <v>0.84799999999999998</v>
      </c>
      <c r="O28" s="100">
        <v>0.84099999999999997</v>
      </c>
      <c r="P28" s="100">
        <v>0.79300000000000004</v>
      </c>
      <c r="Q28" s="99">
        <v>0.78500000000000003</v>
      </c>
      <c r="R28" s="100">
        <v>0.75600000000000001</v>
      </c>
      <c r="S28" s="100">
        <v>0.66100000000000003</v>
      </c>
      <c r="T28" s="101"/>
      <c r="U28" s="102">
        <v>0.83299999999999996</v>
      </c>
      <c r="V28" s="46"/>
    </row>
  </sheetData>
  <mergeCells count="4">
    <mergeCell ref="A1:I1"/>
    <mergeCell ref="M10:V10"/>
    <mergeCell ref="M11:M12"/>
    <mergeCell ref="O11:U11"/>
  </mergeCells>
  <hyperlinks>
    <hyperlink ref="M9" r:id="rId1" display="http://www.springer.com/biomed/book/978-94-007-7595-4" xr:uid="{53FEFD26-A2F9-42DB-810E-A336FE53D15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Fatma Shebl</dc:creator>
  <cp:keywords/>
  <dc:description/>
  <cp:lastModifiedBy>Shebl, Fatma Mohamed</cp:lastModifiedBy>
  <cp:revision/>
  <dcterms:created xsi:type="dcterms:W3CDTF">2020-05-12T13:52:29Z</dcterms:created>
  <dcterms:modified xsi:type="dcterms:W3CDTF">2020-09-02T19:15:35Z</dcterms:modified>
  <cp:category/>
  <cp:contentStatus/>
</cp:coreProperties>
</file>