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hidePivotFieldList="1" defaultThemeVersion="166925"/>
  <mc:AlternateContent xmlns:mc="http://schemas.openxmlformats.org/markup-compatibility/2006">
    <mc:Choice Requires="x15">
      <x15ac:absPath xmlns:x15ac="http://schemas.microsoft.com/office/spreadsheetml/2010/11/ac" url="C:\Users\LENOVO\OneDrive\Desktop\Data analytics\Portfolio\Excel\"/>
    </mc:Choice>
  </mc:AlternateContent>
  <xr:revisionPtr revIDLastSave="0" documentId="13_ncr:1_{7ADE3639-0C2B-418C-9F09-0EC71DE4B58A}" xr6:coauthVersionLast="47" xr6:coauthVersionMax="47" xr10:uidLastSave="{00000000-0000-0000-0000-000000000000}"/>
  <bookViews>
    <workbookView xWindow="-108" yWindow="-108" windowWidth="23256" windowHeight="12456" tabRatio="813" xr2:uid="{B5CEACB0-338E-4289-8341-C032677018A6}"/>
  </bookViews>
  <sheets>
    <sheet name="1.Intro" sheetId="17" r:id="rId1"/>
    <sheet name="2.Balance_Sheet" sheetId="18" r:id="rId2"/>
    <sheet name="3.Data" sheetId="7" r:id="rId3"/>
    <sheet name="4.Pivot" sheetId="16" r:id="rId4"/>
    <sheet name="Dashboard" sheetId="12" r:id="rId5"/>
  </sheets>
  <definedNames>
    <definedName name="Slicer_Month">#N/A</definedName>
    <definedName name="Slicer_Years__Month">#N/A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6" l="1"/>
  <c r="U4" i="7"/>
  <c r="U5" i="7"/>
  <c r="Y10" i="7"/>
  <c r="Y9" i="7"/>
  <c r="Y8" i="7"/>
  <c r="Y7" i="7"/>
  <c r="Y6" i="7"/>
  <c r="Y11" i="7"/>
  <c r="V16" i="18"/>
  <c r="T16" i="18"/>
  <c r="N16" i="18"/>
  <c r="L16" i="18"/>
  <c r="K17" i="18" s="1"/>
  <c r="J16" i="18"/>
  <c r="D16" i="18"/>
  <c r="X16" i="18"/>
  <c r="R16" i="18"/>
  <c r="H16" i="18"/>
  <c r="F16" i="18"/>
  <c r="B16" i="18"/>
  <c r="Q17" i="18" l="1"/>
  <c r="K19" i="18" s="1"/>
  <c r="A17" i="18"/>
  <c r="F19" i="18" s="1"/>
  <c r="N31" i="18"/>
  <c r="K23" i="18" l="1"/>
  <c r="S32" i="7"/>
  <c r="R32" i="7"/>
  <c r="S31" i="7"/>
  <c r="Q4" i="7"/>
  <c r="Q5" i="7"/>
  <c r="Q6" i="7"/>
  <c r="Q7" i="7"/>
  <c r="Q8" i="7"/>
  <c r="Q9" i="7"/>
  <c r="Q10" i="7"/>
  <c r="Q11" i="7"/>
  <c r="Q12" i="7"/>
  <c r="Q13" i="7"/>
  <c r="Q14" i="7"/>
  <c r="Q15" i="7"/>
  <c r="Q16" i="7"/>
  <c r="Q17" i="7"/>
  <c r="Q18" i="7"/>
  <c r="Q19" i="7"/>
  <c r="Q20" i="7"/>
  <c r="Q21" i="7"/>
  <c r="Q22" i="7"/>
  <c r="Q23" i="7"/>
  <c r="Q24" i="7"/>
  <c r="Q25" i="7"/>
  <c r="Q26" i="7"/>
  <c r="Q27" i="7"/>
  <c r="Q28" i="7"/>
  <c r="Q29" i="7"/>
  <c r="Q30" i="7"/>
  <c r="P4" i="7"/>
  <c r="P5" i="7"/>
  <c r="P6" i="7"/>
  <c r="P7" i="7"/>
  <c r="P8" i="7"/>
  <c r="P9" i="7"/>
  <c r="P10" i="7"/>
  <c r="P11" i="7"/>
  <c r="P12" i="7"/>
  <c r="P13" i="7"/>
  <c r="P14" i="7"/>
  <c r="P15" i="7"/>
  <c r="P16" i="7"/>
  <c r="P17" i="7"/>
  <c r="P18" i="7"/>
  <c r="P19" i="7"/>
  <c r="P20" i="7"/>
  <c r="P21" i="7"/>
  <c r="P22" i="7"/>
  <c r="P23" i="7"/>
  <c r="P24" i="7"/>
  <c r="P25" i="7"/>
  <c r="P26" i="7"/>
  <c r="P27" i="7"/>
  <c r="P28" i="7"/>
  <c r="P29" i="7"/>
  <c r="P30" i="7"/>
  <c r="O4" i="7"/>
  <c r="O5" i="7"/>
  <c r="O6" i="7"/>
  <c r="O7" i="7"/>
  <c r="O8" i="7"/>
  <c r="O9" i="7"/>
  <c r="O10" i="7"/>
  <c r="O11" i="7"/>
  <c r="O12" i="7"/>
  <c r="O13" i="7"/>
  <c r="O14" i="7"/>
  <c r="O15" i="7"/>
  <c r="O16" i="7"/>
  <c r="O17" i="7"/>
  <c r="O18" i="7"/>
  <c r="O19" i="7"/>
  <c r="O20" i="7"/>
  <c r="O21" i="7"/>
  <c r="O22" i="7"/>
  <c r="O23" i="7"/>
  <c r="O24" i="7"/>
  <c r="O25" i="7"/>
  <c r="O26" i="7"/>
  <c r="O27" i="7"/>
  <c r="O28" i="7"/>
  <c r="O29" i="7"/>
  <c r="O30" i="7"/>
  <c r="N4" i="7"/>
  <c r="N5" i="7"/>
  <c r="N6" i="7"/>
  <c r="N7" i="7"/>
  <c r="N8" i="7"/>
  <c r="N9" i="7"/>
  <c r="N10" i="7"/>
  <c r="N11" i="7"/>
  <c r="N12" i="7"/>
  <c r="N13" i="7"/>
  <c r="N14" i="7"/>
  <c r="N15" i="7"/>
  <c r="N16" i="7"/>
  <c r="N17" i="7"/>
  <c r="N18" i="7"/>
  <c r="N19" i="7"/>
  <c r="N20" i="7"/>
  <c r="N21" i="7"/>
  <c r="N22" i="7"/>
  <c r="N23" i="7"/>
  <c r="N24" i="7"/>
  <c r="N25" i="7"/>
  <c r="N26" i="7"/>
  <c r="N27" i="7"/>
  <c r="N28" i="7"/>
  <c r="N29" i="7"/>
  <c r="N30" i="7"/>
  <c r="J31" i="7"/>
  <c r="T31" i="7"/>
  <c r="R31" i="7"/>
  <c r="L31" i="7"/>
  <c r="L32" i="7"/>
  <c r="C32" i="7"/>
  <c r="D32" i="7"/>
  <c r="E32" i="7"/>
  <c r="F32" i="7"/>
  <c r="G32" i="7"/>
  <c r="H32" i="7"/>
  <c r="I32" i="7"/>
  <c r="K32" i="7"/>
  <c r="B32" i="7"/>
  <c r="C31" i="7"/>
  <c r="K31" i="7"/>
  <c r="I31" i="7"/>
  <c r="H31" i="7"/>
  <c r="G31" i="7"/>
  <c r="F31" i="7"/>
  <c r="E31" i="7"/>
  <c r="D31" i="7"/>
  <c r="B31" i="7"/>
  <c r="M30" i="7"/>
  <c r="U30" i="7"/>
  <c r="M29" i="7"/>
  <c r="U29" i="7"/>
  <c r="M28" i="7"/>
  <c r="U28" i="7"/>
  <c r="M27" i="7"/>
  <c r="U27" i="7"/>
  <c r="M26" i="7"/>
  <c r="U26" i="7"/>
  <c r="M25" i="7"/>
  <c r="U25" i="7"/>
  <c r="M24" i="7"/>
  <c r="U24" i="7"/>
  <c r="M23" i="7"/>
  <c r="U23" i="7"/>
  <c r="M22" i="7"/>
  <c r="U22" i="7"/>
  <c r="AB12" i="12"/>
  <c r="Q31" i="7" l="1"/>
  <c r="N31" i="7"/>
  <c r="H2" i="16" s="1"/>
  <c r="O31" i="7"/>
  <c r="P31" i="7"/>
  <c r="V30" i="7"/>
  <c r="V27" i="7"/>
  <c r="V29" i="7"/>
  <c r="V28" i="7"/>
  <c r="V26" i="7"/>
  <c r="V24" i="7"/>
  <c r="V25" i="7"/>
  <c r="V23" i="7"/>
  <c r="V22" i="7"/>
  <c r="U21" i="7" l="1"/>
  <c r="M21" i="7"/>
  <c r="M20" i="7"/>
  <c r="U20" i="7"/>
  <c r="J32" i="7"/>
  <c r="M19" i="7"/>
  <c r="U19" i="7"/>
  <c r="M18" i="7"/>
  <c r="U18" i="7"/>
  <c r="M17" i="7"/>
  <c r="U17" i="7"/>
  <c r="AB10" i="12"/>
  <c r="AB14" i="12"/>
  <c r="AB22" i="12"/>
  <c r="AB24" i="12"/>
  <c r="V21" i="7" l="1"/>
  <c r="V20" i="7"/>
  <c r="V19" i="7"/>
  <c r="Q32" i="12"/>
  <c r="Q31" i="12"/>
  <c r="Q30" i="12"/>
  <c r="Q29" i="12"/>
  <c r="Q28" i="12"/>
  <c r="V18" i="7"/>
  <c r="V17" i="7"/>
  <c r="H4" i="16" l="1"/>
  <c r="H3" i="16"/>
  <c r="U6" i="7"/>
  <c r="U7" i="7"/>
  <c r="U8" i="7"/>
  <c r="U9" i="7"/>
  <c r="U10" i="7"/>
  <c r="U11" i="7"/>
  <c r="U12" i="7"/>
  <c r="U13" i="7"/>
  <c r="U14" i="7"/>
  <c r="U15" i="7"/>
  <c r="U16" i="7"/>
  <c r="U31" i="7" l="1"/>
  <c r="U32" i="7"/>
  <c r="I1" i="16"/>
  <c r="I5" i="16" l="1"/>
  <c r="I2" i="16"/>
  <c r="I3" i="16"/>
  <c r="I4" i="16"/>
  <c r="M16" i="7" l="1"/>
  <c r="V16" i="7" s="1"/>
  <c r="AB18" i="12"/>
  <c r="M15" i="7"/>
  <c r="V15" i="7" s="1"/>
  <c r="M14" i="7"/>
  <c r="V14" i="7" s="1"/>
  <c r="M4" i="7"/>
  <c r="M5" i="7"/>
  <c r="V5" i="7" s="1"/>
  <c r="M6" i="7"/>
  <c r="V6" i="7" s="1"/>
  <c r="M7" i="7"/>
  <c r="V7" i="7" s="1"/>
  <c r="M8" i="7"/>
  <c r="V8" i="7" s="1"/>
  <c r="M9" i="7"/>
  <c r="V9" i="7" s="1"/>
  <c r="M10" i="7"/>
  <c r="V10" i="7" s="1"/>
  <c r="M11" i="7"/>
  <c r="V11" i="7" s="1"/>
  <c r="M12" i="7"/>
  <c r="V12" i="7" s="1"/>
  <c r="M13" i="7"/>
  <c r="V13" i="7" s="1"/>
  <c r="M32" i="7" l="1"/>
  <c r="AB16" i="12" s="1"/>
  <c r="AB20" i="12" s="1"/>
  <c r="M31" i="7"/>
  <c r="V4" i="7"/>
  <c r="V31" i="7" s="1"/>
  <c r="Y12" i="7" l="1"/>
  <c r="AB1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I2" authorId="0" shapeId="0" xr:uid="{DDE16881-0E52-4CC4-B59A-8BE49491C429}">
      <text>
        <r>
          <rPr>
            <b/>
            <sz val="9"/>
            <color indexed="81"/>
            <rFont val="Tahoma"/>
            <family val="2"/>
          </rPr>
          <t xml:space="preserve">This account shows who owes you </t>
        </r>
      </text>
    </comment>
    <comment ref="K2" authorId="0" shapeId="0" xr:uid="{7694774C-2B00-43D2-BBDF-BFDC0C0258A7}">
      <text>
        <r>
          <rPr>
            <b/>
            <sz val="9"/>
            <color indexed="81"/>
            <rFont val="Tahoma"/>
            <family val="2"/>
          </rPr>
          <t>This account shows how much you owe others</t>
        </r>
      </text>
    </comment>
    <comment ref="S2" authorId="0" shapeId="0" xr:uid="{8009D09A-A562-4755-BB4A-9B19B6E3EAB2}">
      <text>
        <r>
          <rPr>
            <b/>
            <sz val="9"/>
            <color indexed="81"/>
            <rFont val="Tahoma"/>
            <family val="2"/>
          </rPr>
          <t>An increase in Income, you must choose the account you deposit the income. It could be from any account in the assets side</t>
        </r>
      </text>
    </comment>
    <comment ref="W2" authorId="0" shapeId="0" xr:uid="{CDB85B55-37AD-4885-A3A4-AA77C62D8584}">
      <text>
        <r>
          <rPr>
            <sz val="9"/>
            <color indexed="81"/>
            <rFont val="Tahoma"/>
            <family val="2"/>
          </rPr>
          <t xml:space="preserve">An increase in expense you must choose account to deduct. I chose with chequing account
</t>
        </r>
      </text>
    </comment>
    <comment ref="I3" authorId="0" shapeId="0" xr:uid="{18500859-7EA7-4BC0-B240-B17737E9BB76}">
      <text>
        <r>
          <rPr>
            <b/>
            <sz val="9"/>
            <color indexed="81"/>
            <rFont val="Tahoma"/>
            <family val="2"/>
          </rPr>
          <t>Kelvin:</t>
        </r>
        <r>
          <rPr>
            <sz val="9"/>
            <color indexed="81"/>
            <rFont val="Tahoma"/>
            <family val="2"/>
          </rPr>
          <t xml:space="preserve">
Rent deposit</t>
        </r>
      </text>
    </comment>
    <comment ref="K23" authorId="0" shapeId="0" xr:uid="{EE4C0475-7186-4940-8188-6F5C667AE5DD}">
      <text>
        <r>
          <rPr>
            <sz val="14"/>
            <color indexed="81"/>
            <rFont val="Tahoma"/>
            <family val="2"/>
          </rPr>
          <t>This should be equal to zero</t>
        </r>
        <r>
          <rPr>
            <sz val="9"/>
            <color indexed="81"/>
            <rFont val="Tahoma"/>
            <family val="2"/>
          </rPr>
          <t xml:space="preserve">
</t>
        </r>
      </text>
    </comment>
    <comment ref="N31" authorId="0" shapeId="0" xr:uid="{C6B9984C-0B4C-48E5-8815-0BB8127AC1AF}">
      <text>
        <r>
          <rPr>
            <b/>
            <sz val="9"/>
            <color indexed="81"/>
            <rFont val="Tahoma"/>
            <family val="2"/>
          </rPr>
          <t xml:space="preserve">This is you rmonthly balance after the expenses </t>
        </r>
      </text>
    </comment>
    <comment ref="A34" authorId="0" shapeId="0" xr:uid="{11F7D80A-0111-40D8-9DA1-BFBBB47E644A}">
      <text>
        <r>
          <rPr>
            <b/>
            <sz val="14"/>
            <color indexed="81"/>
            <rFont val="Tahoma"/>
            <family val="2"/>
          </rPr>
          <t>Kelvin:</t>
        </r>
        <r>
          <rPr>
            <sz val="14"/>
            <color indexed="81"/>
            <rFont val="Tahoma"/>
            <family val="2"/>
          </rPr>
          <t xml:space="preserve">
</t>
        </r>
        <r>
          <rPr>
            <b/>
            <sz val="14"/>
            <color indexed="81"/>
            <rFont val="Tahoma"/>
            <family val="2"/>
          </rPr>
          <t>Assets = Liabilities + Owner's Equity</t>
        </r>
        <r>
          <rPr>
            <sz val="14"/>
            <color indexed="81"/>
            <rFont val="Tahoma"/>
            <family val="2"/>
          </rPr>
          <t xml:space="preserve">
This is how you can modify the accounts. Debit is on the left and credit is on the side
Assets (+Debit  -Credit)
Liabilities (+Debit  -Credit)
Owner's equity (-Debit  +Credit)
Drawings (+Debit  -Credit)
Income (-Debit  +Credit)
Expense ( +Debit  -Credit)</t>
        </r>
      </text>
    </comment>
    <comment ref="A36" authorId="0" shapeId="0" xr:uid="{5909BB21-84CB-43BF-B5C7-CA879AF2EE25}">
      <text>
        <r>
          <rPr>
            <b/>
            <sz val="9"/>
            <color indexed="81"/>
            <rFont val="Tahoma"/>
            <family val="2"/>
          </rPr>
          <t>Simply put the monthly balance amount (income - expense) to owner's equity account and delete all from income and expense accounts. Don’t forget to record the total income, expense to Data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A3" authorId="0" shapeId="0" xr:uid="{33BA35CC-CA7A-4395-9E10-BAEDAA49510D}">
      <text>
        <r>
          <rPr>
            <b/>
            <sz val="9"/>
            <color indexed="81"/>
            <rFont val="Tahoma"/>
            <charset val="1"/>
          </rPr>
          <t>Kelvin:</t>
        </r>
        <r>
          <rPr>
            <sz val="9"/>
            <color indexed="81"/>
            <rFont val="Tahoma"/>
            <charset val="1"/>
          </rPr>
          <t xml:space="preserve">
Data are recorded for each month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Kelvin</author>
  </authors>
  <commentList>
    <comment ref="AB10" authorId="0" shapeId="0" xr:uid="{9CF20F3A-8DD8-4F5E-A85F-E5C87D14EC9F}">
      <text>
        <r>
          <rPr>
            <b/>
            <sz val="9"/>
            <color indexed="81"/>
            <rFont val="Tahoma"/>
            <family val="2"/>
          </rPr>
          <t>Total Income/ Total expenses</t>
        </r>
      </text>
    </comment>
    <comment ref="AB12" authorId="0" shapeId="0" xr:uid="{E15EEBCC-284C-40E4-8CD7-DD50F248F38A}">
      <text>
        <r>
          <rPr>
            <b/>
            <sz val="10"/>
            <color indexed="81"/>
            <rFont val="Tahoma"/>
            <family val="2"/>
          </rPr>
          <t>Average rent/ Average Income</t>
        </r>
        <r>
          <rPr>
            <sz val="9"/>
            <color indexed="81"/>
            <rFont val="Tahoma"/>
            <family val="2"/>
          </rPr>
          <t xml:space="preserve">
</t>
        </r>
      </text>
    </comment>
    <comment ref="AB14" authorId="0" shapeId="0" xr:uid="{B5936956-310E-405D-8F64-D058D60E714B}">
      <text>
        <r>
          <rPr>
            <b/>
            <sz val="11"/>
            <color indexed="81"/>
            <rFont val="Tahoma"/>
            <family val="2"/>
          </rPr>
          <t xml:space="preserve">Avg Fixed expenses + Avg Necessities
</t>
        </r>
      </text>
    </comment>
  </commentList>
</comments>
</file>

<file path=xl/sharedStrings.xml><?xml version="1.0" encoding="utf-8"?>
<sst xmlns="http://schemas.openxmlformats.org/spreadsheetml/2006/main" count="115" uniqueCount="83">
  <si>
    <t>Total</t>
  </si>
  <si>
    <t>Total expense</t>
  </si>
  <si>
    <t>Haircut</t>
  </si>
  <si>
    <t>Groceries</t>
  </si>
  <si>
    <t>Luxurious</t>
  </si>
  <si>
    <t>Fixed expense</t>
  </si>
  <si>
    <t>Necessities</t>
  </si>
  <si>
    <t>Miscellaneous</t>
  </si>
  <si>
    <t>Education</t>
  </si>
  <si>
    <t>Balance</t>
  </si>
  <si>
    <t xml:space="preserve">Statistics </t>
  </si>
  <si>
    <t xml:space="preserve">Total Income to total expense ratio </t>
  </si>
  <si>
    <t xml:space="preserve">Month </t>
  </si>
  <si>
    <t xml:space="preserve">Entertainment </t>
  </si>
  <si>
    <t>Subscriptions</t>
  </si>
  <si>
    <t>Rent</t>
  </si>
  <si>
    <t>Minimum monthly expense</t>
  </si>
  <si>
    <t xml:space="preserve">Standard monthly expense </t>
  </si>
  <si>
    <t>Financial security goal</t>
  </si>
  <si>
    <t>Financial Independence goal</t>
  </si>
  <si>
    <t>Part-time Jobs</t>
  </si>
  <si>
    <t xml:space="preserve">Average </t>
  </si>
  <si>
    <t>Row Labels</t>
  </si>
  <si>
    <t>Grand Total</t>
  </si>
  <si>
    <t>Medical</t>
  </si>
  <si>
    <t>Transport</t>
  </si>
  <si>
    <t>Sum</t>
  </si>
  <si>
    <t>Sum of Total expense</t>
  </si>
  <si>
    <t xml:space="preserve">Total income </t>
  </si>
  <si>
    <t xml:space="preserve">Sum of Total income </t>
  </si>
  <si>
    <t xml:space="preserve">Monthly Categories spending data  </t>
  </si>
  <si>
    <t>Accounts</t>
  </si>
  <si>
    <t>Bank chequing</t>
  </si>
  <si>
    <t>Others</t>
  </si>
  <si>
    <t>Classification</t>
  </si>
  <si>
    <t xml:space="preserve">Income Balance data </t>
  </si>
  <si>
    <t xml:space="preserve">Fixed expense </t>
  </si>
  <si>
    <t>Sum of Balance</t>
  </si>
  <si>
    <t>expenses</t>
  </si>
  <si>
    <t xml:space="preserve">Income </t>
  </si>
  <si>
    <t xml:space="preserve">Classification </t>
  </si>
  <si>
    <t xml:space="preserve">General Statistics </t>
  </si>
  <si>
    <t>Average of Fixed expense</t>
  </si>
  <si>
    <t>Average of Necessities</t>
  </si>
  <si>
    <t xml:space="preserve">Total Balance </t>
  </si>
  <si>
    <t xml:space="preserve">Total Income </t>
  </si>
  <si>
    <t>Eating out</t>
  </si>
  <si>
    <t>Sum of Groceries</t>
  </si>
  <si>
    <t>Sum of Rent</t>
  </si>
  <si>
    <t>Sum of Eating out</t>
  </si>
  <si>
    <t xml:space="preserve">Sum of Entertainment </t>
  </si>
  <si>
    <t>Sum of Subscriptions</t>
  </si>
  <si>
    <t xml:space="preserve">Top 5 spendings </t>
  </si>
  <si>
    <t>RRSP</t>
  </si>
  <si>
    <t>Rent to income ratio</t>
  </si>
  <si>
    <t>This project aims to demonstrate my Excel proficiency (Calculation, Data validation, Data filtering, Pivot, Data visualization)</t>
  </si>
  <si>
    <t>This is the exact Excel file that I use to manage my personal finance, Data in this file are synthetic and for demonstration purposes</t>
  </si>
  <si>
    <t>Tech devices</t>
  </si>
  <si>
    <t>Main income</t>
  </si>
  <si>
    <t>Stock dividend</t>
  </si>
  <si>
    <t>Emergency_Fund</t>
  </si>
  <si>
    <t>Account receivables</t>
  </si>
  <si>
    <t>TFSA</t>
  </si>
  <si>
    <t>Asset</t>
  </si>
  <si>
    <t>Liability</t>
  </si>
  <si>
    <t>Chequing account</t>
  </si>
  <si>
    <t>Emergency fund (cash)</t>
  </si>
  <si>
    <t>Account Payable</t>
  </si>
  <si>
    <t>Owner's capital</t>
  </si>
  <si>
    <t>Income</t>
  </si>
  <si>
    <t>Drawings</t>
  </si>
  <si>
    <t>Total Expense</t>
  </si>
  <si>
    <t xml:space="preserve"> </t>
  </si>
  <si>
    <t>Instructions</t>
  </si>
  <si>
    <t>Debit and credit accounts</t>
  </si>
  <si>
    <t>To close income and expense account</t>
  </si>
  <si>
    <t>(All)</t>
  </si>
  <si>
    <t>Sum of Stock dividend</t>
  </si>
  <si>
    <t>Sum of Main income</t>
  </si>
  <si>
    <t>Sum of Part-time Jobs</t>
  </si>
  <si>
    <t>EQUITY</t>
  </si>
  <si>
    <t>Investing1</t>
  </si>
  <si>
    <t>investing2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</si>
</sst>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Red]\-&quot;$&quot;#,##0"/>
    <numFmt numFmtId="44" formatCode="_-&quot;$&quot;* #,##0.00_-;\-&quot;$&quot;* #,##0.00_-;_-&quot;$&quot;* &quot;-&quot;??_-;_-@_-"/>
    <numFmt numFmtId="164" formatCode="_(&quot;$&quot;* #,##0.00_);_(&quot;$&quot;* \(#,##0.00\);_(&quot;$&quot;* &quot;-&quot;??_);_(@_)"/>
    <numFmt numFmtId="165" formatCode="_(&quot;$&quot;* #,##0_);_(&quot;$&quot;* \(#,##0\);_(&quot;$&quot;* &quot;-&quot;??_);_(@_)"/>
    <numFmt numFmtId="166" formatCode="_(&quot;$&quot;* #,##0.000_);_(&quot;$&quot;* \(#,##0.000\);_(&quot;$&quot;* &quot;-&quot;??_);_(@_)"/>
    <numFmt numFmtId="167" formatCode="#,###\ \ &quot;bags&quot;"/>
  </numFmts>
  <fonts count="3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4"/>
      <color theme="1"/>
      <name val="Calibri"/>
      <family val="2"/>
      <scheme val="minor"/>
    </font>
    <font>
      <b/>
      <sz val="18"/>
      <color theme="0"/>
      <name val="Calibri"/>
      <family val="2"/>
      <scheme val="minor"/>
    </font>
    <font>
      <b/>
      <sz val="20"/>
      <color theme="0"/>
      <name val="Calibri"/>
      <family val="2"/>
      <scheme val="minor"/>
    </font>
    <font>
      <sz val="9"/>
      <color indexed="81"/>
      <name val="Tahoma"/>
      <family val="2"/>
    </font>
    <font>
      <b/>
      <sz val="9"/>
      <color indexed="81"/>
      <name val="Tahoma"/>
      <family val="2"/>
    </font>
    <font>
      <b/>
      <sz val="10"/>
      <color indexed="81"/>
      <name val="Tahoma"/>
      <family val="2"/>
    </font>
    <font>
      <b/>
      <sz val="11"/>
      <color indexed="81"/>
      <name val="Tahoma"/>
      <family val="2"/>
    </font>
    <font>
      <b/>
      <u/>
      <sz val="20"/>
      <color rgb="FFFF0000"/>
      <name val="Calibri"/>
      <family val="2"/>
      <scheme val="minor"/>
    </font>
    <font>
      <b/>
      <sz val="14"/>
      <color theme="0"/>
      <name val="Calibri"/>
      <family val="2"/>
      <scheme val="minor"/>
    </font>
    <font>
      <b/>
      <u/>
      <sz val="18"/>
      <color rgb="FFFF0000"/>
      <name val="Calibri"/>
      <family val="2"/>
      <scheme val="minor"/>
    </font>
    <font>
      <sz val="11"/>
      <color theme="0"/>
      <name val="Calibri"/>
      <family val="2"/>
      <scheme val="minor"/>
    </font>
    <font>
      <sz val="8"/>
      <name val="Calibri"/>
      <family val="2"/>
      <scheme val="minor"/>
    </font>
    <font>
      <sz val="18"/>
      <color theme="1"/>
      <name val="Calibri"/>
      <family val="2"/>
      <scheme val="minor"/>
    </font>
    <font>
      <sz val="18"/>
      <color theme="0"/>
      <name val="Calibri"/>
      <family val="2"/>
      <scheme val="minor"/>
    </font>
    <font>
      <b/>
      <sz val="24"/>
      <color rgb="FFFF0000"/>
      <name val="Calibri"/>
      <family val="2"/>
      <scheme val="minor"/>
    </font>
    <font>
      <sz val="20"/>
      <color theme="0"/>
      <name val="Calibri"/>
      <family val="2"/>
      <scheme val="minor"/>
    </font>
    <font>
      <sz val="22"/>
      <color theme="0"/>
      <name val="Calibri"/>
      <family val="2"/>
      <scheme val="minor"/>
    </font>
    <font>
      <sz val="16"/>
      <color theme="1"/>
      <name val="Calibri"/>
      <family val="2"/>
      <scheme val="minor"/>
    </font>
    <font>
      <b/>
      <sz val="22"/>
      <color theme="0"/>
      <name val="Calibri"/>
      <family val="2"/>
      <scheme val="minor"/>
    </font>
    <font>
      <b/>
      <sz val="12"/>
      <color theme="1"/>
      <name val="Calibri"/>
      <family val="2"/>
      <scheme val="minor"/>
    </font>
    <font>
      <b/>
      <sz val="22"/>
      <color rgb="FF00B0F0"/>
      <name val="Calibri"/>
      <family val="2"/>
      <scheme val="minor"/>
    </font>
    <font>
      <b/>
      <sz val="18"/>
      <color rgb="FFFF0000"/>
      <name val="Calibri"/>
      <family val="2"/>
      <scheme val="minor"/>
    </font>
    <font>
      <b/>
      <sz val="18"/>
      <color theme="1"/>
      <name val="Calibri"/>
      <family val="2"/>
      <scheme val="minor"/>
    </font>
    <font>
      <b/>
      <sz val="20"/>
      <color rgb="FFFFFF00"/>
      <name val="Calibri"/>
      <family val="2"/>
      <scheme val="minor"/>
    </font>
    <font>
      <sz val="14"/>
      <color indexed="81"/>
      <name val="Tahoma"/>
      <family val="2"/>
    </font>
    <font>
      <b/>
      <sz val="14"/>
      <color indexed="81"/>
      <name val="Tahoma"/>
      <family val="2"/>
    </font>
    <font>
      <sz val="9"/>
      <color indexed="81"/>
      <name val="Tahoma"/>
      <charset val="1"/>
    </font>
    <font>
      <b/>
      <sz val="9"/>
      <color indexed="81"/>
      <name val="Tahoma"/>
      <charset val="1"/>
    </font>
  </fonts>
  <fills count="23">
    <fill>
      <patternFill patternType="none"/>
    </fill>
    <fill>
      <patternFill patternType="gray125"/>
    </fill>
    <fill>
      <patternFill patternType="solid">
        <fgColor rgb="FF008080"/>
        <bgColor indexed="64"/>
      </patternFill>
    </fill>
    <fill>
      <patternFill patternType="solid">
        <fgColor theme="0"/>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03112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499984740745262"/>
        <bgColor indexed="64"/>
      </patternFill>
    </fill>
    <fill>
      <patternFill patternType="solid">
        <fgColor theme="9" tint="-0.499984740745262"/>
        <bgColor indexed="64"/>
      </patternFill>
    </fill>
    <fill>
      <patternFill patternType="solid">
        <fgColor rgb="FF27467D"/>
        <bgColor indexed="64"/>
      </patternFill>
    </fill>
    <fill>
      <patternFill patternType="solid">
        <fgColor rgb="FF009999"/>
        <bgColor indexed="64"/>
      </patternFill>
    </fill>
    <fill>
      <patternFill patternType="solid">
        <fgColor theme="9" tint="0.79998168889431442"/>
        <bgColor theme="9" tint="0.79998168889431442"/>
      </patternFill>
    </fill>
    <fill>
      <patternFill patternType="solid">
        <fgColor theme="6" tint="0.79998168889431442"/>
        <bgColor theme="6" tint="0.79998168889431442"/>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E5462"/>
        <bgColor indexed="64"/>
      </patternFill>
    </fill>
  </fills>
  <borders count="37">
    <border>
      <left/>
      <right/>
      <top/>
      <bottom/>
      <diagonal/>
    </border>
    <border>
      <left/>
      <right style="thick">
        <color indexed="64"/>
      </right>
      <top/>
      <bottom/>
      <diagonal/>
    </border>
    <border>
      <left style="thick">
        <color indexed="64"/>
      </left>
      <right/>
      <top/>
      <bottom/>
      <diagonal/>
    </border>
    <border>
      <left/>
      <right/>
      <top/>
      <bottom style="thin">
        <color theme="4" tint="0.39997558519241921"/>
      </bottom>
      <diagonal/>
    </border>
    <border>
      <left/>
      <right/>
      <top style="thin">
        <color theme="4" tint="0.39997558519241921"/>
      </top>
      <bottom/>
      <diagonal/>
    </border>
    <border>
      <left style="thick">
        <color indexed="64"/>
      </left>
      <right/>
      <top style="thin">
        <color theme="4" tint="0.39997558519241921"/>
      </top>
      <bottom/>
      <diagonal/>
    </border>
    <border>
      <left style="thin">
        <color theme="4" tint="0.39997558519241921"/>
      </left>
      <right/>
      <top/>
      <bottom style="thin">
        <color theme="4" tint="0.39997558519241921"/>
      </bottom>
      <diagonal/>
    </border>
    <border>
      <left style="thick">
        <color indexed="64"/>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bottom style="thin">
        <color theme="9"/>
      </bottom>
      <diagonal/>
    </border>
    <border>
      <left/>
      <right style="thick">
        <color indexed="64"/>
      </right>
      <top/>
      <bottom style="thin">
        <color theme="9"/>
      </bottom>
      <diagonal/>
    </border>
    <border>
      <left style="thin">
        <color theme="9"/>
      </left>
      <right/>
      <top style="thin">
        <color theme="9"/>
      </top>
      <bottom style="thin">
        <color theme="9"/>
      </bottom>
      <diagonal/>
    </border>
    <border>
      <left/>
      <right style="thin">
        <color indexed="64"/>
      </right>
      <top style="thin">
        <color theme="9"/>
      </top>
      <bottom style="thin">
        <color theme="9"/>
      </bottom>
      <diagonal/>
    </border>
    <border>
      <left style="thin">
        <color indexed="64"/>
      </left>
      <right/>
      <top style="thin">
        <color theme="9"/>
      </top>
      <bottom style="thin">
        <color theme="9"/>
      </bottom>
      <diagonal/>
    </border>
    <border>
      <left/>
      <right/>
      <top style="thin">
        <color theme="9"/>
      </top>
      <bottom style="thin">
        <color theme="9"/>
      </bottom>
      <diagonal/>
    </border>
    <border>
      <left/>
      <right style="thick">
        <color auto="1"/>
      </right>
      <top style="thin">
        <color theme="9"/>
      </top>
      <bottom style="thin">
        <color theme="9"/>
      </bottom>
      <diagonal/>
    </border>
    <border>
      <left style="thick">
        <color indexed="64"/>
      </left>
      <right/>
      <top style="thin">
        <color theme="9"/>
      </top>
      <bottom style="thin">
        <color theme="9"/>
      </bottom>
      <diagonal/>
    </border>
    <border>
      <left/>
      <right/>
      <top style="thin">
        <color theme="9"/>
      </top>
      <bottom/>
      <diagonal/>
    </border>
    <border>
      <left style="thin">
        <color theme="9"/>
      </left>
      <right/>
      <top style="thin">
        <color theme="9"/>
      </top>
      <bottom/>
      <diagonal/>
    </border>
    <border>
      <left style="thin">
        <color theme="9"/>
      </left>
      <right style="thick">
        <color auto="1"/>
      </right>
      <top style="thin">
        <color theme="9"/>
      </top>
      <bottom/>
      <diagonal/>
    </border>
    <border>
      <left style="thin">
        <color indexed="64"/>
      </left>
      <right/>
      <top style="thin">
        <color theme="9"/>
      </top>
      <bottom/>
      <diagonal/>
    </border>
    <border>
      <left/>
      <right style="thin">
        <color indexed="64"/>
      </right>
      <top style="thin">
        <color theme="9"/>
      </top>
      <bottom/>
      <diagonal/>
    </border>
    <border>
      <left style="thin">
        <color indexed="64"/>
      </left>
      <right/>
      <top style="thin">
        <color theme="9"/>
      </top>
      <bottom style="thin">
        <color theme="6" tint="0.39997558519241921"/>
      </bottom>
      <diagonal/>
    </border>
    <border>
      <left/>
      <right style="thin">
        <color indexed="64"/>
      </right>
      <top style="thin">
        <color theme="9"/>
      </top>
      <bottom style="thin">
        <color theme="6" tint="0.39997558519241921"/>
      </bottom>
      <diagonal/>
    </border>
    <border>
      <left style="thin">
        <color theme="6" tint="0.39997558519241921"/>
      </left>
      <right/>
      <top style="thin">
        <color theme="6" tint="0.39997558519241921"/>
      </top>
      <bottom/>
      <diagonal/>
    </border>
    <border>
      <left/>
      <right style="thin">
        <color indexed="64"/>
      </right>
      <top style="thin">
        <color theme="6" tint="0.39997558519241921"/>
      </top>
      <bottom/>
      <diagonal/>
    </border>
    <border>
      <left style="thin">
        <color indexed="64"/>
      </left>
      <right/>
      <top style="thin">
        <color theme="6" tint="0.39997558519241921"/>
      </top>
      <bottom/>
      <diagonal/>
    </border>
    <border>
      <left/>
      <right/>
      <top style="thin">
        <color theme="6" tint="0.39997558519241921"/>
      </top>
      <bottom/>
      <diagonal/>
    </border>
    <border>
      <left/>
      <right style="thick">
        <color indexed="64"/>
      </right>
      <top style="thin">
        <color theme="6" tint="0.39997558519241921"/>
      </top>
      <bottom/>
      <diagonal/>
    </border>
    <border>
      <left style="thick">
        <color indexed="64"/>
      </left>
      <right/>
      <top style="thin">
        <color theme="6" tint="0.39997558519241921"/>
      </top>
      <bottom/>
      <diagonal/>
    </border>
    <border>
      <left style="thin">
        <color indexed="64"/>
      </left>
      <right/>
      <top/>
      <bottom/>
      <diagonal/>
    </border>
    <border>
      <left/>
      <right style="thin">
        <color indexed="64"/>
      </right>
      <top/>
      <bottom/>
      <diagonal/>
    </border>
    <border>
      <left style="thin">
        <color indexed="64"/>
      </left>
      <right/>
      <top style="thin">
        <color theme="6" tint="0.39997558519241921"/>
      </top>
      <bottom style="thin">
        <color theme="6" tint="0.39997558519241921"/>
      </bottom>
      <diagonal/>
    </border>
    <border>
      <left/>
      <right style="thin">
        <color indexed="64"/>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ck">
        <color indexed="64"/>
      </left>
      <right/>
      <top style="thin">
        <color theme="6" tint="0.39997558519241921"/>
      </top>
      <bottom style="thin">
        <color theme="6" tint="0.39997558519241921"/>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cellStyleXfs>
  <cellXfs count="173">
    <xf numFmtId="0" fontId="0" fillId="0" borderId="0" xfId="0"/>
    <xf numFmtId="0" fontId="0" fillId="0" borderId="1" xfId="0" applyBorder="1"/>
    <xf numFmtId="164" fontId="0" fillId="0" borderId="0" xfId="0" applyNumberFormat="1"/>
    <xf numFmtId="2" fontId="0" fillId="0" borderId="0" xfId="0" applyNumberFormat="1"/>
    <xf numFmtId="0" fontId="0" fillId="0" borderId="0" xfId="0" applyAlignment="1">
      <alignment horizontal="center"/>
    </xf>
    <xf numFmtId="164" fontId="0" fillId="0" borderId="0" xfId="1" applyFont="1"/>
    <xf numFmtId="164" fontId="3" fillId="0" borderId="0" xfId="1" applyFont="1"/>
    <xf numFmtId="0" fontId="0" fillId="0" borderId="0" xfId="0" pivotButton="1"/>
    <xf numFmtId="0" fontId="4" fillId="0" borderId="0" xfId="0" applyFont="1" applyAlignment="1">
      <alignment vertical="center"/>
    </xf>
    <xf numFmtId="17" fontId="0" fillId="0" borderId="0" xfId="0" applyNumberFormat="1" applyAlignment="1">
      <alignment horizontal="left"/>
    </xf>
    <xf numFmtId="0" fontId="0" fillId="9" borderId="0" xfId="0" applyFill="1"/>
    <xf numFmtId="164" fontId="0" fillId="9" borderId="0" xfId="0" applyNumberFormat="1" applyFill="1"/>
    <xf numFmtId="0" fontId="14" fillId="9" borderId="0" xfId="0" applyFont="1" applyFill="1"/>
    <xf numFmtId="0" fontId="13" fillId="9" borderId="0" xfId="0" applyFont="1" applyFill="1" applyAlignment="1">
      <alignment vertical="center"/>
    </xf>
    <xf numFmtId="0" fontId="4" fillId="0" borderId="1" xfId="0" applyFont="1" applyBorder="1" applyAlignment="1">
      <alignment vertical="center"/>
    </xf>
    <xf numFmtId="2" fontId="0" fillId="11" borderId="4" xfId="0" applyNumberForma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horizontal="center"/>
    </xf>
    <xf numFmtId="2" fontId="0" fillId="5" borderId="5" xfId="0" applyNumberFormat="1" applyFill="1" applyBorder="1" applyAlignment="1">
      <alignment horizontal="center" vertical="center"/>
    </xf>
    <xf numFmtId="2" fontId="0" fillId="5" borderId="4" xfId="0" applyNumberFormat="1" applyFill="1" applyBorder="1" applyAlignment="1">
      <alignment horizontal="center" vertical="center"/>
    </xf>
    <xf numFmtId="0" fontId="0" fillId="11" borderId="5" xfId="0" applyFill="1" applyBorder="1" applyAlignment="1">
      <alignment horizontal="center" vertical="center"/>
    </xf>
    <xf numFmtId="0" fontId="0" fillId="11" borderId="4" xfId="1" applyNumberFormat="1" applyFont="1" applyFill="1" applyBorder="1" applyAlignment="1">
      <alignment horizontal="center" vertical="center"/>
    </xf>
    <xf numFmtId="2" fontId="0" fillId="11" borderId="4" xfId="1" applyNumberFormat="1" applyFont="1" applyFill="1" applyBorder="1" applyAlignment="1">
      <alignment horizontal="center" vertical="center"/>
    </xf>
    <xf numFmtId="2"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2" fontId="0" fillId="3" borderId="5" xfId="0" applyNumberFormat="1" applyFill="1" applyBorder="1" applyAlignment="1">
      <alignment horizontal="center" vertical="center"/>
    </xf>
    <xf numFmtId="2" fontId="0" fillId="3" borderId="4" xfId="0" applyNumberFormat="1" applyFill="1" applyBorder="1" applyAlignment="1">
      <alignment horizontal="center" vertical="center"/>
    </xf>
    <xf numFmtId="0" fontId="0" fillId="0" borderId="5" xfId="0" applyBorder="1" applyAlignment="1">
      <alignment horizontal="center" vertical="center"/>
    </xf>
    <xf numFmtId="0" fontId="0" fillId="0" borderId="4" xfId="1" applyNumberFormat="1" applyFont="1" applyBorder="1" applyAlignment="1">
      <alignment horizontal="center" vertical="center"/>
    </xf>
    <xf numFmtId="2" fontId="0" fillId="0" borderId="4" xfId="1" applyNumberFormat="1" applyFont="1" applyBorder="1" applyAlignment="1">
      <alignment horizontal="center" vertical="center"/>
    </xf>
    <xf numFmtId="2" fontId="0" fillId="5" borderId="5" xfId="1" applyNumberFormat="1" applyFont="1" applyFill="1" applyBorder="1" applyAlignment="1">
      <alignment horizontal="center" vertical="center"/>
    </xf>
    <xf numFmtId="2" fontId="0" fillId="5" borderId="4" xfId="1" applyNumberFormat="1" applyFont="1" applyFill="1" applyBorder="1" applyAlignment="1">
      <alignment horizontal="center" vertical="center"/>
    </xf>
    <xf numFmtId="0" fontId="0" fillId="11" borderId="5" xfId="1" applyNumberFormat="1" applyFont="1" applyFill="1" applyBorder="1" applyAlignment="1">
      <alignment horizontal="center" vertical="center"/>
    </xf>
    <xf numFmtId="2" fontId="0" fillId="3" borderId="5" xfId="1" applyNumberFormat="1" applyFont="1" applyFill="1" applyBorder="1" applyAlignment="1">
      <alignment horizontal="center" vertical="center"/>
    </xf>
    <xf numFmtId="2" fontId="0" fillId="3" borderId="4" xfId="1" applyNumberFormat="1" applyFont="1" applyFill="1" applyBorder="1" applyAlignment="1">
      <alignment horizontal="center" vertical="center"/>
    </xf>
    <xf numFmtId="0" fontId="0" fillId="0" borderId="5" xfId="1" applyNumberFormat="1" applyFont="1" applyBorder="1" applyAlignment="1">
      <alignment horizontal="center" vertical="center"/>
    </xf>
    <xf numFmtId="2" fontId="0" fillId="11" borderId="5" xfId="1" applyNumberFormat="1" applyFont="1" applyFill="1" applyBorder="1" applyAlignment="1">
      <alignment horizontal="center" vertical="center"/>
    </xf>
    <xf numFmtId="2" fontId="0" fillId="0" borderId="5" xfId="1" applyNumberFormat="1" applyFont="1" applyBorder="1" applyAlignment="1">
      <alignment horizontal="center" vertical="center"/>
    </xf>
    <xf numFmtId="17" fontId="0" fillId="11" borderId="4" xfId="0" applyNumberFormat="1" applyFill="1" applyBorder="1" applyAlignment="1">
      <alignment horizontal="center" vertical="center"/>
    </xf>
    <xf numFmtId="17" fontId="0" fillId="0" borderId="4" xfId="0" applyNumberFormat="1" applyBorder="1" applyAlignment="1">
      <alignment horizontal="center" vertical="center"/>
    </xf>
    <xf numFmtId="0" fontId="2" fillId="10" borderId="0" xfId="0" applyFont="1" applyFill="1"/>
    <xf numFmtId="2" fontId="2" fillId="10" borderId="0" xfId="0" applyNumberFormat="1" applyFont="1" applyFill="1"/>
    <xf numFmtId="0" fontId="2" fillId="13" borderId="2" xfId="0" applyFont="1" applyFill="1" applyBorder="1" applyAlignment="1">
      <alignment horizontal="left"/>
    </xf>
    <xf numFmtId="0" fontId="2" fillId="13" borderId="0" xfId="0" applyFont="1" applyFill="1" applyAlignment="1">
      <alignment horizontal="left"/>
    </xf>
    <xf numFmtId="0" fontId="2" fillId="4" borderId="2" xfId="0" applyFont="1" applyFill="1" applyBorder="1" applyAlignment="1">
      <alignment horizontal="center"/>
    </xf>
    <xf numFmtId="0" fontId="2" fillId="4" borderId="0" xfId="0" applyFont="1" applyFill="1" applyAlignment="1">
      <alignment horizontal="center"/>
    </xf>
    <xf numFmtId="164" fontId="3" fillId="0" borderId="6" xfId="0" applyNumberFormat="1" applyFont="1" applyBorder="1"/>
    <xf numFmtId="9" fontId="0" fillId="0" borderId="0" xfId="2" applyFont="1"/>
    <xf numFmtId="9" fontId="0" fillId="0" borderId="0" xfId="2" applyFont="1" applyAlignment="1"/>
    <xf numFmtId="0" fontId="16" fillId="9" borderId="0" xfId="0" applyFont="1" applyFill="1"/>
    <xf numFmtId="0" fontId="20" fillId="9" borderId="0" xfId="0" applyFont="1" applyFill="1"/>
    <xf numFmtId="164" fontId="19" fillId="9" borderId="0" xfId="1" applyFont="1" applyFill="1"/>
    <xf numFmtId="165" fontId="19" fillId="9" borderId="0" xfId="1" applyNumberFormat="1" applyFont="1" applyFill="1"/>
    <xf numFmtId="9" fontId="14" fillId="9" borderId="0" xfId="2" applyFont="1" applyFill="1"/>
    <xf numFmtId="165" fontId="0" fillId="0" borderId="0" xfId="1" applyNumberFormat="1" applyFont="1"/>
    <xf numFmtId="1" fontId="0" fillId="11" borderId="4" xfId="0" applyNumberFormat="1" applyFill="1" applyBorder="1" applyAlignment="1">
      <alignment horizontal="center" vertical="center"/>
    </xf>
    <xf numFmtId="1" fontId="0" fillId="0" borderId="4" xfId="0" applyNumberFormat="1" applyBorder="1" applyAlignment="1">
      <alignment horizontal="center" vertical="center"/>
    </xf>
    <xf numFmtId="0" fontId="0" fillId="11" borderId="0" xfId="0" applyFill="1" applyAlignment="1">
      <alignment horizontal="center" vertical="center"/>
    </xf>
    <xf numFmtId="2" fontId="0" fillId="11" borderId="2" xfId="1" applyNumberFormat="1" applyFont="1" applyFill="1" applyBorder="1" applyAlignment="1">
      <alignment horizontal="center" vertical="center"/>
    </xf>
    <xf numFmtId="2" fontId="0" fillId="11" borderId="0" xfId="1" applyNumberFormat="1" applyFont="1" applyFill="1" applyBorder="1" applyAlignment="1">
      <alignment horizontal="center" vertical="center"/>
    </xf>
    <xf numFmtId="164" fontId="0" fillId="0" borderId="3" xfId="0" applyNumberFormat="1" applyBorder="1" applyAlignment="1">
      <alignment horizontal="center"/>
    </xf>
    <xf numFmtId="164" fontId="0" fillId="0" borderId="7" xfId="0" applyNumberFormat="1" applyBorder="1" applyAlignment="1">
      <alignment horizontal="center"/>
    </xf>
    <xf numFmtId="2" fontId="0" fillId="0" borderId="3" xfId="0" applyNumberFormat="1" applyBorder="1" applyAlignment="1">
      <alignment horizontal="center"/>
    </xf>
    <xf numFmtId="2" fontId="0" fillId="0" borderId="0" xfId="1" applyNumberFormat="1" applyFont="1" applyAlignment="1">
      <alignment horizontal="center"/>
    </xf>
    <xf numFmtId="2" fontId="0" fillId="0" borderId="1" xfId="1" applyNumberFormat="1" applyFont="1" applyBorder="1" applyAlignment="1">
      <alignment horizontal="center"/>
    </xf>
    <xf numFmtId="2" fontId="0" fillId="0" borderId="1" xfId="0" applyNumberFormat="1" applyBorder="1"/>
    <xf numFmtId="44" fontId="0" fillId="0" borderId="0" xfId="0" applyNumberFormat="1"/>
    <xf numFmtId="0" fontId="0" fillId="11" borderId="9" xfId="0" applyFill="1" applyBorder="1"/>
    <xf numFmtId="0" fontId="0" fillId="0" borderId="9" xfId="0" applyBorder="1"/>
    <xf numFmtId="0" fontId="21" fillId="0" borderId="0" xfId="0" applyFont="1"/>
    <xf numFmtId="0" fontId="22" fillId="15" borderId="0" xfId="0" applyFont="1" applyFill="1" applyAlignment="1">
      <alignment horizontal="center" vertical="center"/>
    </xf>
    <xf numFmtId="0" fontId="0" fillId="16" borderId="18" xfId="0" applyFill="1" applyBorder="1"/>
    <xf numFmtId="0" fontId="0" fillId="16" borderId="19" xfId="0" applyFill="1" applyBorder="1"/>
    <xf numFmtId="0" fontId="0" fillId="16" borderId="20" xfId="0" applyFill="1" applyBorder="1"/>
    <xf numFmtId="164" fontId="0" fillId="17" borderId="25" xfId="0" applyNumberFormat="1" applyFill="1" applyBorder="1"/>
    <xf numFmtId="164" fontId="0" fillId="17" borderId="22" xfId="0" applyNumberFormat="1" applyFill="1" applyBorder="1"/>
    <xf numFmtId="0" fontId="0" fillId="17" borderId="22" xfId="0" applyFill="1" applyBorder="1"/>
    <xf numFmtId="0" fontId="0" fillId="17" borderId="26" xfId="0" applyFill="1" applyBorder="1"/>
    <xf numFmtId="164" fontId="0" fillId="17" borderId="27" xfId="0" applyNumberFormat="1" applyFill="1" applyBorder="1"/>
    <xf numFmtId="0" fontId="0" fillId="17" borderId="28" xfId="0" applyFill="1" applyBorder="1"/>
    <xf numFmtId="0" fontId="0" fillId="17" borderId="29" xfId="0" applyFill="1" applyBorder="1"/>
    <xf numFmtId="164" fontId="0" fillId="17" borderId="26" xfId="0" applyNumberFormat="1" applyFill="1" applyBorder="1"/>
    <xf numFmtId="0" fontId="0" fillId="17" borderId="30" xfId="0" applyFill="1" applyBorder="1"/>
    <xf numFmtId="0" fontId="0" fillId="17" borderId="27" xfId="0" applyFill="1" applyBorder="1"/>
    <xf numFmtId="164" fontId="0" fillId="17" borderId="0" xfId="0" applyNumberFormat="1" applyFill="1"/>
    <xf numFmtId="0" fontId="0" fillId="17" borderId="0" xfId="0" applyFill="1"/>
    <xf numFmtId="164" fontId="0" fillId="0" borderId="25" xfId="0" applyNumberFormat="1" applyBorder="1"/>
    <xf numFmtId="164" fontId="0" fillId="0" borderId="26" xfId="0" applyNumberFormat="1" applyBorder="1"/>
    <xf numFmtId="164" fontId="0" fillId="0" borderId="28" xfId="0" applyNumberFormat="1" applyBorder="1"/>
    <xf numFmtId="164" fontId="0" fillId="0" borderId="27" xfId="0" applyNumberFormat="1"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17" borderId="25" xfId="0" applyFill="1" applyBorder="1"/>
    <xf numFmtId="0" fontId="0" fillId="17" borderId="31" xfId="0" applyFill="1" applyBorder="1"/>
    <xf numFmtId="0" fontId="0" fillId="5" borderId="32" xfId="0" applyFill="1" applyBorder="1"/>
    <xf numFmtId="0" fontId="0" fillId="5" borderId="1" xfId="0" applyFill="1" applyBorder="1"/>
    <xf numFmtId="0" fontId="0" fillId="0" borderId="25" xfId="0" applyBorder="1"/>
    <xf numFmtId="0" fontId="0" fillId="0" borderId="31" xfId="0" applyBorder="1"/>
    <xf numFmtId="0" fontId="0" fillId="0" borderId="32" xfId="0" applyBorder="1"/>
    <xf numFmtId="0" fontId="0" fillId="17" borderId="32" xfId="0" applyFill="1" applyBorder="1"/>
    <xf numFmtId="0" fontId="0" fillId="17" borderId="33" xfId="0" applyFill="1" applyBorder="1"/>
    <xf numFmtId="0" fontId="0" fillId="17" borderId="34" xfId="0" applyFill="1" applyBorder="1"/>
    <xf numFmtId="0" fontId="3" fillId="18" borderId="25" xfId="0" applyFont="1" applyFill="1" applyBorder="1" applyAlignment="1">
      <alignment vertical="center"/>
    </xf>
    <xf numFmtId="164" fontId="3" fillId="18" borderId="34" xfId="0" applyNumberFormat="1" applyFont="1" applyFill="1" applyBorder="1" applyAlignment="1">
      <alignment vertical="center"/>
    </xf>
    <xf numFmtId="0" fontId="3" fillId="18" borderId="28" xfId="0" applyFont="1" applyFill="1" applyBorder="1" applyAlignment="1">
      <alignment vertical="center"/>
    </xf>
    <xf numFmtId="0" fontId="3" fillId="18" borderId="34" xfId="0" applyFont="1" applyFill="1" applyBorder="1" applyAlignment="1">
      <alignment vertical="center"/>
    </xf>
    <xf numFmtId="0" fontId="3" fillId="18" borderId="27" xfId="0" applyFont="1" applyFill="1" applyBorder="1" applyAlignment="1">
      <alignment vertical="center"/>
    </xf>
    <xf numFmtId="0" fontId="3" fillId="18" borderId="26" xfId="0" applyFont="1" applyFill="1" applyBorder="1" applyAlignment="1">
      <alignment vertical="center"/>
    </xf>
    <xf numFmtId="44" fontId="3" fillId="18" borderId="26" xfId="0" applyNumberFormat="1" applyFont="1" applyFill="1" applyBorder="1" applyAlignment="1">
      <alignment vertical="center"/>
    </xf>
    <xf numFmtId="0" fontId="3" fillId="18" borderId="29" xfId="0" applyFont="1" applyFill="1" applyBorder="1" applyAlignment="1">
      <alignment vertical="center"/>
    </xf>
    <xf numFmtId="0" fontId="3" fillId="19" borderId="35" xfId="0" applyFont="1" applyFill="1" applyBorder="1" applyAlignment="1">
      <alignment vertical="center"/>
    </xf>
    <xf numFmtId="164" fontId="3" fillId="19" borderId="34" xfId="0" applyNumberFormat="1" applyFont="1" applyFill="1" applyBorder="1" applyAlignment="1">
      <alignment vertical="center"/>
    </xf>
    <xf numFmtId="0" fontId="3" fillId="19" borderId="28" xfId="0" applyFont="1" applyFill="1" applyBorder="1" applyAlignment="1">
      <alignment vertical="center"/>
    </xf>
    <xf numFmtId="0" fontId="3" fillId="19" borderId="36" xfId="0" applyFont="1" applyFill="1" applyBorder="1" applyAlignment="1">
      <alignment vertical="center"/>
    </xf>
    <xf numFmtId="0" fontId="3" fillId="19" borderId="33" xfId="0" applyFont="1" applyFill="1" applyBorder="1" applyAlignment="1">
      <alignment vertical="center"/>
    </xf>
    <xf numFmtId="0" fontId="3" fillId="19" borderId="34" xfId="0" applyFont="1" applyFill="1" applyBorder="1" applyAlignment="1">
      <alignment vertical="center"/>
    </xf>
    <xf numFmtId="0" fontId="3" fillId="19" borderId="0" xfId="0" applyFont="1" applyFill="1" applyAlignment="1">
      <alignment vertical="center"/>
    </xf>
    <xf numFmtId="0" fontId="3" fillId="0" borderId="0" xfId="0" applyFont="1" applyAlignment="1">
      <alignment vertical="center"/>
    </xf>
    <xf numFmtId="167" fontId="0" fillId="0" borderId="0" xfId="0" applyNumberFormat="1"/>
    <xf numFmtId="164" fontId="0" fillId="11" borderId="8" xfId="0" applyNumberFormat="1" applyFill="1" applyBorder="1"/>
    <xf numFmtId="164" fontId="0" fillId="0" borderId="8" xfId="0" applyNumberFormat="1" applyBorder="1"/>
    <xf numFmtId="0" fontId="3" fillId="21" borderId="0" xfId="0" applyFont="1" applyFill="1" applyAlignment="1">
      <alignment horizontal="center"/>
    </xf>
    <xf numFmtId="165" fontId="26" fillId="20" borderId="0" xfId="0" applyNumberFormat="1" applyFont="1" applyFill="1" applyAlignment="1">
      <alignment horizontal="center" vertical="center"/>
    </xf>
    <xf numFmtId="165" fontId="26" fillId="20" borderId="1" xfId="0" applyNumberFormat="1" applyFont="1" applyFill="1" applyBorder="1" applyAlignment="1">
      <alignment horizontal="center" vertical="center"/>
    </xf>
    <xf numFmtId="165" fontId="26" fillId="20" borderId="2" xfId="0" applyNumberFormat="1" applyFont="1" applyFill="1" applyBorder="1" applyAlignment="1">
      <alignment horizontal="center" vertical="center"/>
    </xf>
    <xf numFmtId="166" fontId="0" fillId="0" borderId="2" xfId="0" applyNumberFormat="1" applyBorder="1" applyAlignment="1">
      <alignment horizontal="center"/>
    </xf>
    <xf numFmtId="166" fontId="0" fillId="0" borderId="0" xfId="0" applyNumberFormat="1" applyAlignment="1">
      <alignment horizontal="center"/>
    </xf>
    <xf numFmtId="0" fontId="6" fillId="2" borderId="0" xfId="0" applyFont="1" applyFill="1" applyAlignment="1">
      <alignment horizontal="center" vertical="center"/>
    </xf>
    <xf numFmtId="0" fontId="6" fillId="2" borderId="2" xfId="0" applyFont="1" applyFill="1" applyBorder="1" applyAlignment="1">
      <alignment horizontal="center" vertical="center"/>
    </xf>
    <xf numFmtId="164" fontId="27" fillId="2" borderId="0" xfId="3" applyFont="1" applyFill="1" applyAlignment="1">
      <alignment horizontal="center" vertical="center"/>
    </xf>
    <xf numFmtId="164" fontId="27" fillId="2" borderId="1" xfId="3" applyFont="1" applyFill="1" applyBorder="1" applyAlignment="1">
      <alignment horizontal="center" vertical="center"/>
    </xf>
    <xf numFmtId="0" fontId="3" fillId="16" borderId="21" xfId="0" applyFont="1" applyFill="1" applyBorder="1" applyAlignment="1">
      <alignment horizontal="center"/>
    </xf>
    <xf numFmtId="0" fontId="3" fillId="16" borderId="22" xfId="0" applyFont="1" applyFill="1" applyBorder="1" applyAlignment="1">
      <alignment horizontal="center"/>
    </xf>
    <xf numFmtId="0" fontId="3" fillId="16" borderId="23" xfId="0" applyFont="1" applyFill="1" applyBorder="1" applyAlignment="1">
      <alignment horizontal="center"/>
    </xf>
    <xf numFmtId="0" fontId="3" fillId="16" borderId="24" xfId="0" applyFont="1" applyFill="1" applyBorder="1" applyAlignment="1">
      <alignment horizontal="center"/>
    </xf>
    <xf numFmtId="0" fontId="3" fillId="16" borderId="0" xfId="0" applyFont="1" applyFill="1" applyAlignment="1">
      <alignment horizontal="center"/>
    </xf>
    <xf numFmtId="1" fontId="24" fillId="0" borderId="0" xfId="0" applyNumberFormat="1" applyFont="1" applyAlignment="1">
      <alignment horizontal="center" vertical="center"/>
    </xf>
    <xf numFmtId="1" fontId="24" fillId="0" borderId="1" xfId="0" applyNumberFormat="1" applyFont="1" applyBorder="1" applyAlignment="1">
      <alignment horizontal="center" vertical="center"/>
    </xf>
    <xf numFmtId="0" fontId="25" fillId="0" borderId="2" xfId="0" applyFont="1" applyBorder="1" applyAlignment="1">
      <alignment horizontal="center" vertical="center"/>
    </xf>
    <xf numFmtId="0" fontId="25" fillId="0" borderId="0" xfId="0" applyFont="1" applyAlignment="1">
      <alignment horizontal="center" vertical="center"/>
    </xf>
    <xf numFmtId="0" fontId="25" fillId="0" borderId="1" xfId="0" applyFont="1" applyBorder="1" applyAlignment="1">
      <alignment horizontal="center" vertical="center"/>
    </xf>
    <xf numFmtId="0" fontId="22" fillId="22" borderId="10" xfId="0" applyFont="1" applyFill="1" applyBorder="1" applyAlignment="1">
      <alignment horizontal="center" vertical="center"/>
    </xf>
    <xf numFmtId="0" fontId="22" fillId="22" borderId="11" xfId="0" applyFont="1" applyFill="1" applyBorder="1" applyAlignment="1">
      <alignment horizontal="center" vertical="center"/>
    </xf>
    <xf numFmtId="0" fontId="22" fillId="15" borderId="0" xfId="0" applyFont="1" applyFill="1" applyAlignment="1">
      <alignment horizontal="center" vertical="center"/>
    </xf>
    <xf numFmtId="0" fontId="23" fillId="16" borderId="12" xfId="0" applyFont="1" applyFill="1" applyBorder="1" applyAlignment="1">
      <alignment horizontal="center"/>
    </xf>
    <xf numFmtId="0" fontId="23" fillId="16" borderId="13" xfId="0" applyFont="1" applyFill="1" applyBorder="1" applyAlignment="1">
      <alignment horizontal="center"/>
    </xf>
    <xf numFmtId="0" fontId="23" fillId="16" borderId="14" xfId="0" applyFont="1" applyFill="1" applyBorder="1" applyAlignment="1">
      <alignment horizontal="center"/>
    </xf>
    <xf numFmtId="0" fontId="23" fillId="16" borderId="15" xfId="0" applyFont="1" applyFill="1" applyBorder="1" applyAlignment="1">
      <alignment horizontal="center"/>
    </xf>
    <xf numFmtId="0" fontId="23" fillId="16" borderId="16" xfId="0" applyFont="1" applyFill="1" applyBorder="1" applyAlignment="1">
      <alignment horizontal="center"/>
    </xf>
    <xf numFmtId="0" fontId="3" fillId="16" borderId="17" xfId="0" applyFont="1" applyFill="1" applyBorder="1" applyAlignment="1">
      <alignment horizontal="center"/>
    </xf>
    <xf numFmtId="0" fontId="3" fillId="16" borderId="13" xfId="0" applyFont="1" applyFill="1" applyBorder="1" applyAlignment="1">
      <alignment horizontal="center"/>
    </xf>
    <xf numFmtId="0" fontId="6" fillId="7" borderId="0" xfId="0" applyFont="1" applyFill="1" applyAlignment="1">
      <alignment horizontal="center" vertical="center"/>
    </xf>
    <xf numFmtId="0" fontId="6" fillId="12" borderId="0" xfId="0" applyFont="1" applyFill="1" applyAlignment="1">
      <alignment horizontal="center" vertical="center"/>
    </xf>
    <xf numFmtId="0" fontId="5" fillId="6" borderId="0" xfId="0" applyFont="1" applyFill="1" applyAlignment="1">
      <alignment horizontal="center" vertical="center"/>
    </xf>
    <xf numFmtId="0" fontId="12" fillId="8" borderId="0" xfId="0" applyFont="1" applyFill="1" applyAlignment="1">
      <alignment horizontal="center" vertical="center"/>
    </xf>
    <xf numFmtId="0" fontId="5" fillId="14" borderId="0" xfId="0" applyFont="1" applyFill="1" applyAlignment="1">
      <alignment horizontal="center" vertical="center"/>
    </xf>
    <xf numFmtId="0" fontId="12" fillId="2" borderId="0" xfId="0" applyFont="1" applyFill="1" applyAlignment="1">
      <alignment horizontal="center"/>
    </xf>
    <xf numFmtId="0" fontId="12" fillId="2" borderId="0" xfId="0" applyFont="1" applyFill="1" applyAlignment="1">
      <alignment horizontal="center" vertical="center"/>
    </xf>
    <xf numFmtId="0" fontId="0" fillId="0" borderId="0" xfId="0"/>
    <xf numFmtId="0" fontId="18" fillId="9" borderId="0" xfId="0" applyFont="1" applyFill="1" applyAlignment="1">
      <alignment horizontal="center" vertical="center"/>
    </xf>
    <xf numFmtId="0" fontId="17" fillId="9" borderId="0" xfId="0" applyFont="1" applyFill="1" applyAlignment="1">
      <alignment horizontal="center" vertical="center"/>
    </xf>
    <xf numFmtId="9" fontId="17" fillId="9" borderId="0" xfId="2" applyFont="1" applyFill="1" applyAlignment="1">
      <alignment horizontal="center" vertical="center"/>
    </xf>
    <xf numFmtId="165" fontId="17" fillId="9" borderId="0" xfId="0" applyNumberFormat="1" applyFont="1" applyFill="1" applyAlignment="1">
      <alignment horizontal="center" vertical="center"/>
    </xf>
    <xf numFmtId="165" fontId="17" fillId="9" borderId="0" xfId="1" applyNumberFormat="1" applyFont="1" applyFill="1" applyAlignment="1">
      <alignment horizontal="center" vertical="center"/>
    </xf>
    <xf numFmtId="1" fontId="4" fillId="9" borderId="0" xfId="0" applyNumberFormat="1" applyFont="1" applyFill="1" applyAlignment="1">
      <alignment horizontal="center" vertical="center"/>
    </xf>
    <xf numFmtId="0" fontId="11" fillId="9" borderId="0" xfId="0" applyFont="1" applyFill="1" applyAlignment="1">
      <alignment horizontal="center" vertical="center"/>
    </xf>
    <xf numFmtId="6" fontId="17" fillId="9" borderId="0" xfId="1" applyNumberFormat="1" applyFont="1" applyFill="1" applyAlignment="1">
      <alignment horizontal="right" vertical="center"/>
    </xf>
    <xf numFmtId="0" fontId="13" fillId="9" borderId="0" xfId="0" applyFont="1" applyFill="1" applyAlignment="1">
      <alignment horizontal="center" vertical="center"/>
    </xf>
    <xf numFmtId="0" fontId="0" fillId="0" borderId="0" xfId="0" applyNumberFormat="1"/>
  </cellXfs>
  <cellStyles count="4">
    <cellStyle name="Currency" xfId="1" builtinId="4"/>
    <cellStyle name="Currency 2" xfId="3" xr:uid="{9D6BA884-C38D-4D08-BDE1-058BE63FE87D}"/>
    <cellStyle name="Normal" xfId="0" builtinId="0"/>
    <cellStyle name="Percent" xfId="2" builtinId="5"/>
  </cellStyles>
  <dxfs count="18">
    <dxf>
      <font>
        <b/>
        <i val="0"/>
        <color rgb="FF00B0F0"/>
      </font>
    </dxf>
    <dxf>
      <font>
        <b/>
        <i val="0"/>
        <color rgb="FF00B0F0"/>
      </font>
    </dxf>
    <dxf>
      <font>
        <b/>
        <i val="0"/>
        <color rgb="FFFF0000"/>
      </font>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ck">
          <color indexed="64"/>
        </left>
        <right/>
        <top style="thin">
          <color theme="4" tint="0.39997558519241921"/>
        </top>
        <bottom/>
        <vertical/>
        <horizontal/>
      </border>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22" formatCode="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double">
          <color theme="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tint="-0.249977111117893"/>
        </patternFill>
      </fill>
      <alignment horizontal="center" vertical="bottom" textRotation="0" wrapText="0" indent="0" justifyLastLine="0" shrinkToFit="0" readingOrder="0"/>
    </dxf>
    <dxf>
      <numFmt numFmtId="164" formatCode="_(&quot;$&quot;* #,##0.00_);_(&quot;$&quot;* \(#,##0.00\);_(&quot;$&quot;* &quot;-&quot;??_);_(@_)"/>
    </dxf>
  </dxfs>
  <tableStyles count="1" defaultTableStyle="TableStyleMedium2" defaultPivotStyle="PivotStyleLight16">
    <tableStyle name="Slicer Style 1" pivot="0" table="0" count="1" xr9:uid="{EA5146C9-399C-451E-86F4-E8DD00FA3E8F}"/>
  </tableStyles>
  <colors>
    <mruColors>
      <color rgb="FF233E6F"/>
      <color rgb="FF33CCCC"/>
      <color rgb="FF0E5462"/>
      <color rgb="FF27467D"/>
      <color rgb="FFEC628D"/>
      <color rgb="FFFF5050"/>
      <color rgb="FFFF7C80"/>
      <color rgb="FF008080"/>
      <color rgb="FF031123"/>
      <color rgb="FFC66F10"/>
    </mruColors>
  </colors>
  <extLst>
    <ext xmlns:x14="http://schemas.microsoft.com/office/spreadsheetml/2009/9/main" uri="{46F421CA-312F-682f-3DD2-61675219B42D}">
      <x14:dxfs count="1">
        <dxf>
          <fill>
            <patternFill>
              <bgColor theme="3"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t>Assets</a:t>
            </a:r>
            <a:r>
              <a:rPr lang="en-US" sz="2400" b="1" baseline="0"/>
              <a:t> by accounts</a:t>
            </a:r>
            <a:r>
              <a:rPr lang="en-US" sz="2400" b="1"/>
              <a:t> </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4682711216212604"/>
          <c:y val="0.17076412520931236"/>
          <c:w val="0.47073068893528186"/>
          <c:h val="0.7785911602209945"/>
        </c:manualLayout>
      </c:layout>
      <c:doughnutChart>
        <c:varyColors val="1"/>
        <c:ser>
          <c:idx val="0"/>
          <c:order val="0"/>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EB52-4928-BE67-A189A98DE4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52-4928-BE67-A189A98DE4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52-4928-BE67-A189A98DE457}"/>
              </c:ext>
            </c:extLst>
          </c:dPt>
          <c:dPt>
            <c:idx val="3"/>
            <c:bubble3D val="0"/>
            <c:spPr>
              <a:solidFill>
                <a:srgbClr val="008080"/>
              </a:solidFill>
              <a:ln w="19050">
                <a:solidFill>
                  <a:schemeClr val="lt1"/>
                </a:solidFill>
              </a:ln>
              <a:effectLst/>
            </c:spPr>
            <c:extLst>
              <c:ext xmlns:c16="http://schemas.microsoft.com/office/drawing/2014/chart" uri="{C3380CC4-5D6E-409C-BE32-E72D297353CC}">
                <c16:uniqueId val="{00000007-EB52-4928-BE67-A189A98DE4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B52-4928-BE67-A189A98DE457}"/>
              </c:ext>
            </c:extLst>
          </c:dPt>
          <c:dLbls>
            <c:dLbl>
              <c:idx val="0"/>
              <c:layout>
                <c:manualLayout>
                  <c:x val="0.12221760263877973"/>
                  <c:y val="0.214439927964187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52-4928-BE67-A189A98DE457}"/>
                </c:ext>
              </c:extLst>
            </c:dLbl>
            <c:dLbl>
              <c:idx val="1"/>
              <c:layout>
                <c:manualLayout>
                  <c:x val="-0.11297016731333161"/>
                  <c:y val="0.147020711898406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52-4928-BE67-A189A98DE457}"/>
                </c:ext>
              </c:extLst>
            </c:dLbl>
            <c:dLbl>
              <c:idx val="2"/>
              <c:layout>
                <c:manualLayout>
                  <c:x val="-0.14105675503576801"/>
                  <c:y val="-6.35558630037780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52-4928-BE67-A189A98DE457}"/>
                </c:ext>
              </c:extLst>
            </c:dLbl>
            <c:dLbl>
              <c:idx val="3"/>
              <c:layout>
                <c:manualLayout>
                  <c:x val="-0.14700260783926428"/>
                  <c:y val="-0.19845998615681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52-4928-BE67-A189A98DE457}"/>
                </c:ext>
              </c:extLst>
            </c:dLbl>
            <c:dLbl>
              <c:idx val="4"/>
              <c:layout>
                <c:manualLayout>
                  <c:x val="5.262641735649632E-2"/>
                  <c:y val="-0.198394895967853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52-4928-BE67-A189A98DE457}"/>
                </c:ext>
              </c:extLst>
            </c:dLbl>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'3.Data'!$X$6:$X$10</c:f>
              <c:strCache>
                <c:ptCount val="5"/>
                <c:pt idx="0">
                  <c:v>Bank chequing</c:v>
                </c:pt>
                <c:pt idx="1">
                  <c:v>RRSP</c:v>
                </c:pt>
                <c:pt idx="2">
                  <c:v>Emergency_Fund</c:v>
                </c:pt>
                <c:pt idx="3">
                  <c:v>Account receivables</c:v>
                </c:pt>
                <c:pt idx="4">
                  <c:v>TFSA</c:v>
                </c:pt>
              </c:strCache>
            </c:strRef>
          </c:cat>
          <c:val>
            <c:numRef>
              <c:f>'3.Data'!$Y$6:$Y$10</c:f>
              <c:numCache>
                <c:formatCode>_("$"* #,##0.00_);_("$"* \(#,##0.00\);_("$"* "-"??_);_(@_)</c:formatCode>
                <c:ptCount val="5"/>
                <c:pt idx="0">
                  <c:v>123534</c:v>
                </c:pt>
                <c:pt idx="1">
                  <c:v>23123</c:v>
                </c:pt>
                <c:pt idx="2">
                  <c:v>12460</c:v>
                </c:pt>
                <c:pt idx="3">
                  <c:v>1000</c:v>
                </c:pt>
                <c:pt idx="4">
                  <c:v>25070</c:v>
                </c:pt>
              </c:numCache>
            </c:numRef>
          </c:val>
          <c:extLst>
            <c:ext xmlns:c16="http://schemas.microsoft.com/office/drawing/2014/chart" uri="{C3380CC4-5D6E-409C-BE32-E72D297353CC}">
              <c16:uniqueId val="{0000000A-EB52-4928-BE67-A189A98DE457}"/>
            </c:ext>
          </c:extLst>
        </c:ser>
        <c:dLbls>
          <c:showLegendKey val="0"/>
          <c:showVal val="1"/>
          <c:showCatName val="0"/>
          <c:showSerName val="0"/>
          <c:showPercent val="0"/>
          <c:showBubbleSize val="0"/>
          <c:showLeaderLines val="1"/>
        </c:dLbls>
        <c:firstSliceAng val="0"/>
        <c:holeSize val="63"/>
      </c:doughnutChart>
      <c:spPr>
        <a:noFill/>
        <a:ln>
          <a:noFill/>
        </a:ln>
        <a:effectLst/>
      </c:spPr>
    </c:plotArea>
    <c:legend>
      <c:legendPos val="r"/>
      <c:layout>
        <c:manualLayout>
          <c:xMode val="edge"/>
          <c:yMode val="edge"/>
          <c:x val="0.62908476306371386"/>
          <c:y val="0.13045656061038177"/>
          <c:w val="0.36351522493254784"/>
          <c:h val="0.5912272878873565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[Personal_Finance_Dashboard.xlsx]4.Pivot!expenses</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Monthly</a:t>
            </a:r>
            <a:r>
              <a:rPr lang="en-US" sz="2400" b="1" baseline="0">
                <a:solidFill>
                  <a:schemeClr val="bg1"/>
                </a:solidFill>
              </a:rPr>
              <a:t> total expenses </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66F10"/>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'4.Pivot'!$B$2</c:f>
              <c:strCache>
                <c:ptCount val="1"/>
                <c:pt idx="0">
                  <c:v>Total</c:v>
                </c:pt>
              </c:strCache>
            </c:strRef>
          </c:tx>
          <c:spPr>
            <a:solidFill>
              <a:srgbClr val="C66F10"/>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47625" cap="rnd" cmpd="sng">
                <a:solidFill>
                  <a:srgbClr val="3AEEE1"/>
                </a:solidFill>
                <a:prstDash val="sysDot"/>
              </a:ln>
              <a:effectLst/>
            </c:spPr>
            <c:trendlineType val="movingAvg"/>
            <c:period val="2"/>
            <c:dispRSqr val="0"/>
            <c:dispEq val="0"/>
          </c:trendline>
          <c:cat>
            <c:strRef>
              <c:f>'4.Pivot'!$A$3:$A$30</c:f>
              <c:strCache>
                <c:ptCount val="27"/>
                <c:pt idx="0">
                  <c:v>Oct-22</c:v>
                </c:pt>
                <c:pt idx="1">
                  <c:v>Nov-22</c:v>
                </c:pt>
                <c:pt idx="2">
                  <c:v>Dec-22</c:v>
                </c:pt>
                <c:pt idx="3">
                  <c:v>Jan-23</c:v>
                </c:pt>
                <c:pt idx="4">
                  <c:v>Feb-23</c:v>
                </c:pt>
                <c:pt idx="5">
                  <c:v>Mar-23</c:v>
                </c:pt>
                <c:pt idx="6">
                  <c:v>Apr-23</c:v>
                </c:pt>
                <c:pt idx="7">
                  <c:v>May-23</c:v>
                </c:pt>
                <c:pt idx="8">
                  <c:v>Jun-23</c:v>
                </c:pt>
                <c:pt idx="9">
                  <c:v>Jul-23</c:v>
                </c:pt>
                <c:pt idx="10">
                  <c:v>Aug-23</c:v>
                </c:pt>
                <c:pt idx="11">
                  <c:v>Sep-23</c:v>
                </c:pt>
                <c:pt idx="12">
                  <c:v>Oct-23</c:v>
                </c:pt>
                <c:pt idx="13">
                  <c:v>Nov-23</c:v>
                </c:pt>
                <c:pt idx="14">
                  <c:v>Dec-23</c:v>
                </c:pt>
                <c:pt idx="15">
                  <c:v>Jan-24</c:v>
                </c:pt>
                <c:pt idx="16">
                  <c:v>Feb-24</c:v>
                </c:pt>
                <c:pt idx="17">
                  <c:v>Mar-24</c:v>
                </c:pt>
                <c:pt idx="18">
                  <c:v>Apr-24</c:v>
                </c:pt>
                <c:pt idx="19">
                  <c:v>May-24</c:v>
                </c:pt>
                <c:pt idx="20">
                  <c:v>Jun-24</c:v>
                </c:pt>
                <c:pt idx="21">
                  <c:v>Jul-24</c:v>
                </c:pt>
                <c:pt idx="22">
                  <c:v>Aug-24</c:v>
                </c:pt>
                <c:pt idx="23">
                  <c:v>Sep-24</c:v>
                </c:pt>
                <c:pt idx="24">
                  <c:v>Oct-24</c:v>
                </c:pt>
                <c:pt idx="25">
                  <c:v>Nov-24</c:v>
                </c:pt>
                <c:pt idx="26">
                  <c:v>Dec-24</c:v>
                </c:pt>
              </c:strCache>
            </c:strRef>
          </c:cat>
          <c:val>
            <c:numRef>
              <c:f>'4.Pivot'!$B$3:$B$30</c:f>
              <c:numCache>
                <c:formatCode>General</c:formatCode>
                <c:ptCount val="27"/>
                <c:pt idx="0">
                  <c:v>1382</c:v>
                </c:pt>
                <c:pt idx="1">
                  <c:v>1253</c:v>
                </c:pt>
                <c:pt idx="2">
                  <c:v>1590</c:v>
                </c:pt>
                <c:pt idx="3">
                  <c:v>1434</c:v>
                </c:pt>
                <c:pt idx="4">
                  <c:v>1473</c:v>
                </c:pt>
                <c:pt idx="5">
                  <c:v>1520</c:v>
                </c:pt>
                <c:pt idx="6">
                  <c:v>1731</c:v>
                </c:pt>
                <c:pt idx="7">
                  <c:v>1933</c:v>
                </c:pt>
                <c:pt idx="8">
                  <c:v>2040</c:v>
                </c:pt>
                <c:pt idx="9">
                  <c:v>2179</c:v>
                </c:pt>
                <c:pt idx="10">
                  <c:v>1778</c:v>
                </c:pt>
                <c:pt idx="11">
                  <c:v>1660</c:v>
                </c:pt>
                <c:pt idx="12">
                  <c:v>1741</c:v>
                </c:pt>
                <c:pt idx="13">
                  <c:v>2434</c:v>
                </c:pt>
                <c:pt idx="14">
                  <c:v>1710</c:v>
                </c:pt>
                <c:pt idx="15">
                  <c:v>1741</c:v>
                </c:pt>
                <c:pt idx="16">
                  <c:v>1726</c:v>
                </c:pt>
                <c:pt idx="17">
                  <c:v>1680</c:v>
                </c:pt>
                <c:pt idx="18">
                  <c:v>1757</c:v>
                </c:pt>
                <c:pt idx="19">
                  <c:v>2070</c:v>
                </c:pt>
                <c:pt idx="20">
                  <c:v>1975</c:v>
                </c:pt>
                <c:pt idx="21">
                  <c:v>1851</c:v>
                </c:pt>
                <c:pt idx="22">
                  <c:v>2005</c:v>
                </c:pt>
                <c:pt idx="23">
                  <c:v>1810</c:v>
                </c:pt>
                <c:pt idx="24">
                  <c:v>1987</c:v>
                </c:pt>
                <c:pt idx="25">
                  <c:v>1723</c:v>
                </c:pt>
                <c:pt idx="26">
                  <c:v>1913</c:v>
                </c:pt>
              </c:numCache>
            </c:numRef>
          </c:val>
          <c:extLst>
            <c:ext xmlns:c16="http://schemas.microsoft.com/office/drawing/2014/chart" uri="{C3380CC4-5D6E-409C-BE32-E72D297353CC}">
              <c16:uniqueId val="{00000000-5D8F-48F7-B027-7043486B5683}"/>
            </c:ext>
          </c:extLst>
        </c:ser>
        <c:dLbls>
          <c:showLegendKey val="0"/>
          <c:showVal val="0"/>
          <c:showCatName val="0"/>
          <c:showSerName val="0"/>
          <c:showPercent val="0"/>
          <c:showBubbleSize val="0"/>
        </c:dLbls>
        <c:gapWidth val="219"/>
        <c:overlap val="-27"/>
        <c:axId val="746394863"/>
        <c:axId val="754249567"/>
      </c:barChart>
      <c:catAx>
        <c:axId val="74639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54249567"/>
        <c:crosses val="autoZero"/>
        <c:auto val="1"/>
        <c:lblAlgn val="ctr"/>
        <c:lblOffset val="100"/>
        <c:noMultiLvlLbl val="0"/>
      </c:catAx>
      <c:valAx>
        <c:axId val="75424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4639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[Personal_Finance_Dashboard.xlsx]4.Pivot!Income </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Monthly</a:t>
            </a:r>
            <a:r>
              <a:rPr lang="en-US" sz="2400" b="1" baseline="0">
                <a:solidFill>
                  <a:schemeClr val="bg1"/>
                </a:solidFill>
              </a:rPr>
              <a:t> total Income</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C628D"/>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83073519031221E-2"/>
          <c:y val="0.20419004764179183"/>
          <c:w val="0.91661635654593321"/>
          <c:h val="0.66876408793946684"/>
        </c:manualLayout>
      </c:layout>
      <c:barChart>
        <c:barDir val="col"/>
        <c:grouping val="clustered"/>
        <c:varyColors val="0"/>
        <c:ser>
          <c:idx val="0"/>
          <c:order val="0"/>
          <c:tx>
            <c:strRef>
              <c:f>'4.Pivot'!$E$2</c:f>
              <c:strCache>
                <c:ptCount val="1"/>
                <c:pt idx="0">
                  <c:v>Total</c:v>
                </c:pt>
              </c:strCache>
            </c:strRef>
          </c:tx>
          <c:spPr>
            <a:solidFill>
              <a:srgbClr val="EC628D"/>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57150" cap="rnd">
                <a:solidFill>
                  <a:srgbClr val="33CCCC"/>
                </a:solidFill>
                <a:prstDash val="sysDot"/>
              </a:ln>
              <a:effectLst/>
            </c:spPr>
            <c:trendlineType val="movingAvg"/>
            <c:period val="2"/>
            <c:dispRSqr val="0"/>
            <c:dispEq val="0"/>
          </c:trendline>
          <c:cat>
            <c:strRef>
              <c:f>'4.Pivot'!$D$3:$D$30</c:f>
              <c:strCache>
                <c:ptCount val="27"/>
                <c:pt idx="0">
                  <c:v>Oct-22</c:v>
                </c:pt>
                <c:pt idx="1">
                  <c:v>Nov-22</c:v>
                </c:pt>
                <c:pt idx="2">
                  <c:v>Dec-22</c:v>
                </c:pt>
                <c:pt idx="3">
                  <c:v>Jan-23</c:v>
                </c:pt>
                <c:pt idx="4">
                  <c:v>Feb-23</c:v>
                </c:pt>
                <c:pt idx="5">
                  <c:v>Mar-23</c:v>
                </c:pt>
                <c:pt idx="6">
                  <c:v>Apr-23</c:v>
                </c:pt>
                <c:pt idx="7">
                  <c:v>May-23</c:v>
                </c:pt>
                <c:pt idx="8">
                  <c:v>Jun-23</c:v>
                </c:pt>
                <c:pt idx="9">
                  <c:v>Jul-23</c:v>
                </c:pt>
                <c:pt idx="10">
                  <c:v>Aug-23</c:v>
                </c:pt>
                <c:pt idx="11">
                  <c:v>Sep-23</c:v>
                </c:pt>
                <c:pt idx="12">
                  <c:v>Oct-23</c:v>
                </c:pt>
                <c:pt idx="13">
                  <c:v>Nov-23</c:v>
                </c:pt>
                <c:pt idx="14">
                  <c:v>Dec-23</c:v>
                </c:pt>
                <c:pt idx="15">
                  <c:v>Jan-24</c:v>
                </c:pt>
                <c:pt idx="16">
                  <c:v>Feb-24</c:v>
                </c:pt>
                <c:pt idx="17">
                  <c:v>Mar-24</c:v>
                </c:pt>
                <c:pt idx="18">
                  <c:v>Apr-24</c:v>
                </c:pt>
                <c:pt idx="19">
                  <c:v>May-24</c:v>
                </c:pt>
                <c:pt idx="20">
                  <c:v>Jun-24</c:v>
                </c:pt>
                <c:pt idx="21">
                  <c:v>Jul-24</c:v>
                </c:pt>
                <c:pt idx="22">
                  <c:v>Aug-24</c:v>
                </c:pt>
                <c:pt idx="23">
                  <c:v>Sep-24</c:v>
                </c:pt>
                <c:pt idx="24">
                  <c:v>Oct-24</c:v>
                </c:pt>
                <c:pt idx="25">
                  <c:v>Nov-24</c:v>
                </c:pt>
                <c:pt idx="26">
                  <c:v>Dec-24</c:v>
                </c:pt>
              </c:strCache>
            </c:strRef>
          </c:cat>
          <c:val>
            <c:numRef>
              <c:f>'4.Pivot'!$E$3:$E$30</c:f>
              <c:numCache>
                <c:formatCode>General</c:formatCode>
                <c:ptCount val="27"/>
                <c:pt idx="0">
                  <c:v>3320</c:v>
                </c:pt>
                <c:pt idx="1">
                  <c:v>3504</c:v>
                </c:pt>
                <c:pt idx="2">
                  <c:v>3484</c:v>
                </c:pt>
                <c:pt idx="3">
                  <c:v>3644</c:v>
                </c:pt>
                <c:pt idx="4">
                  <c:v>3484</c:v>
                </c:pt>
                <c:pt idx="5">
                  <c:v>3534</c:v>
                </c:pt>
                <c:pt idx="6">
                  <c:v>3554</c:v>
                </c:pt>
                <c:pt idx="7">
                  <c:v>3784</c:v>
                </c:pt>
                <c:pt idx="8">
                  <c:v>5234</c:v>
                </c:pt>
                <c:pt idx="9">
                  <c:v>5144</c:v>
                </c:pt>
                <c:pt idx="10">
                  <c:v>4971</c:v>
                </c:pt>
                <c:pt idx="11">
                  <c:v>5110</c:v>
                </c:pt>
                <c:pt idx="12">
                  <c:v>5135</c:v>
                </c:pt>
                <c:pt idx="13">
                  <c:v>4824</c:v>
                </c:pt>
                <c:pt idx="14">
                  <c:v>5058</c:v>
                </c:pt>
                <c:pt idx="15">
                  <c:v>5135</c:v>
                </c:pt>
                <c:pt idx="16">
                  <c:v>5635</c:v>
                </c:pt>
                <c:pt idx="17">
                  <c:v>5546</c:v>
                </c:pt>
                <c:pt idx="18">
                  <c:v>6040</c:v>
                </c:pt>
                <c:pt idx="19">
                  <c:v>6395</c:v>
                </c:pt>
                <c:pt idx="20">
                  <c:v>6130</c:v>
                </c:pt>
                <c:pt idx="21">
                  <c:v>5942</c:v>
                </c:pt>
                <c:pt idx="22">
                  <c:v>6379</c:v>
                </c:pt>
                <c:pt idx="23">
                  <c:v>6462</c:v>
                </c:pt>
                <c:pt idx="24">
                  <c:v>6562</c:v>
                </c:pt>
                <c:pt idx="25">
                  <c:v>6346</c:v>
                </c:pt>
                <c:pt idx="26">
                  <c:v>6452</c:v>
                </c:pt>
              </c:numCache>
            </c:numRef>
          </c:val>
          <c:extLst>
            <c:ext xmlns:c16="http://schemas.microsoft.com/office/drawing/2014/chart" uri="{C3380CC4-5D6E-409C-BE32-E72D297353CC}">
              <c16:uniqueId val="{00000000-9491-4896-B987-CD2D13A236A1}"/>
            </c:ext>
          </c:extLst>
        </c:ser>
        <c:dLbls>
          <c:showLegendKey val="0"/>
          <c:showVal val="0"/>
          <c:showCatName val="0"/>
          <c:showSerName val="0"/>
          <c:showPercent val="0"/>
          <c:showBubbleSize val="0"/>
        </c:dLbls>
        <c:gapWidth val="219"/>
        <c:overlap val="-27"/>
        <c:axId val="872421663"/>
        <c:axId val="881171951"/>
      </c:barChart>
      <c:catAx>
        <c:axId val="87242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881171951"/>
        <c:crosses val="autoZero"/>
        <c:auto val="1"/>
        <c:lblAlgn val="ctr"/>
        <c:lblOffset val="100"/>
        <c:noMultiLvlLbl val="0"/>
      </c:catAx>
      <c:valAx>
        <c:axId val="881171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87242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[Personal_Finance_Dashboard.xlsx]4.Pivot!Balance</c:name>
    <c:fmtId val="2"/>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Monthly</a:t>
            </a:r>
            <a:r>
              <a:rPr lang="en-US" sz="2400" b="1" baseline="0">
                <a:solidFill>
                  <a:schemeClr val="bg1"/>
                </a:solidFill>
              </a:rPr>
              <a:t> Balance</a:t>
            </a:r>
            <a:endParaRPr lang="en-US" sz="2400" b="1">
              <a:solidFill>
                <a:schemeClr val="bg1"/>
              </a:solidFill>
            </a:endParaRPr>
          </a:p>
        </c:rich>
      </c:tx>
      <c:layout>
        <c:manualLayout>
          <c:xMode val="edge"/>
          <c:yMode val="edge"/>
          <c:x val="0.34515491801180698"/>
          <c:y val="3.927521108054264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CCCC"/>
          </a:solidFill>
          <a:ln>
            <a:solidFill>
              <a:srgbClr val="33CCCC"/>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'4.Pivot'!$L$3</c:f>
              <c:strCache>
                <c:ptCount val="1"/>
                <c:pt idx="0">
                  <c:v>Total</c:v>
                </c:pt>
              </c:strCache>
            </c:strRef>
          </c:tx>
          <c:spPr>
            <a:solidFill>
              <a:srgbClr val="33CCCC"/>
            </a:solidFill>
            <a:ln>
              <a:solidFill>
                <a:srgbClr val="33CCCC"/>
              </a:solidFill>
            </a:ln>
            <a:effectLst/>
          </c:spPr>
          <c:cat>
            <c:strRef>
              <c:f>'4.Pivot'!$K$4:$K$31</c:f>
              <c:strCache>
                <c:ptCount val="27"/>
                <c:pt idx="0">
                  <c:v>Oct-22</c:v>
                </c:pt>
                <c:pt idx="1">
                  <c:v>Nov-22</c:v>
                </c:pt>
                <c:pt idx="2">
                  <c:v>Dec-22</c:v>
                </c:pt>
                <c:pt idx="3">
                  <c:v>Jan-23</c:v>
                </c:pt>
                <c:pt idx="4">
                  <c:v>Feb-23</c:v>
                </c:pt>
                <c:pt idx="5">
                  <c:v>Mar-23</c:v>
                </c:pt>
                <c:pt idx="6">
                  <c:v>Apr-23</c:v>
                </c:pt>
                <c:pt idx="7">
                  <c:v>May-23</c:v>
                </c:pt>
                <c:pt idx="8">
                  <c:v>Jun-23</c:v>
                </c:pt>
                <c:pt idx="9">
                  <c:v>Jul-23</c:v>
                </c:pt>
                <c:pt idx="10">
                  <c:v>Aug-23</c:v>
                </c:pt>
                <c:pt idx="11">
                  <c:v>Sep-23</c:v>
                </c:pt>
                <c:pt idx="12">
                  <c:v>Oct-23</c:v>
                </c:pt>
                <c:pt idx="13">
                  <c:v>Nov-23</c:v>
                </c:pt>
                <c:pt idx="14">
                  <c:v>Dec-23</c:v>
                </c:pt>
                <c:pt idx="15">
                  <c:v>Jan-24</c:v>
                </c:pt>
                <c:pt idx="16">
                  <c:v>Feb-24</c:v>
                </c:pt>
                <c:pt idx="17">
                  <c:v>Mar-24</c:v>
                </c:pt>
                <c:pt idx="18">
                  <c:v>Apr-24</c:v>
                </c:pt>
                <c:pt idx="19">
                  <c:v>May-24</c:v>
                </c:pt>
                <c:pt idx="20">
                  <c:v>Jun-24</c:v>
                </c:pt>
                <c:pt idx="21">
                  <c:v>Jul-24</c:v>
                </c:pt>
                <c:pt idx="22">
                  <c:v>Aug-24</c:v>
                </c:pt>
                <c:pt idx="23">
                  <c:v>Sep-24</c:v>
                </c:pt>
                <c:pt idx="24">
                  <c:v>Oct-24</c:v>
                </c:pt>
                <c:pt idx="25">
                  <c:v>Nov-24</c:v>
                </c:pt>
                <c:pt idx="26">
                  <c:v>Dec-24</c:v>
                </c:pt>
              </c:strCache>
            </c:strRef>
          </c:cat>
          <c:val>
            <c:numRef>
              <c:f>'4.Pivot'!$L$4:$L$31</c:f>
              <c:numCache>
                <c:formatCode>General</c:formatCode>
                <c:ptCount val="27"/>
                <c:pt idx="0">
                  <c:v>1938</c:v>
                </c:pt>
                <c:pt idx="1">
                  <c:v>2251</c:v>
                </c:pt>
                <c:pt idx="2">
                  <c:v>1894</c:v>
                </c:pt>
                <c:pt idx="3">
                  <c:v>2210</c:v>
                </c:pt>
                <c:pt idx="4">
                  <c:v>2011</c:v>
                </c:pt>
                <c:pt idx="5">
                  <c:v>2014</c:v>
                </c:pt>
                <c:pt idx="6">
                  <c:v>1823</c:v>
                </c:pt>
                <c:pt idx="7">
                  <c:v>1851</c:v>
                </c:pt>
                <c:pt idx="8">
                  <c:v>3194</c:v>
                </c:pt>
                <c:pt idx="9">
                  <c:v>2965</c:v>
                </c:pt>
                <c:pt idx="10">
                  <c:v>3193</c:v>
                </c:pt>
                <c:pt idx="11">
                  <c:v>3450</c:v>
                </c:pt>
                <c:pt idx="12">
                  <c:v>3394</c:v>
                </c:pt>
                <c:pt idx="13">
                  <c:v>2390</c:v>
                </c:pt>
                <c:pt idx="14">
                  <c:v>3348</c:v>
                </c:pt>
                <c:pt idx="15">
                  <c:v>3394</c:v>
                </c:pt>
                <c:pt idx="16">
                  <c:v>3909</c:v>
                </c:pt>
                <c:pt idx="17">
                  <c:v>3866</c:v>
                </c:pt>
                <c:pt idx="18">
                  <c:v>4283</c:v>
                </c:pt>
                <c:pt idx="19">
                  <c:v>4325</c:v>
                </c:pt>
                <c:pt idx="20">
                  <c:v>4155</c:v>
                </c:pt>
                <c:pt idx="21">
                  <c:v>4091</c:v>
                </c:pt>
                <c:pt idx="22">
                  <c:v>4374</c:v>
                </c:pt>
                <c:pt idx="23">
                  <c:v>4652</c:v>
                </c:pt>
                <c:pt idx="24">
                  <c:v>4575</c:v>
                </c:pt>
                <c:pt idx="25">
                  <c:v>4623</c:v>
                </c:pt>
                <c:pt idx="26">
                  <c:v>4539</c:v>
                </c:pt>
              </c:numCache>
            </c:numRef>
          </c:val>
          <c:extLst>
            <c:ext xmlns:c16="http://schemas.microsoft.com/office/drawing/2014/chart" uri="{C3380CC4-5D6E-409C-BE32-E72D297353CC}">
              <c16:uniqueId val="{00000000-73E8-4C6C-A92E-C3D28506F948}"/>
            </c:ext>
          </c:extLst>
        </c:ser>
        <c:dLbls>
          <c:showLegendKey val="0"/>
          <c:showVal val="0"/>
          <c:showCatName val="0"/>
          <c:showSerName val="0"/>
          <c:showPercent val="0"/>
          <c:showBubbleSize val="0"/>
        </c:dLbls>
        <c:axId val="872422623"/>
        <c:axId val="754241135"/>
      </c:areaChart>
      <c:catAx>
        <c:axId val="8724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54241135"/>
        <c:crosses val="autoZero"/>
        <c:auto val="1"/>
        <c:lblAlgn val="ctr"/>
        <c:lblOffset val="100"/>
        <c:noMultiLvlLbl val="0"/>
      </c:catAx>
      <c:valAx>
        <c:axId val="754241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72422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Proportion</a:t>
            </a:r>
            <a:r>
              <a:rPr lang="en-US" sz="2400" b="1" baseline="0">
                <a:solidFill>
                  <a:schemeClr val="bg1"/>
                </a:solidFill>
              </a:rPr>
              <a:t> of expenses by classification</a:t>
            </a:r>
            <a:endParaRPr lang="en-US" sz="2400" b="1">
              <a:solidFill>
                <a:schemeClr val="bg1"/>
              </a:solidFill>
            </a:endParaRPr>
          </a:p>
        </c:rich>
      </c:tx>
      <c:layout>
        <c:manualLayout>
          <c:xMode val="edge"/>
          <c:yMode val="edge"/>
          <c:x val="0.20723368359187519"/>
          <c:y val="3.8815762229799993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lotArea>
      <c:layout/>
      <c:pieChart>
        <c:varyColors val="1"/>
        <c:ser>
          <c:idx val="0"/>
          <c:order val="0"/>
          <c:dPt>
            <c:idx val="0"/>
            <c:bubble3D val="0"/>
            <c:explosion val="10"/>
            <c:spPr>
              <a:solidFill>
                <a:srgbClr val="C00000"/>
              </a:solidFill>
              <a:ln w="19050">
                <a:solidFill>
                  <a:schemeClr val="lt1"/>
                </a:solidFill>
              </a:ln>
              <a:effectLst/>
            </c:spPr>
            <c:extLst>
              <c:ext xmlns:c16="http://schemas.microsoft.com/office/drawing/2014/chart" uri="{C3380CC4-5D6E-409C-BE32-E72D297353CC}">
                <c16:uniqueId val="{00000001-103B-42AE-AAD3-613B1A7C48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3B-42AE-AAD3-613B1A7C48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3B-42AE-AAD3-613B1A7C48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3B-42AE-AAD3-613B1A7C48DC}"/>
              </c:ext>
            </c:extLst>
          </c:dPt>
          <c:dLbls>
            <c:dLbl>
              <c:idx val="2"/>
              <c:layout>
                <c:manualLayout>
                  <c:x val="-0.12932228593163411"/>
                  <c:y val="3.05555516570271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03B-42AE-AAD3-613B1A7C48DC}"/>
                </c:ext>
              </c:extLst>
            </c:dLbl>
            <c:dLbl>
              <c:idx val="3"/>
              <c:layout>
                <c:manualLayout>
                  <c:x val="0.34824150731793696"/>
                  <c:y val="0.104398134828176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03B-42AE-AAD3-613B1A7C48D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'4.Pivot'!$G$2:$G$5</c:f>
              <c:strCache>
                <c:ptCount val="4"/>
                <c:pt idx="0">
                  <c:v>Fixed expense </c:v>
                </c:pt>
                <c:pt idx="1">
                  <c:v>Necessities</c:v>
                </c:pt>
                <c:pt idx="2">
                  <c:v>Luxurious</c:v>
                </c:pt>
                <c:pt idx="3">
                  <c:v>Miscellaneous</c:v>
                </c:pt>
              </c:strCache>
            </c:strRef>
          </c:cat>
          <c:val>
            <c:numRef>
              <c:f>'4.Pivot'!$I$2:$I$5</c:f>
              <c:numCache>
                <c:formatCode>0%</c:formatCode>
                <c:ptCount val="4"/>
                <c:pt idx="0">
                  <c:v>0.63992847638057215</c:v>
                </c:pt>
                <c:pt idx="1">
                  <c:v>0.23455172987358616</c:v>
                </c:pt>
                <c:pt idx="2">
                  <c:v>0.12013473053892215</c:v>
                </c:pt>
                <c:pt idx="3">
                  <c:v>5.3850632069194944E-3</c:v>
                </c:pt>
              </c:numCache>
            </c:numRef>
          </c:val>
          <c:extLst>
            <c:ext xmlns:c16="http://schemas.microsoft.com/office/drawing/2014/chart" uri="{C3380CC4-5D6E-409C-BE32-E72D297353CC}">
              <c16:uniqueId val="{00000008-103B-42AE-AAD3-613B1A7C48D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accent1">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[Personal_Finance_Dashboard.xlsx]4.Pivot!PivotTable1</c:name>
    <c:fmtId val="5"/>
  </c:pivotSource>
  <c:chart>
    <c:title>
      <c:tx>
        <c:rich>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r>
              <a:rPr lang="en-US" sz="2400" b="1">
                <a:solidFill>
                  <a:schemeClr val="bg1"/>
                </a:solidFill>
              </a:rPr>
              <a:t>Income</a:t>
            </a:r>
            <a:r>
              <a:rPr lang="en-US" sz="2400" b="1" baseline="0">
                <a:solidFill>
                  <a:schemeClr val="bg1"/>
                </a:solidFill>
              </a:rPr>
              <a:t> sources</a:t>
            </a:r>
            <a:endParaRPr lang="en-US" sz="2400" b="1">
              <a:solidFill>
                <a:schemeClr val="bg1"/>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04390176916726E-2"/>
          <c:y val="2.6289006453672683E-2"/>
          <c:w val="0.91912518766125084"/>
          <c:h val="0.8172679003593708"/>
        </c:manualLayout>
      </c:layout>
      <c:barChart>
        <c:barDir val="bar"/>
        <c:grouping val="clustered"/>
        <c:varyColors val="0"/>
        <c:ser>
          <c:idx val="0"/>
          <c:order val="0"/>
          <c:tx>
            <c:strRef>
              <c:f>'4.Pivot'!$AG$7</c:f>
              <c:strCache>
                <c:ptCount val="1"/>
                <c:pt idx="0">
                  <c:v>Sum of Stock dividend</c:v>
                </c:pt>
              </c:strCache>
            </c:strRef>
          </c:tx>
          <c:spPr>
            <a:solidFill>
              <a:srgbClr val="33CC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'4.Pivot'!$AG$8</c:f>
              <c:strCache>
                <c:ptCount val="1"/>
                <c:pt idx="0">
                  <c:v>Total</c:v>
                </c:pt>
              </c:strCache>
            </c:strRef>
          </c:cat>
          <c:val>
            <c:numRef>
              <c:f>'4.Pivot'!$AG$8</c:f>
              <c:numCache>
                <c:formatCode>General</c:formatCode>
                <c:ptCount val="1"/>
                <c:pt idx="0">
                  <c:v>3093</c:v>
                </c:pt>
              </c:numCache>
            </c:numRef>
          </c:val>
          <c:extLst>
            <c:ext xmlns:c16="http://schemas.microsoft.com/office/drawing/2014/chart" uri="{C3380CC4-5D6E-409C-BE32-E72D297353CC}">
              <c16:uniqueId val="{00000000-009D-4695-AC79-F3346DFB61D1}"/>
            </c:ext>
          </c:extLst>
        </c:ser>
        <c:ser>
          <c:idx val="1"/>
          <c:order val="1"/>
          <c:tx>
            <c:strRef>
              <c:f>'4.Pivot'!$AH$7</c:f>
              <c:strCache>
                <c:ptCount val="1"/>
                <c:pt idx="0">
                  <c:v>Sum of Main 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'4.Pivot'!$AG$8</c:f>
              <c:strCache>
                <c:ptCount val="1"/>
                <c:pt idx="0">
                  <c:v>Total</c:v>
                </c:pt>
              </c:strCache>
            </c:strRef>
          </c:cat>
          <c:val>
            <c:numRef>
              <c:f>'4.Pivot'!$AH$8</c:f>
              <c:numCache>
                <c:formatCode>General</c:formatCode>
                <c:ptCount val="1"/>
                <c:pt idx="0">
                  <c:v>120000</c:v>
                </c:pt>
              </c:numCache>
            </c:numRef>
          </c:val>
          <c:extLst>
            <c:ext xmlns:c16="http://schemas.microsoft.com/office/drawing/2014/chart" uri="{C3380CC4-5D6E-409C-BE32-E72D297353CC}">
              <c16:uniqueId val="{00000001-009D-4695-AC79-F3346DFB61D1}"/>
            </c:ext>
          </c:extLst>
        </c:ser>
        <c:ser>
          <c:idx val="2"/>
          <c:order val="2"/>
          <c:tx>
            <c:strRef>
              <c:f>'4.Pivot'!$AI$7</c:f>
              <c:strCache>
                <c:ptCount val="1"/>
                <c:pt idx="0">
                  <c:v>Sum of Part-time Jobs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'4.Pivot'!$AG$8</c:f>
              <c:strCache>
                <c:ptCount val="1"/>
                <c:pt idx="0">
                  <c:v>Total</c:v>
                </c:pt>
              </c:strCache>
            </c:strRef>
          </c:cat>
          <c:val>
            <c:numRef>
              <c:f>'4.Pivot'!$AI$8</c:f>
              <c:numCache>
                <c:formatCode>General</c:formatCode>
                <c:ptCount val="1"/>
                <c:pt idx="0">
                  <c:v>13715</c:v>
                </c:pt>
              </c:numCache>
            </c:numRef>
          </c:val>
          <c:extLst>
            <c:ext xmlns:c16="http://schemas.microsoft.com/office/drawing/2014/chart" uri="{C3380CC4-5D6E-409C-BE32-E72D297353CC}">
              <c16:uniqueId val="{00000002-009D-4695-AC79-F3346DFB61D1}"/>
            </c:ext>
          </c:extLst>
        </c:ser>
        <c:dLbls>
          <c:showLegendKey val="0"/>
          <c:showVal val="0"/>
          <c:showCatName val="0"/>
          <c:showSerName val="0"/>
          <c:showPercent val="0"/>
          <c:showBubbleSize val="0"/>
        </c:dLbls>
        <c:gapWidth val="219"/>
        <c:axId val="959080063"/>
        <c:axId val="959059423"/>
      </c:barChart>
      <c:catAx>
        <c:axId val="959080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rgbClr val="233E6F"/>
                </a:solidFill>
                <a:latin typeface="+mn-lt"/>
                <a:ea typeface="+mn-ea"/>
                <a:cs typeface="+mn-cs"/>
              </a:defRPr>
            </a:pPr>
            <a:endParaRPr lang="en-US"/>
          </a:p>
        </c:txPr>
        <c:crossAx val="959059423"/>
        <c:crosses val="autoZero"/>
        <c:auto val="1"/>
        <c:lblAlgn val="ctr"/>
        <c:lblOffset val="100"/>
        <c:noMultiLvlLbl val="0"/>
      </c:catAx>
      <c:valAx>
        <c:axId val="95905942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959080063"/>
        <c:crosses val="autoZero"/>
        <c:crossBetween val="between"/>
      </c:valAx>
      <c:spPr>
        <a:solidFill>
          <a:schemeClr val="accent1">
            <a:lumMod val="50000"/>
          </a:schemeClr>
        </a:solidFill>
        <a:ln>
          <a:noFill/>
        </a:ln>
        <a:effectLst/>
      </c:spPr>
    </c:plotArea>
    <c:legend>
      <c:legendPos val="r"/>
      <c:layout>
        <c:manualLayout>
          <c:xMode val="edge"/>
          <c:yMode val="edge"/>
          <c:x val="0.54329415342921561"/>
          <c:y val="0.56154609359753971"/>
          <c:w val="0.38506038538343784"/>
          <c:h val="0.2248772106569043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no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png"/><Relationship Id="rId18" Type="http://schemas.openxmlformats.org/officeDocument/2006/relationships/image" Target="../media/image19.svg"/><Relationship Id="rId3" Type="http://schemas.openxmlformats.org/officeDocument/2006/relationships/image" Target="../media/image4.png"/><Relationship Id="rId21" Type="http://schemas.openxmlformats.org/officeDocument/2006/relationships/chart" Target="../charts/chart3.xml"/><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png"/><Relationship Id="rId2" Type="http://schemas.openxmlformats.org/officeDocument/2006/relationships/image" Target="../media/image3.svg"/><Relationship Id="rId16" Type="http://schemas.openxmlformats.org/officeDocument/2006/relationships/image" Target="../media/image17.svg"/><Relationship Id="rId20" Type="http://schemas.openxmlformats.org/officeDocument/2006/relationships/chart" Target="../charts/chart2.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24" Type="http://schemas.openxmlformats.org/officeDocument/2006/relationships/chart" Target="../charts/chart6.xml"/><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chart" Target="../charts/chart5.xml"/><Relationship Id="rId10" Type="http://schemas.openxmlformats.org/officeDocument/2006/relationships/image" Target="../media/image11.svg"/><Relationship Id="rId19" Type="http://schemas.openxmlformats.org/officeDocument/2006/relationships/chart" Target="../charts/chart1.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25400</xdr:colOff>
      <xdr:row>3</xdr:row>
      <xdr:rowOff>236218</xdr:rowOff>
    </xdr:from>
    <xdr:to>
      <xdr:col>16</xdr:col>
      <xdr:colOff>59268</xdr:colOff>
      <xdr:row>13</xdr:row>
      <xdr:rowOff>149024</xdr:rowOff>
    </xdr:to>
    <xdr:pic>
      <xdr:nvPicPr>
        <xdr:cNvPr id="2" name="Picture 1">
          <a:extLst>
            <a:ext uri="{FF2B5EF4-FFF2-40B4-BE49-F238E27FC236}">
              <a16:creationId xmlns:a16="http://schemas.microsoft.com/office/drawing/2014/main" id="{B2AD66EB-E40E-A2E9-0A3D-8064A99E828A}"/>
            </a:ext>
          </a:extLst>
        </xdr:cNvPr>
        <xdr:cNvPicPr>
          <a:picLocks noChangeAspect="1"/>
        </xdr:cNvPicPr>
      </xdr:nvPicPr>
      <xdr:blipFill>
        <a:blip xmlns:r="http://schemas.openxmlformats.org/officeDocument/2006/relationships" r:embed="rId1"/>
        <a:stretch>
          <a:fillRect/>
        </a:stretch>
      </xdr:blipFill>
      <xdr:spPr>
        <a:xfrm>
          <a:off x="2463800" y="1049018"/>
          <a:ext cx="7349068" cy="2622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205740</xdr:colOff>
      <xdr:row>19</xdr:row>
      <xdr:rowOff>289560</xdr:rowOff>
    </xdr:from>
    <xdr:to>
      <xdr:col>4</xdr:col>
      <xdr:colOff>320040</xdr:colOff>
      <xdr:row>25</xdr:row>
      <xdr:rowOff>160020</xdr:rowOff>
    </xdr:to>
    <xdr:sp macro="" textlink="">
      <xdr:nvSpPr>
        <xdr:cNvPr id="2" name="TextBox 1">
          <a:extLst>
            <a:ext uri="{FF2B5EF4-FFF2-40B4-BE49-F238E27FC236}">
              <a16:creationId xmlns:a16="http://schemas.microsoft.com/office/drawing/2014/main" id="{64AB387F-FC4A-1385-CA7F-F97AC07CF314}"/>
            </a:ext>
          </a:extLst>
        </xdr:cNvPr>
        <xdr:cNvSpPr txBox="1"/>
      </xdr:nvSpPr>
      <xdr:spPr>
        <a:xfrm>
          <a:off x="205740" y="4320540"/>
          <a:ext cx="3390900" cy="1082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where i control the cash flow of monthly expenses and income.The balance sheet</a:t>
          </a:r>
          <a:r>
            <a:rPr lang="en-US" sz="1100" baseline="0"/>
            <a:t> equation is ASSETS = LIABILITIES + EQUITY After each month, I need to close the balance of income and expense (instruction below). Data of each month must be recorded in the Data tab before closing the accounts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76201</xdr:colOff>
      <xdr:row>0</xdr:row>
      <xdr:rowOff>23090</xdr:rowOff>
    </xdr:from>
    <xdr:to>
      <xdr:col>34</xdr:col>
      <xdr:colOff>63501</xdr:colOff>
      <xdr:row>6</xdr:row>
      <xdr:rowOff>152399</xdr:rowOff>
    </xdr:to>
    <xdr:sp macro="" textlink="">
      <xdr:nvSpPr>
        <xdr:cNvPr id="2" name="Rectangle: Rounded Corners 1">
          <a:extLst>
            <a:ext uri="{FF2B5EF4-FFF2-40B4-BE49-F238E27FC236}">
              <a16:creationId xmlns:a16="http://schemas.microsoft.com/office/drawing/2014/main" id="{4B830C0B-26DE-3E07-521D-30841C658012}"/>
            </a:ext>
          </a:extLst>
        </xdr:cNvPr>
        <xdr:cNvSpPr/>
      </xdr:nvSpPr>
      <xdr:spPr>
        <a:xfrm>
          <a:off x="76201" y="23090"/>
          <a:ext cx="23498464" cy="1209964"/>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a:t>Categories</a:t>
          </a:r>
          <a:r>
            <a:rPr lang="en-US" sz="3200" baseline="0"/>
            <a:t> spendings     </a:t>
          </a:r>
          <a:endParaRPr lang="en-US" sz="3200"/>
        </a:p>
      </xdr:txBody>
    </xdr:sp>
    <xdr:clientData/>
  </xdr:twoCellAnchor>
  <xdr:twoCellAnchor editAs="oneCell">
    <xdr:from>
      <xdr:col>21</xdr:col>
      <xdr:colOff>452757</xdr:colOff>
      <xdr:row>0</xdr:row>
      <xdr:rowOff>64383</xdr:rowOff>
    </xdr:from>
    <xdr:to>
      <xdr:col>22</xdr:col>
      <xdr:colOff>445016</xdr:colOff>
      <xdr:row>3</xdr:row>
      <xdr:rowOff>147531</xdr:rowOff>
    </xdr:to>
    <xdr:pic>
      <xdr:nvPicPr>
        <xdr:cNvPr id="31" name="Graphic 30" descr="Moustache with solid fill">
          <a:extLst>
            <a:ext uri="{FF2B5EF4-FFF2-40B4-BE49-F238E27FC236}">
              <a16:creationId xmlns:a16="http://schemas.microsoft.com/office/drawing/2014/main" id="{BA42D516-3D04-668B-D0AA-A1BCC65CB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678902" y="64383"/>
          <a:ext cx="601859" cy="623475"/>
        </a:xfrm>
        <a:prstGeom prst="rect">
          <a:avLst/>
        </a:prstGeom>
      </xdr:spPr>
    </xdr:pic>
    <xdr:clientData/>
  </xdr:twoCellAnchor>
  <xdr:twoCellAnchor editAs="oneCell">
    <xdr:from>
      <xdr:col>25</xdr:col>
      <xdr:colOff>23635</xdr:colOff>
      <xdr:row>0</xdr:row>
      <xdr:rowOff>122534</xdr:rowOff>
    </xdr:from>
    <xdr:to>
      <xdr:col>25</xdr:col>
      <xdr:colOff>534621</xdr:colOff>
      <xdr:row>3</xdr:row>
      <xdr:rowOff>88614</xdr:rowOff>
    </xdr:to>
    <xdr:pic>
      <xdr:nvPicPr>
        <xdr:cNvPr id="33" name="Graphic 32" descr="List with solid fill">
          <a:extLst>
            <a:ext uri="{FF2B5EF4-FFF2-40B4-BE49-F238E27FC236}">
              <a16:creationId xmlns:a16="http://schemas.microsoft.com/office/drawing/2014/main" id="{C9A97CCE-E8C4-F42C-7C33-D889E966585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688180" y="122534"/>
          <a:ext cx="510986" cy="506407"/>
        </a:xfrm>
        <a:prstGeom prst="rect">
          <a:avLst/>
        </a:prstGeom>
      </xdr:spPr>
    </xdr:pic>
    <xdr:clientData/>
  </xdr:twoCellAnchor>
  <xdr:twoCellAnchor editAs="oneCell">
    <xdr:from>
      <xdr:col>8</xdr:col>
      <xdr:colOff>310562</xdr:colOff>
      <xdr:row>0</xdr:row>
      <xdr:rowOff>10886</xdr:rowOff>
    </xdr:from>
    <xdr:to>
      <xdr:col>9</xdr:col>
      <xdr:colOff>338605</xdr:colOff>
      <xdr:row>3</xdr:row>
      <xdr:rowOff>104342</xdr:rowOff>
    </xdr:to>
    <xdr:pic>
      <xdr:nvPicPr>
        <xdr:cNvPr id="41" name="Graphic 40" descr="Table setting with solid fill">
          <a:extLst>
            <a:ext uri="{FF2B5EF4-FFF2-40B4-BE49-F238E27FC236}">
              <a16:creationId xmlns:a16="http://schemas.microsoft.com/office/drawing/2014/main" id="{BC09DFE2-221D-5C83-A3F6-310AE6AAF2E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426848" y="10886"/>
          <a:ext cx="637643" cy="648627"/>
        </a:xfrm>
        <a:prstGeom prst="rect">
          <a:avLst/>
        </a:prstGeom>
      </xdr:spPr>
    </xdr:pic>
    <xdr:clientData/>
  </xdr:twoCellAnchor>
  <xdr:twoCellAnchor editAs="oneCell">
    <xdr:from>
      <xdr:col>11</xdr:col>
      <xdr:colOff>398506</xdr:colOff>
      <xdr:row>0</xdr:row>
      <xdr:rowOff>152685</xdr:rowOff>
    </xdr:from>
    <xdr:to>
      <xdr:col>12</xdr:col>
      <xdr:colOff>270813</xdr:colOff>
      <xdr:row>3</xdr:row>
      <xdr:rowOff>72788</xdr:rowOff>
    </xdr:to>
    <xdr:pic>
      <xdr:nvPicPr>
        <xdr:cNvPr id="42" name="Graphic 41" descr="Books with solid fill">
          <a:extLst>
            <a:ext uri="{FF2B5EF4-FFF2-40B4-BE49-F238E27FC236}">
              <a16:creationId xmlns:a16="http://schemas.microsoft.com/office/drawing/2014/main" id="{11E71500-643E-C453-3AE4-CE40C80A1E5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325779" y="152685"/>
          <a:ext cx="481907" cy="460430"/>
        </a:xfrm>
        <a:prstGeom prst="rect">
          <a:avLst/>
        </a:prstGeom>
      </xdr:spPr>
    </xdr:pic>
    <xdr:clientData/>
  </xdr:twoCellAnchor>
  <xdr:twoCellAnchor editAs="oneCell">
    <xdr:from>
      <xdr:col>15</xdr:col>
      <xdr:colOff>961172</xdr:colOff>
      <xdr:row>0</xdr:row>
      <xdr:rowOff>112991</xdr:rowOff>
    </xdr:from>
    <xdr:to>
      <xdr:col>16</xdr:col>
      <xdr:colOff>360585</xdr:colOff>
      <xdr:row>3</xdr:row>
      <xdr:rowOff>99545</xdr:rowOff>
    </xdr:to>
    <xdr:pic>
      <xdr:nvPicPr>
        <xdr:cNvPr id="44" name="Graphic 43" descr="Dance with solid fill">
          <a:extLst>
            <a:ext uri="{FF2B5EF4-FFF2-40B4-BE49-F238E27FC236}">
              <a16:creationId xmlns:a16="http://schemas.microsoft.com/office/drawing/2014/main" id="{4E4B6AFA-0CCA-316E-54D0-215213BD862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712299" y="112991"/>
          <a:ext cx="507777" cy="526881"/>
        </a:xfrm>
        <a:prstGeom prst="rect">
          <a:avLst/>
        </a:prstGeom>
      </xdr:spPr>
    </xdr:pic>
    <xdr:clientData/>
  </xdr:twoCellAnchor>
  <xdr:twoCellAnchor editAs="oneCell">
    <xdr:from>
      <xdr:col>18</xdr:col>
      <xdr:colOff>266321</xdr:colOff>
      <xdr:row>0</xdr:row>
      <xdr:rowOff>80157</xdr:rowOff>
    </xdr:from>
    <xdr:to>
      <xdr:col>19</xdr:col>
      <xdr:colOff>283189</xdr:colOff>
      <xdr:row>3</xdr:row>
      <xdr:rowOff>109943</xdr:rowOff>
    </xdr:to>
    <xdr:pic>
      <xdr:nvPicPr>
        <xdr:cNvPr id="45" name="Graphic 44" descr="Car with solid fill">
          <a:extLst>
            <a:ext uri="{FF2B5EF4-FFF2-40B4-BE49-F238E27FC236}">
              <a16:creationId xmlns:a16="http://schemas.microsoft.com/office/drawing/2014/main" id="{D64CF57C-048B-F020-DE26-CB828102C68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663666" y="80157"/>
          <a:ext cx="571050" cy="570113"/>
        </a:xfrm>
        <a:prstGeom prst="rect">
          <a:avLst/>
        </a:prstGeom>
      </xdr:spPr>
    </xdr:pic>
    <xdr:clientData/>
  </xdr:twoCellAnchor>
  <xdr:twoCellAnchor editAs="oneCell">
    <xdr:from>
      <xdr:col>6</xdr:col>
      <xdr:colOff>390125</xdr:colOff>
      <xdr:row>0</xdr:row>
      <xdr:rowOff>64383</xdr:rowOff>
    </xdr:from>
    <xdr:to>
      <xdr:col>7</xdr:col>
      <xdr:colOff>217371</xdr:colOff>
      <xdr:row>3</xdr:row>
      <xdr:rowOff>77158</xdr:rowOff>
    </xdr:to>
    <xdr:pic>
      <xdr:nvPicPr>
        <xdr:cNvPr id="46" name="Graphic 45" descr="House with solid fill">
          <a:extLst>
            <a:ext uri="{FF2B5EF4-FFF2-40B4-BE49-F238E27FC236}">
              <a16:creationId xmlns:a16="http://schemas.microsoft.com/office/drawing/2014/main" id="{31F51DA4-6061-E957-7127-67D5EFF7A24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047725" y="64383"/>
          <a:ext cx="547682" cy="553102"/>
        </a:xfrm>
        <a:prstGeom prst="rect">
          <a:avLst/>
        </a:prstGeom>
      </xdr:spPr>
    </xdr:pic>
    <xdr:clientData/>
  </xdr:twoCellAnchor>
  <xdr:twoCellAnchor editAs="oneCell">
    <xdr:from>
      <xdr:col>14</xdr:col>
      <xdr:colOff>327647</xdr:colOff>
      <xdr:row>0</xdr:row>
      <xdr:rowOff>96982</xdr:rowOff>
    </xdr:from>
    <xdr:to>
      <xdr:col>14</xdr:col>
      <xdr:colOff>844668</xdr:colOff>
      <xdr:row>3</xdr:row>
      <xdr:rowOff>87811</xdr:rowOff>
    </xdr:to>
    <xdr:pic>
      <xdr:nvPicPr>
        <xdr:cNvPr id="49" name="Graphic 48" descr="Burger and drink with solid fill">
          <a:extLst>
            <a:ext uri="{FF2B5EF4-FFF2-40B4-BE49-F238E27FC236}">
              <a16:creationId xmlns:a16="http://schemas.microsoft.com/office/drawing/2014/main" id="{47E60838-7519-8ED8-4D53-4DF355DA19E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513211" y="96982"/>
          <a:ext cx="517021" cy="531156"/>
        </a:xfrm>
        <a:prstGeom prst="rect">
          <a:avLst/>
        </a:prstGeom>
      </xdr:spPr>
    </xdr:pic>
    <xdr:clientData/>
  </xdr:twoCellAnchor>
  <xdr:twoCellAnchor editAs="oneCell">
    <xdr:from>
      <xdr:col>28</xdr:col>
      <xdr:colOff>383853</xdr:colOff>
      <xdr:row>0</xdr:row>
      <xdr:rowOff>105131</xdr:rowOff>
    </xdr:from>
    <xdr:to>
      <xdr:col>28</xdr:col>
      <xdr:colOff>952436</xdr:colOff>
      <xdr:row>3</xdr:row>
      <xdr:rowOff>128214</xdr:rowOff>
    </xdr:to>
    <xdr:pic>
      <xdr:nvPicPr>
        <xdr:cNvPr id="56" name="Graphic 55" descr="Monitor with solid fill">
          <a:extLst>
            <a:ext uri="{FF2B5EF4-FFF2-40B4-BE49-F238E27FC236}">
              <a16:creationId xmlns:a16="http://schemas.microsoft.com/office/drawing/2014/main" id="{51260812-211C-F056-B58C-9577933F5A6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9877198" y="105131"/>
          <a:ext cx="568583" cy="563410"/>
        </a:xfrm>
        <a:prstGeom prst="rect">
          <a:avLst/>
        </a:prstGeom>
      </xdr:spPr>
    </xdr:pic>
    <xdr:clientData/>
  </xdr:twoCellAnchor>
  <xdr:twoCellAnchor>
    <xdr:from>
      <xdr:col>0</xdr:col>
      <xdr:colOff>237156</xdr:colOff>
      <xdr:row>3</xdr:row>
      <xdr:rowOff>83127</xdr:rowOff>
    </xdr:from>
    <xdr:to>
      <xdr:col>3</xdr:col>
      <xdr:colOff>317839</xdr:colOff>
      <xdr:row>5</xdr:row>
      <xdr:rowOff>119800</xdr:rowOff>
    </xdr:to>
    <xdr:sp macro="" textlink="">
      <xdr:nvSpPr>
        <xdr:cNvPr id="63" name="TextBox 62">
          <a:extLst>
            <a:ext uri="{FF2B5EF4-FFF2-40B4-BE49-F238E27FC236}">
              <a16:creationId xmlns:a16="http://schemas.microsoft.com/office/drawing/2014/main" id="{E9D8D0AA-BAD5-0F0B-439A-17EA2BC99AEC}"/>
            </a:ext>
          </a:extLst>
        </xdr:cNvPr>
        <xdr:cNvSpPr txBox="1"/>
      </xdr:nvSpPr>
      <xdr:spPr>
        <a:xfrm>
          <a:off x="237156" y="623454"/>
          <a:ext cx="1909483" cy="396891"/>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75000"/>
                </a:schemeClr>
              </a:solidFill>
            </a:rPr>
            <a:t>Spend YTD</a:t>
          </a:r>
        </a:p>
      </xdr:txBody>
    </xdr:sp>
    <xdr:clientData/>
  </xdr:twoCellAnchor>
  <xdr:twoCellAnchor>
    <xdr:from>
      <xdr:col>9</xdr:col>
      <xdr:colOff>304801</xdr:colOff>
      <xdr:row>0</xdr:row>
      <xdr:rowOff>179293</xdr:rowOff>
    </xdr:from>
    <xdr:to>
      <xdr:col>10</xdr:col>
      <xdr:colOff>537883</xdr:colOff>
      <xdr:row>2</xdr:row>
      <xdr:rowOff>98612</xdr:rowOff>
    </xdr:to>
    <xdr:sp macro="" textlink="#REF!">
      <xdr:nvSpPr>
        <xdr:cNvPr id="5" name="TextBox 4">
          <a:extLst>
            <a:ext uri="{FF2B5EF4-FFF2-40B4-BE49-F238E27FC236}">
              <a16:creationId xmlns:a16="http://schemas.microsoft.com/office/drawing/2014/main" id="{E56606C7-484B-7536-707E-D56F48E40187}"/>
            </a:ext>
          </a:extLst>
        </xdr:cNvPr>
        <xdr:cNvSpPr txBox="1"/>
      </xdr:nvSpPr>
      <xdr:spPr>
        <a:xfrm>
          <a:off x="6024283" y="179293"/>
          <a:ext cx="842682" cy="277907"/>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44C805-5EA3-4547-AD30-3F0A63196F23}" type="TxLink">
            <a:rPr lang="en-US" sz="1400" b="1" i="0" u="none" strike="noStrike">
              <a:solidFill>
                <a:schemeClr val="bg1">
                  <a:lumMod val="85000"/>
                </a:schemeClr>
              </a:solidFill>
              <a:latin typeface="Calibri"/>
              <a:ea typeface="Calibri"/>
              <a:cs typeface="Calibri"/>
            </a:rPr>
            <a:pPr/>
            <a:t> </a:t>
          </a:fld>
          <a:endParaRPr lang="en-US" sz="2000" b="1">
            <a:solidFill>
              <a:schemeClr val="bg1">
                <a:lumMod val="85000"/>
              </a:schemeClr>
            </a:solidFill>
          </a:endParaRPr>
        </a:p>
      </xdr:txBody>
    </xdr:sp>
    <xdr:clientData/>
  </xdr:twoCellAnchor>
  <xdr:twoCellAnchor>
    <xdr:from>
      <xdr:col>16</xdr:col>
      <xdr:colOff>191461</xdr:colOff>
      <xdr:row>0</xdr:row>
      <xdr:rowOff>164566</xdr:rowOff>
    </xdr:from>
    <xdr:to>
      <xdr:col>17</xdr:col>
      <xdr:colOff>281108</xdr:colOff>
      <xdr:row>2</xdr:row>
      <xdr:rowOff>78122</xdr:rowOff>
    </xdr:to>
    <xdr:sp macro="" textlink="#REF!">
      <xdr:nvSpPr>
        <xdr:cNvPr id="8" name="TextBox 7">
          <a:extLst>
            <a:ext uri="{FF2B5EF4-FFF2-40B4-BE49-F238E27FC236}">
              <a16:creationId xmlns:a16="http://schemas.microsoft.com/office/drawing/2014/main" id="{5A145CB8-E568-DF86-4583-7B77BC5532EF}"/>
            </a:ext>
          </a:extLst>
        </xdr:cNvPr>
        <xdr:cNvSpPr txBox="1"/>
      </xdr:nvSpPr>
      <xdr:spPr>
        <a:xfrm>
          <a:off x="10184547" y="164566"/>
          <a:ext cx="699247" cy="283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172EC3-82FC-4D1B-BC12-D90115411180}" type="TxLink">
            <a:rPr lang="en-US" sz="1400" b="1" i="0" u="none" strike="noStrike">
              <a:solidFill>
                <a:schemeClr val="bg1">
                  <a:lumMod val="85000"/>
                </a:schemeClr>
              </a:solidFill>
              <a:latin typeface="Calibri"/>
              <a:ea typeface="Calibri"/>
              <a:cs typeface="Calibri"/>
            </a:rPr>
            <a:pPr/>
            <a:t> </a:t>
          </a:fld>
          <a:endParaRPr lang="en-US" sz="2000" b="1">
            <a:solidFill>
              <a:schemeClr val="bg1">
                <a:lumMod val="85000"/>
              </a:schemeClr>
            </a:solidFill>
          </a:endParaRPr>
        </a:p>
      </xdr:txBody>
    </xdr:sp>
    <xdr:clientData/>
  </xdr:twoCellAnchor>
  <xdr:twoCellAnchor>
    <xdr:from>
      <xdr:col>23</xdr:col>
      <xdr:colOff>304801</xdr:colOff>
      <xdr:row>0</xdr:row>
      <xdr:rowOff>161365</xdr:rowOff>
    </xdr:from>
    <xdr:to>
      <xdr:col>24</xdr:col>
      <xdr:colOff>430307</xdr:colOff>
      <xdr:row>2</xdr:row>
      <xdr:rowOff>134471</xdr:rowOff>
    </xdr:to>
    <xdr:sp macro="" textlink="#REF!">
      <xdr:nvSpPr>
        <xdr:cNvPr id="11" name="TextBox 10">
          <a:extLst>
            <a:ext uri="{FF2B5EF4-FFF2-40B4-BE49-F238E27FC236}">
              <a16:creationId xmlns:a16="http://schemas.microsoft.com/office/drawing/2014/main" id="{06D129A7-F5DF-3AFC-E2BE-B50D9AF87BAF}"/>
            </a:ext>
          </a:extLst>
        </xdr:cNvPr>
        <xdr:cNvSpPr txBox="1"/>
      </xdr:nvSpPr>
      <xdr:spPr>
        <a:xfrm>
          <a:off x="14558683" y="161365"/>
          <a:ext cx="735106" cy="331694"/>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DE6F08-DFBB-4335-938A-A781B54308E9}" type="TxLink">
            <a:rPr lang="en-US" sz="1400" b="1" i="0" u="none" strike="noStrike">
              <a:solidFill>
                <a:schemeClr val="bg1">
                  <a:lumMod val="85000"/>
                </a:schemeClr>
              </a:solidFill>
              <a:latin typeface="Calibri"/>
              <a:ea typeface="Calibri"/>
              <a:cs typeface="Calibri"/>
            </a:rPr>
            <a:pPr/>
            <a:t> </a:t>
          </a:fld>
          <a:endParaRPr lang="en-US" sz="1400" b="1">
            <a:solidFill>
              <a:schemeClr val="bg1">
                <a:lumMod val="85000"/>
              </a:schemeClr>
            </a:solidFill>
          </a:endParaRPr>
        </a:p>
      </xdr:txBody>
    </xdr:sp>
    <xdr:clientData/>
  </xdr:twoCellAnchor>
  <xdr:twoCellAnchor>
    <xdr:from>
      <xdr:col>18</xdr:col>
      <xdr:colOff>109206</xdr:colOff>
      <xdr:row>3</xdr:row>
      <xdr:rowOff>150770</xdr:rowOff>
    </xdr:from>
    <xdr:to>
      <xdr:col>20</xdr:col>
      <xdr:colOff>33005</xdr:colOff>
      <xdr:row>5</xdr:row>
      <xdr:rowOff>150768</xdr:rowOff>
    </xdr:to>
    <xdr:sp macro="" textlink="">
      <xdr:nvSpPr>
        <xdr:cNvPr id="18" name="TextBox 17">
          <a:extLst>
            <a:ext uri="{FF2B5EF4-FFF2-40B4-BE49-F238E27FC236}">
              <a16:creationId xmlns:a16="http://schemas.microsoft.com/office/drawing/2014/main" id="{C823A4DB-326E-CC0B-37C1-C1BE997C999D}"/>
            </a:ext>
          </a:extLst>
        </xdr:cNvPr>
        <xdr:cNvSpPr txBox="1"/>
      </xdr:nvSpPr>
      <xdr:spPr>
        <a:xfrm>
          <a:off x="13506551" y="691097"/>
          <a:ext cx="1087581" cy="360216"/>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Transport</a:t>
          </a:r>
        </a:p>
      </xdr:txBody>
    </xdr:sp>
    <xdr:clientData/>
  </xdr:twoCellAnchor>
  <xdr:twoCellAnchor>
    <xdr:from>
      <xdr:col>21</xdr:col>
      <xdr:colOff>471054</xdr:colOff>
      <xdr:row>3</xdr:row>
      <xdr:rowOff>179293</xdr:rowOff>
    </xdr:from>
    <xdr:to>
      <xdr:col>23</xdr:col>
      <xdr:colOff>355022</xdr:colOff>
      <xdr:row>6</xdr:row>
      <xdr:rowOff>27870</xdr:rowOff>
    </xdr:to>
    <xdr:sp macro="" textlink="">
      <xdr:nvSpPr>
        <xdr:cNvPr id="19" name="TextBox 18">
          <a:extLst>
            <a:ext uri="{FF2B5EF4-FFF2-40B4-BE49-F238E27FC236}">
              <a16:creationId xmlns:a16="http://schemas.microsoft.com/office/drawing/2014/main" id="{E64E3F97-5263-ACFC-CC90-22228C8C36F7}"/>
            </a:ext>
          </a:extLst>
        </xdr:cNvPr>
        <xdr:cNvSpPr txBox="1"/>
      </xdr:nvSpPr>
      <xdr:spPr>
        <a:xfrm>
          <a:off x="15697199" y="719620"/>
          <a:ext cx="1103168" cy="38890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Haircut</a:t>
          </a:r>
        </a:p>
      </xdr:txBody>
    </xdr:sp>
    <xdr:clientData/>
  </xdr:twoCellAnchor>
  <xdr:twoCellAnchor>
    <xdr:from>
      <xdr:col>24</xdr:col>
      <xdr:colOff>400966</xdr:colOff>
      <xdr:row>4</xdr:row>
      <xdr:rowOff>8150</xdr:rowOff>
    </xdr:from>
    <xdr:to>
      <xdr:col>26</xdr:col>
      <xdr:colOff>374073</xdr:colOff>
      <xdr:row>5</xdr:row>
      <xdr:rowOff>173913</xdr:rowOff>
    </xdr:to>
    <xdr:sp macro="" textlink="">
      <xdr:nvSpPr>
        <xdr:cNvPr id="20" name="TextBox 19">
          <a:extLst>
            <a:ext uri="{FF2B5EF4-FFF2-40B4-BE49-F238E27FC236}">
              <a16:creationId xmlns:a16="http://schemas.microsoft.com/office/drawing/2014/main" id="{22913D4C-D912-C1BE-A31F-775D15911D4F}"/>
            </a:ext>
          </a:extLst>
        </xdr:cNvPr>
        <xdr:cNvSpPr txBox="1"/>
      </xdr:nvSpPr>
      <xdr:spPr>
        <a:xfrm>
          <a:off x="17455911" y="728586"/>
          <a:ext cx="1192307" cy="345872"/>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Subscriptions</a:t>
          </a:r>
        </a:p>
      </xdr:txBody>
    </xdr:sp>
    <xdr:clientData/>
  </xdr:twoCellAnchor>
  <xdr:twoCellAnchor>
    <xdr:from>
      <xdr:col>28</xdr:col>
      <xdr:colOff>229822</xdr:colOff>
      <xdr:row>4</xdr:row>
      <xdr:rowOff>1629</xdr:rowOff>
    </xdr:from>
    <xdr:to>
      <xdr:col>29</xdr:col>
      <xdr:colOff>393479</xdr:colOff>
      <xdr:row>6</xdr:row>
      <xdr:rowOff>88505</xdr:rowOff>
    </xdr:to>
    <xdr:sp macro="" textlink="">
      <xdr:nvSpPr>
        <xdr:cNvPr id="21" name="TextBox 20">
          <a:extLst>
            <a:ext uri="{FF2B5EF4-FFF2-40B4-BE49-F238E27FC236}">
              <a16:creationId xmlns:a16="http://schemas.microsoft.com/office/drawing/2014/main" id="{F255514F-5029-D9A2-9BE0-6FF1FAF41020}"/>
            </a:ext>
          </a:extLst>
        </xdr:cNvPr>
        <xdr:cNvSpPr txBox="1"/>
      </xdr:nvSpPr>
      <xdr:spPr>
        <a:xfrm>
          <a:off x="19723167" y="722065"/>
          <a:ext cx="1133476" cy="44709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Technology</a:t>
          </a:r>
        </a:p>
      </xdr:txBody>
    </xdr:sp>
    <xdr:clientData/>
  </xdr:twoCellAnchor>
  <xdr:twoCellAnchor>
    <xdr:from>
      <xdr:col>14</xdr:col>
      <xdr:colOff>100241</xdr:colOff>
      <xdr:row>3</xdr:row>
      <xdr:rowOff>105131</xdr:rowOff>
    </xdr:from>
    <xdr:to>
      <xdr:col>15</xdr:col>
      <xdr:colOff>1058652</xdr:colOff>
      <xdr:row>5</xdr:row>
      <xdr:rowOff>119472</xdr:rowOff>
    </xdr:to>
    <xdr:sp macro="" textlink="">
      <xdr:nvSpPr>
        <xdr:cNvPr id="25" name="TextBox 24">
          <a:extLst>
            <a:ext uri="{FF2B5EF4-FFF2-40B4-BE49-F238E27FC236}">
              <a16:creationId xmlns:a16="http://schemas.microsoft.com/office/drawing/2014/main" id="{09D024AD-B796-2FDA-5479-C79D1DA4D476}"/>
            </a:ext>
          </a:extLst>
        </xdr:cNvPr>
        <xdr:cNvSpPr txBox="1"/>
      </xdr:nvSpPr>
      <xdr:spPr>
        <a:xfrm>
          <a:off x="9285805" y="645458"/>
          <a:ext cx="2523974" cy="37455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Restaurants</a:t>
          </a:r>
        </a:p>
      </xdr:txBody>
    </xdr:sp>
    <xdr:clientData/>
  </xdr:twoCellAnchor>
  <xdr:twoCellAnchor>
    <xdr:from>
      <xdr:col>15</xdr:col>
      <xdr:colOff>624268</xdr:colOff>
      <xdr:row>3</xdr:row>
      <xdr:rowOff>164626</xdr:rowOff>
    </xdr:from>
    <xdr:to>
      <xdr:col>18</xdr:col>
      <xdr:colOff>149141</xdr:colOff>
      <xdr:row>5</xdr:row>
      <xdr:rowOff>164625</xdr:rowOff>
    </xdr:to>
    <xdr:sp macro="" textlink="">
      <xdr:nvSpPr>
        <xdr:cNvPr id="26" name="TextBox 25">
          <a:extLst>
            <a:ext uri="{FF2B5EF4-FFF2-40B4-BE49-F238E27FC236}">
              <a16:creationId xmlns:a16="http://schemas.microsoft.com/office/drawing/2014/main" id="{787C3FC9-3F8C-2A33-5A03-81B91FC9B553}"/>
            </a:ext>
          </a:extLst>
        </xdr:cNvPr>
        <xdr:cNvSpPr txBox="1"/>
      </xdr:nvSpPr>
      <xdr:spPr>
        <a:xfrm>
          <a:off x="11375395" y="704953"/>
          <a:ext cx="2171091" cy="360217"/>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Entertainment</a:t>
          </a:r>
        </a:p>
      </xdr:txBody>
    </xdr:sp>
    <xdr:clientData/>
  </xdr:twoCellAnchor>
  <xdr:twoCellAnchor>
    <xdr:from>
      <xdr:col>6</xdr:col>
      <xdr:colOff>388741</xdr:colOff>
      <xdr:row>3</xdr:row>
      <xdr:rowOff>124691</xdr:rowOff>
    </xdr:from>
    <xdr:to>
      <xdr:col>7</xdr:col>
      <xdr:colOff>719875</xdr:colOff>
      <xdr:row>5</xdr:row>
      <xdr:rowOff>124690</xdr:rowOff>
    </xdr:to>
    <xdr:sp macro="" textlink="">
      <xdr:nvSpPr>
        <xdr:cNvPr id="27" name="TextBox 26">
          <a:extLst>
            <a:ext uri="{FF2B5EF4-FFF2-40B4-BE49-F238E27FC236}">
              <a16:creationId xmlns:a16="http://schemas.microsoft.com/office/drawing/2014/main" id="{9B630619-A59D-1E56-5834-4E05E5F2F349}"/>
            </a:ext>
          </a:extLst>
        </xdr:cNvPr>
        <xdr:cNvSpPr txBox="1"/>
      </xdr:nvSpPr>
      <xdr:spPr>
        <a:xfrm>
          <a:off x="4046341" y="665018"/>
          <a:ext cx="1051570" cy="360217"/>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Rent</a:t>
          </a:r>
        </a:p>
      </xdr:txBody>
    </xdr:sp>
    <xdr:clientData/>
  </xdr:twoCellAnchor>
  <xdr:twoCellAnchor>
    <xdr:from>
      <xdr:col>8</xdr:col>
      <xdr:colOff>331694</xdr:colOff>
      <xdr:row>3</xdr:row>
      <xdr:rowOff>101058</xdr:rowOff>
    </xdr:from>
    <xdr:to>
      <xdr:col>10</xdr:col>
      <xdr:colOff>457200</xdr:colOff>
      <xdr:row>5</xdr:row>
      <xdr:rowOff>57211</xdr:rowOff>
    </xdr:to>
    <xdr:sp macro="" textlink="">
      <xdr:nvSpPr>
        <xdr:cNvPr id="28" name="TextBox 27">
          <a:extLst>
            <a:ext uri="{FF2B5EF4-FFF2-40B4-BE49-F238E27FC236}">
              <a16:creationId xmlns:a16="http://schemas.microsoft.com/office/drawing/2014/main" id="{4DBE1B35-BD1C-059E-FFF8-2DD7068D6859}"/>
            </a:ext>
          </a:extLst>
        </xdr:cNvPr>
        <xdr:cNvSpPr txBox="1"/>
      </xdr:nvSpPr>
      <xdr:spPr>
        <a:xfrm>
          <a:off x="5430167" y="641385"/>
          <a:ext cx="1344706" cy="316371"/>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Groceries</a:t>
          </a:r>
        </a:p>
      </xdr:txBody>
    </xdr:sp>
    <xdr:clientData/>
  </xdr:twoCellAnchor>
  <xdr:twoCellAnchor>
    <xdr:from>
      <xdr:col>11</xdr:col>
      <xdr:colOff>275461</xdr:colOff>
      <xdr:row>3</xdr:row>
      <xdr:rowOff>123876</xdr:rowOff>
    </xdr:from>
    <xdr:to>
      <xdr:col>13</xdr:col>
      <xdr:colOff>221673</xdr:colOff>
      <xdr:row>5</xdr:row>
      <xdr:rowOff>80030</xdr:rowOff>
    </xdr:to>
    <xdr:sp macro="" textlink="">
      <xdr:nvSpPr>
        <xdr:cNvPr id="29" name="TextBox 28">
          <a:extLst>
            <a:ext uri="{FF2B5EF4-FFF2-40B4-BE49-F238E27FC236}">
              <a16:creationId xmlns:a16="http://schemas.microsoft.com/office/drawing/2014/main" id="{BBC20753-B2D4-C182-0F3B-626A9EFA1EF5}"/>
            </a:ext>
          </a:extLst>
        </xdr:cNvPr>
        <xdr:cNvSpPr txBox="1"/>
      </xdr:nvSpPr>
      <xdr:spPr>
        <a:xfrm>
          <a:off x="7202734" y="664203"/>
          <a:ext cx="1165412" cy="316372"/>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Education</a:t>
          </a:r>
        </a:p>
      </xdr:txBody>
    </xdr:sp>
    <xdr:clientData/>
  </xdr:twoCellAnchor>
  <xdr:twoCellAnchor>
    <xdr:from>
      <xdr:col>0</xdr:col>
      <xdr:colOff>213754</xdr:colOff>
      <xdr:row>53</xdr:row>
      <xdr:rowOff>152400</xdr:rowOff>
    </xdr:from>
    <xdr:to>
      <xdr:col>11</xdr:col>
      <xdr:colOff>498763</xdr:colOff>
      <xdr:row>82</xdr:row>
      <xdr:rowOff>166255</xdr:rowOff>
    </xdr:to>
    <xdr:graphicFrame macro="">
      <xdr:nvGraphicFramePr>
        <xdr:cNvPr id="17" name="Chart 16">
          <a:extLst>
            <a:ext uri="{FF2B5EF4-FFF2-40B4-BE49-F238E27FC236}">
              <a16:creationId xmlns:a16="http://schemas.microsoft.com/office/drawing/2014/main" id="{3DF94107-BA1D-4189-84F5-263511E51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292100</xdr:colOff>
      <xdr:row>8</xdr:row>
      <xdr:rowOff>9959</xdr:rowOff>
    </xdr:from>
    <xdr:to>
      <xdr:col>30</xdr:col>
      <xdr:colOff>127000</xdr:colOff>
      <xdr:row>33</xdr:row>
      <xdr:rowOff>110836</xdr:rowOff>
    </xdr:to>
    <xdr:sp macro="" textlink="">
      <xdr:nvSpPr>
        <xdr:cNvPr id="16" name="Rectangle: Rounded Corners 15">
          <a:extLst>
            <a:ext uri="{FF2B5EF4-FFF2-40B4-BE49-F238E27FC236}">
              <a16:creationId xmlns:a16="http://schemas.microsoft.com/office/drawing/2014/main" id="{933EAE5A-210B-7FA2-E921-B289AD58AF78}"/>
            </a:ext>
          </a:extLst>
        </xdr:cNvPr>
        <xdr:cNvSpPr/>
      </xdr:nvSpPr>
      <xdr:spPr>
        <a:xfrm>
          <a:off x="14853227" y="1450832"/>
          <a:ext cx="6346537" cy="6280004"/>
        </a:xfrm>
        <a:prstGeom prst="roundRect">
          <a:avLst>
            <a:gd name="adj" fmla="val 9051"/>
          </a:avLst>
        </a:prstGeom>
        <a:noFill/>
        <a:ln>
          <a:solidFill>
            <a:srgbClr val="00808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212269</xdr:colOff>
      <xdr:row>7</xdr:row>
      <xdr:rowOff>156029</xdr:rowOff>
    </xdr:from>
    <xdr:to>
      <xdr:col>20</xdr:col>
      <xdr:colOff>41563</xdr:colOff>
      <xdr:row>28</xdr:row>
      <xdr:rowOff>166914</xdr:rowOff>
    </xdr:to>
    <xdr:graphicFrame macro="">
      <xdr:nvGraphicFramePr>
        <xdr:cNvPr id="22" name="Chart 21">
          <a:extLst>
            <a:ext uri="{FF2B5EF4-FFF2-40B4-BE49-F238E27FC236}">
              <a16:creationId xmlns:a16="http://schemas.microsoft.com/office/drawing/2014/main" id="{1AC82AD4-4EFC-4A2F-A691-CAFB7088D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206826</xdr:colOff>
      <xdr:row>29</xdr:row>
      <xdr:rowOff>76200</xdr:rowOff>
    </xdr:from>
    <xdr:to>
      <xdr:col>20</xdr:col>
      <xdr:colOff>1</xdr:colOff>
      <xdr:row>52</xdr:row>
      <xdr:rowOff>114300</xdr:rowOff>
    </xdr:to>
    <xdr:graphicFrame macro="">
      <xdr:nvGraphicFramePr>
        <xdr:cNvPr id="23" name="Chart 22">
          <a:extLst>
            <a:ext uri="{FF2B5EF4-FFF2-40B4-BE49-F238E27FC236}">
              <a16:creationId xmlns:a16="http://schemas.microsoft.com/office/drawing/2014/main" id="{4E65A294-5E76-41F7-AD41-236C278D1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266700</xdr:colOff>
      <xdr:row>34</xdr:row>
      <xdr:rowOff>23090</xdr:rowOff>
    </xdr:from>
    <xdr:to>
      <xdr:col>34</xdr:col>
      <xdr:colOff>96981</xdr:colOff>
      <xdr:row>52</xdr:row>
      <xdr:rowOff>75211</xdr:rowOff>
    </xdr:to>
    <xdr:graphicFrame macro="">
      <xdr:nvGraphicFramePr>
        <xdr:cNvPr id="36" name="Chart 35">
          <a:extLst>
            <a:ext uri="{FF2B5EF4-FFF2-40B4-BE49-F238E27FC236}">
              <a16:creationId xmlns:a16="http://schemas.microsoft.com/office/drawing/2014/main" id="{CA2BCA1E-6336-4D81-9F1B-43945AA0B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30</xdr:col>
      <xdr:colOff>387927</xdr:colOff>
      <xdr:row>11</xdr:row>
      <xdr:rowOff>169719</xdr:rowOff>
    </xdr:from>
    <xdr:to>
      <xdr:col>34</xdr:col>
      <xdr:colOff>152400</xdr:colOff>
      <xdr:row>27</xdr:row>
      <xdr:rowOff>346363</xdr:rowOff>
    </xdr:to>
    <mc:AlternateContent xmlns:mc="http://schemas.openxmlformats.org/markup-compatibility/2006" xmlns:a14="http://schemas.microsoft.com/office/drawing/2010/main">
      <mc:Choice Requires="a14">
        <xdr:graphicFrame macro="">
          <xdr:nvGraphicFramePr>
            <xdr:cNvPr id="39" name="Months">
              <a:extLst>
                <a:ext uri="{FF2B5EF4-FFF2-40B4-BE49-F238E27FC236}">
                  <a16:creationId xmlns:a16="http://schemas.microsoft.com/office/drawing/2014/main" id="{217F6BF1-3B87-4E75-9F33-AA37ACC6AEC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1460691" y="2372592"/>
              <a:ext cx="2202873" cy="3501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30</xdr:col>
      <xdr:colOff>374073</xdr:colOff>
      <xdr:row>8</xdr:row>
      <xdr:rowOff>69273</xdr:rowOff>
    </xdr:from>
    <xdr:to>
      <xdr:col>34</xdr:col>
      <xdr:colOff>13854</xdr:colOff>
      <xdr:row>10</xdr:row>
      <xdr:rowOff>166254</xdr:rowOff>
    </xdr:to>
    <xdr:sp macro="" textlink="">
      <xdr:nvSpPr>
        <xdr:cNvPr id="40" name="Rectangle: Rounded Corners 39">
          <a:extLst>
            <a:ext uri="{FF2B5EF4-FFF2-40B4-BE49-F238E27FC236}">
              <a16:creationId xmlns:a16="http://schemas.microsoft.com/office/drawing/2014/main" id="{C2037355-F318-65BE-7F90-EA8B0087F3A1}"/>
            </a:ext>
          </a:extLst>
        </xdr:cNvPr>
        <xdr:cNvSpPr/>
      </xdr:nvSpPr>
      <xdr:spPr>
        <a:xfrm>
          <a:off x="19728873" y="1510146"/>
          <a:ext cx="2078181" cy="678872"/>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i="0"/>
            <a:t>Filter</a:t>
          </a:r>
        </a:p>
      </xdr:txBody>
    </xdr:sp>
    <xdr:clientData/>
  </xdr:twoCellAnchor>
  <xdr:twoCellAnchor editAs="oneCell">
    <xdr:from>
      <xdr:col>30</xdr:col>
      <xdr:colOff>401781</xdr:colOff>
      <xdr:row>28</xdr:row>
      <xdr:rowOff>138545</xdr:rowOff>
    </xdr:from>
    <xdr:to>
      <xdr:col>34</xdr:col>
      <xdr:colOff>180108</xdr:colOff>
      <xdr:row>33</xdr:row>
      <xdr:rowOff>96982</xdr:rowOff>
    </xdr:to>
    <mc:AlternateContent xmlns:mc="http://schemas.openxmlformats.org/markup-compatibility/2006" xmlns:a14="http://schemas.microsoft.com/office/drawing/2010/main">
      <mc:Choice Requires="a14">
        <xdr:graphicFrame macro="">
          <xdr:nvGraphicFramePr>
            <xdr:cNvPr id="51" name="Years ">
              <a:extLst>
                <a:ext uri="{FF2B5EF4-FFF2-40B4-BE49-F238E27FC236}">
                  <a16:creationId xmlns:a16="http://schemas.microsoft.com/office/drawing/2014/main" id="{024C80D6-A710-4610-832F-1DDEF34CF637}"/>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21474545" y="6026727"/>
              <a:ext cx="2216727" cy="1690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374075</xdr:colOff>
      <xdr:row>67</xdr:row>
      <xdr:rowOff>94012</xdr:rowOff>
    </xdr:from>
    <xdr:to>
      <xdr:col>6</xdr:col>
      <xdr:colOff>69272</xdr:colOff>
      <xdr:row>72</xdr:row>
      <xdr:rowOff>96982</xdr:rowOff>
    </xdr:to>
    <xdr:sp macro="" textlink="'3.Data'!AB12">
      <xdr:nvSpPr>
        <xdr:cNvPr id="13" name="TextBox 12">
          <a:extLst>
            <a:ext uri="{FF2B5EF4-FFF2-40B4-BE49-F238E27FC236}">
              <a16:creationId xmlns:a16="http://schemas.microsoft.com/office/drawing/2014/main" id="{6A22B96E-EAEB-818E-85E2-B858FB9F94C6}"/>
            </a:ext>
          </a:extLst>
        </xdr:cNvPr>
        <xdr:cNvSpPr txBox="1"/>
      </xdr:nvSpPr>
      <xdr:spPr>
        <a:xfrm>
          <a:off x="2202875" y="14059394"/>
          <a:ext cx="1523997" cy="90351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DBBA5A6-1E43-4520-9DE8-C0CB749A4748}" type="TxLink">
            <a:rPr lang="en-US" sz="2400" b="0" i="0" u="none" strike="noStrike">
              <a:solidFill>
                <a:schemeClr val="bg1"/>
              </a:solidFill>
              <a:latin typeface="Calibri"/>
              <a:ea typeface="Calibri"/>
              <a:cs typeface="Calibri"/>
            </a:rPr>
            <a:pPr algn="ctr"/>
            <a:t> $185,187 </a:t>
          </a:fld>
          <a:endParaRPr lang="en-US" sz="2400">
            <a:solidFill>
              <a:schemeClr val="bg1"/>
            </a:solidFill>
          </a:endParaRPr>
        </a:p>
      </xdr:txBody>
    </xdr:sp>
    <xdr:clientData/>
  </xdr:twoCellAnchor>
  <xdr:twoCellAnchor>
    <xdr:from>
      <xdr:col>12</xdr:col>
      <xdr:colOff>55418</xdr:colOff>
      <xdr:row>54</xdr:row>
      <xdr:rowOff>-1</xdr:rowOff>
    </xdr:from>
    <xdr:to>
      <xdr:col>20</xdr:col>
      <xdr:colOff>27710</xdr:colOff>
      <xdr:row>82</xdr:row>
      <xdr:rowOff>124691</xdr:rowOff>
    </xdr:to>
    <xdr:graphicFrame macro="">
      <xdr:nvGraphicFramePr>
        <xdr:cNvPr id="3" name="Chart 2">
          <a:extLst>
            <a:ext uri="{FF2B5EF4-FFF2-40B4-BE49-F238E27FC236}">
              <a16:creationId xmlns:a16="http://schemas.microsoft.com/office/drawing/2014/main" id="{64FAC704-A250-4863-8AC1-080261254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20</xdr:col>
      <xdr:colOff>152402</xdr:colOff>
      <xdr:row>53</xdr:row>
      <xdr:rowOff>69273</xdr:rowOff>
    </xdr:from>
    <xdr:to>
      <xdr:col>34</xdr:col>
      <xdr:colOff>13855</xdr:colOff>
      <xdr:row>82</xdr:row>
      <xdr:rowOff>83128</xdr:rowOff>
    </xdr:to>
    <xdr:graphicFrame macro="">
      <xdr:nvGraphicFramePr>
        <xdr:cNvPr id="4" name="Chart 3">
          <a:extLst>
            <a:ext uri="{FF2B5EF4-FFF2-40B4-BE49-F238E27FC236}">
              <a16:creationId xmlns:a16="http://schemas.microsoft.com/office/drawing/2014/main" id="{DBA8689E-C469-44CA-B90B-EF85FC371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0.22185</cdr:x>
      <cdr:y>0.40915</cdr:y>
    </cdr:from>
    <cdr:to>
      <cdr:x>0.50949</cdr:x>
      <cdr:y>0.67388</cdr:y>
    </cdr:to>
    <cdr:sp macro="" textlink="">
      <cdr:nvSpPr>
        <cdr:cNvPr id="2" name="TextBox 1">
          <a:extLst xmlns:a="http://schemas.openxmlformats.org/drawingml/2006/main">
            <a:ext uri="{FF2B5EF4-FFF2-40B4-BE49-F238E27FC236}">
              <a16:creationId xmlns:a16="http://schemas.microsoft.com/office/drawing/2014/main" id="{D6087929-3625-1F7A-E314-B06D14B6CC80}"/>
            </a:ext>
          </a:extLst>
        </cdr:cNvPr>
        <cdr:cNvSpPr txBox="1"/>
      </cdr:nvSpPr>
      <cdr:spPr>
        <a:xfrm xmlns:a="http://schemas.openxmlformats.org/drawingml/2006/main">
          <a:off x="1012191" y="1128606"/>
          <a:ext cx="1312333" cy="730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0.2587</cdr:x>
      <cdr:y>0.44333</cdr:y>
    </cdr:from>
    <cdr:to>
      <cdr:x>0.5417</cdr:x>
      <cdr:y>0.72724</cdr:y>
    </cdr:to>
    <cdr:sp macro="" textlink="">
      <cdr:nvSpPr>
        <cdr:cNvPr id="3" name="TextBox 2">
          <a:extLst xmlns:a="http://schemas.openxmlformats.org/drawingml/2006/main">
            <a:ext uri="{FF2B5EF4-FFF2-40B4-BE49-F238E27FC236}">
              <a16:creationId xmlns:a16="http://schemas.microsoft.com/office/drawing/2014/main" id="{56755C4C-E478-0842-AE4D-F38A876876BD}"/>
            </a:ext>
          </a:extLst>
        </cdr:cNvPr>
        <cdr:cNvSpPr txBox="1"/>
      </cdr:nvSpPr>
      <cdr:spPr>
        <a:xfrm xmlns:a="http://schemas.openxmlformats.org/drawingml/2006/main">
          <a:off x="1743021" y="1285971"/>
          <a:ext cx="1906768" cy="8235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2800" b="1">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vin" refreshedDate="45456.74880335648" createdVersion="8" refreshedVersion="8" minRefreshableVersion="3" recordCount="27" xr:uid="{1879F2FC-94F9-45B7-88BF-6E40AF2ED943}">
  <cacheSource type="worksheet">
    <worksheetSource name="Data"/>
  </cacheSource>
  <cacheFields count="25">
    <cacheField name="Month " numFmtId="17">
      <sharedItems containsSemiMixedTypes="0" containsNonDate="0" containsDate="1" containsString="0" minDate="2022-10-01T00:00:00" maxDate="2024-12-25T00:00:00" count="27">
        <d v="2022-10-01T00:00:00"/>
        <d v="2022-11-01T00:00:00"/>
        <d v="2022-12-01T00:00:00"/>
        <d v="2023-01-01T00:00:00"/>
        <d v="2023-02-01T00:00:00"/>
        <d v="2023-03-01T00:00:00"/>
        <d v="2023-04-01T00:00:00"/>
        <d v="2023-05-01T00:00:00"/>
        <d v="2023-06-01T00:00:00"/>
        <d v="2023-07-01T00:00:00"/>
        <d v="2023-08-01T00:00:00"/>
        <d v="2023-09-01T00:00:00"/>
        <d v="2023-10-01T00:00:00"/>
        <d v="2023-11-23T00:00:00"/>
        <d v="2023-12-23T00:00:00"/>
        <d v="2024-01-24T00:00:00"/>
        <d v="2024-02-24T00:00:00"/>
        <d v="2024-03-24T00:00:00"/>
        <d v="2024-04-24T00:00:00"/>
        <d v="2024-05-24T00:00:00"/>
        <d v="2024-06-24T00:00:00"/>
        <d v="2024-07-24T00:00:00"/>
        <d v="2024-08-24T00:00:00"/>
        <d v="2024-09-24T00:00:00"/>
        <d v="2024-10-24T00:00:00"/>
        <d v="2024-11-24T00:00:00"/>
        <d v="2024-12-24T00:00:00"/>
      </sharedItems>
      <fieldGroup par="24"/>
    </cacheField>
    <cacheField name="Rent" numFmtId="0">
      <sharedItems containsSemiMixedTypes="0" containsString="0" containsNumber="1" containsInteger="1" minValue="800" maxValue="1200"/>
    </cacheField>
    <cacheField name="Groceries" numFmtId="0">
      <sharedItems containsSemiMixedTypes="0" containsString="0" containsNumber="1" containsInteger="1" minValue="178" maxValue="360"/>
    </cacheField>
    <cacheField name="Education" numFmtId="0">
      <sharedItems containsSemiMixedTypes="0" containsString="0" containsNumber="1" containsInteger="1" minValue="0" maxValue="160"/>
    </cacheField>
    <cacheField name="Eating out" numFmtId="0">
      <sharedItems containsSemiMixedTypes="0" containsString="0" containsNumber="1" containsInteger="1" minValue="40" maxValue="200"/>
    </cacheField>
    <cacheField name="Entertainment " numFmtId="0">
      <sharedItems containsSemiMixedTypes="0" containsString="0" containsNumber="1" containsInteger="1" minValue="0" maxValue="400"/>
    </cacheField>
    <cacheField name="Transport" numFmtId="0">
      <sharedItems containsSemiMixedTypes="0" containsString="0" containsNumber="1" containsInteger="1" minValue="45" maxValue="110"/>
    </cacheField>
    <cacheField name="Haircut" numFmtId="0">
      <sharedItems containsSemiMixedTypes="0" containsString="0" containsNumber="1" containsInteger="1" minValue="0" maxValue="30"/>
    </cacheField>
    <cacheField name="Subscriptions" numFmtId="0">
      <sharedItems containsSemiMixedTypes="0" containsString="0" containsNumber="1" containsInteger="1" minValue="0" maxValue="120"/>
    </cacheField>
    <cacheField name="Medical" numFmtId="0">
      <sharedItems containsSemiMixedTypes="0" containsString="0" containsNumber="1" containsInteger="1" minValue="75" maxValue="134"/>
    </cacheField>
    <cacheField name="Tech devices" numFmtId="0">
      <sharedItems containsSemiMixedTypes="0" containsString="0" containsNumber="1" containsInteger="1" minValue="0" maxValue="545"/>
    </cacheField>
    <cacheField name="Others" numFmtId="0">
      <sharedItems containsSemiMixedTypes="0" containsString="0" containsNumber="1" containsInteger="1" minValue="0" maxValue="78"/>
    </cacheField>
    <cacheField name="Total expense" numFmtId="1">
      <sharedItems containsSemiMixedTypes="0" containsString="0" containsNumber="1" containsInteger="1" minValue="1253" maxValue="2434"/>
    </cacheField>
    <cacheField name="Fixed expense" numFmtId="2">
      <sharedItems containsSemiMixedTypes="0" containsString="0" containsNumber="1" containsInteger="1" minValue="875" maxValue="1275"/>
    </cacheField>
    <cacheField name="Necessities" numFmtId="2">
      <sharedItems containsSemiMixedTypes="0" containsString="0" containsNumber="1" containsInteger="1" minValue="298" maxValue="548"/>
    </cacheField>
    <cacheField name="Luxurious" numFmtId="2">
      <sharedItems containsSemiMixedTypes="0" containsString="0" containsNumber="1" containsInteger="1" minValue="66" maxValue="838"/>
    </cacheField>
    <cacheField name="Miscellaneous" numFmtId="2">
      <sharedItems containsSemiMixedTypes="0" containsString="0" containsNumber="1" containsInteger="1" minValue="0" maxValue="78"/>
    </cacheField>
    <cacheField name="Part-time Jobs" numFmtId="0">
      <sharedItems containsSemiMixedTypes="0" containsString="0" containsNumber="1" containsInteger="1" minValue="230" maxValue="900"/>
    </cacheField>
    <cacheField name="Main income" numFmtId="0">
      <sharedItems containsSemiMixedTypes="0" containsString="0" containsNumber="1" containsInteger="1" minValue="2500" maxValue="6000"/>
    </cacheField>
    <cacheField name="Stock dividend" numFmtId="0">
      <sharedItems containsSemiMixedTypes="0" containsString="0" containsNumber="1" containsInteger="1" minValue="12" maxValue="245"/>
    </cacheField>
    <cacheField name="Total income " numFmtId="0">
      <sharedItems containsSemiMixedTypes="0" containsString="0" containsNumber="1" containsInteger="1" minValue="3320" maxValue="6562"/>
    </cacheField>
    <cacheField name="Balance" numFmtId="2">
      <sharedItems containsSemiMixedTypes="0" containsString="0" containsNumber="1" containsInteger="1" minValue="1823" maxValue="4652"/>
    </cacheField>
    <cacheField name="Months (Month )" numFmtId="0" databaseField="0">
      <fieldGroup base="0">
        <rangePr groupBy="months" startDate="2022-10-01T00:00:00" endDate="2024-12-25T00:00:00"/>
        <groupItems count="14">
          <s v="&lt;2022-10-01"/>
          <s v="Jan"/>
          <s v="Feb"/>
          <s v="Mar"/>
          <s v="Apr"/>
          <s v="May"/>
          <s v="Jun"/>
          <s v="Jul"/>
          <s v="Aug"/>
          <s v="Sep"/>
          <s v="Oct"/>
          <s v="Nov"/>
          <s v="Dec"/>
          <s v="&gt;2024-12-25"/>
        </groupItems>
      </fieldGroup>
    </cacheField>
    <cacheField name="Quarters (Month )" numFmtId="0" databaseField="0">
      <fieldGroup base="0">
        <rangePr groupBy="quarters" startDate="2022-10-01T00:00:00" endDate="2024-12-25T00:00:00"/>
        <groupItems count="6">
          <s v="&lt;2022-10-01"/>
          <s v="Qtr1"/>
          <s v="Qtr2"/>
          <s v="Qtr3"/>
          <s v="Qtr4"/>
          <s v="&gt;2024-12-25"/>
        </groupItems>
      </fieldGroup>
    </cacheField>
    <cacheField name="Years (Month )" numFmtId="0" databaseField="0">
      <fieldGroup base="0">
        <rangePr groupBy="years" startDate="2022-10-01T00:00:00" endDate="2024-12-25T00:00:00"/>
        <groupItems count="5">
          <s v="&lt;2022-10-01"/>
          <s v="2022"/>
          <s v="2023"/>
          <s v="2024"/>
          <s v="&gt;2024-12-25"/>
        </groupItems>
      </fieldGroup>
    </cacheField>
  </cacheFields>
  <extLst>
    <ext xmlns:x14="http://schemas.microsoft.com/office/spreadsheetml/2009/9/main" uri="{725AE2AE-9491-48be-B2B4-4EB974FC3084}">
      <x14:pivotCacheDefinition pivotCacheId="397473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00"/>
    <n v="234"/>
    <n v="0"/>
    <n v="120"/>
    <n v="0"/>
    <n v="80"/>
    <n v="0"/>
    <n v="50"/>
    <n v="75"/>
    <n v="0"/>
    <n v="23"/>
    <n v="1382"/>
    <n v="875"/>
    <n v="364"/>
    <n v="120"/>
    <n v="23"/>
    <n v="700"/>
    <n v="2500"/>
    <n v="120"/>
    <n v="3320"/>
    <n v="1938"/>
  </r>
  <r>
    <x v="1"/>
    <n v="800"/>
    <n v="178"/>
    <n v="0"/>
    <n v="80"/>
    <n v="0"/>
    <n v="90"/>
    <n v="30"/>
    <n v="0"/>
    <n v="75"/>
    <n v="0"/>
    <n v="0"/>
    <n v="1253"/>
    <n v="875"/>
    <n v="298"/>
    <n v="80"/>
    <n v="0"/>
    <n v="870"/>
    <n v="2500"/>
    <n v="134"/>
    <n v="3504"/>
    <n v="2251"/>
  </r>
  <r>
    <x v="2"/>
    <n v="850"/>
    <n v="311"/>
    <n v="0"/>
    <n v="98"/>
    <n v="0"/>
    <n v="86"/>
    <n v="0"/>
    <n v="50"/>
    <n v="75"/>
    <n v="120"/>
    <n v="0"/>
    <n v="1590"/>
    <n v="925"/>
    <n v="447"/>
    <n v="218"/>
    <n v="0"/>
    <n v="600"/>
    <n v="2750"/>
    <n v="134"/>
    <n v="3484"/>
    <n v="1894"/>
  </r>
  <r>
    <x v="3"/>
    <n v="800"/>
    <n v="224"/>
    <n v="70"/>
    <n v="95"/>
    <n v="40"/>
    <n v="50"/>
    <n v="0"/>
    <n v="80"/>
    <n v="75"/>
    <n v="0"/>
    <n v="0"/>
    <n v="1434"/>
    <n v="875"/>
    <n v="354"/>
    <n v="205"/>
    <n v="0"/>
    <n v="760"/>
    <n v="2750"/>
    <n v="134"/>
    <n v="3644"/>
    <n v="2210"/>
  </r>
  <r>
    <x v="4"/>
    <n v="800"/>
    <n v="190"/>
    <n v="160"/>
    <n v="40"/>
    <n v="0"/>
    <n v="90"/>
    <n v="30"/>
    <n v="88"/>
    <n v="75"/>
    <n v="0"/>
    <n v="0"/>
    <n v="1473"/>
    <n v="875"/>
    <n v="398"/>
    <n v="200"/>
    <n v="0"/>
    <n v="600"/>
    <n v="2750"/>
    <n v="134"/>
    <n v="3484"/>
    <n v="2011"/>
  </r>
  <r>
    <x v="5"/>
    <n v="850"/>
    <n v="230"/>
    <n v="0"/>
    <n v="100"/>
    <n v="0"/>
    <n v="99"/>
    <n v="0"/>
    <n v="88"/>
    <n v="75"/>
    <n v="0"/>
    <n v="78"/>
    <n v="1520"/>
    <n v="925"/>
    <n v="417"/>
    <n v="100"/>
    <n v="78"/>
    <n v="650"/>
    <n v="2750"/>
    <n v="134"/>
    <n v="3534"/>
    <n v="2014"/>
  </r>
  <r>
    <x v="6"/>
    <n v="1100"/>
    <n v="238"/>
    <n v="0"/>
    <n v="120"/>
    <n v="0"/>
    <n v="85"/>
    <n v="25"/>
    <n v="88"/>
    <n v="75"/>
    <n v="0"/>
    <n v="0"/>
    <n v="1731"/>
    <n v="1175"/>
    <n v="436"/>
    <n v="120"/>
    <n v="0"/>
    <n v="670"/>
    <n v="2750"/>
    <n v="134"/>
    <n v="3554"/>
    <n v="1823"/>
  </r>
  <r>
    <x v="7"/>
    <n v="1100"/>
    <n v="360"/>
    <n v="0"/>
    <n v="120"/>
    <n v="90"/>
    <n v="100"/>
    <n v="0"/>
    <n v="88"/>
    <n v="75"/>
    <n v="0"/>
    <n v="0"/>
    <n v="1933"/>
    <n v="1175"/>
    <n v="548"/>
    <n v="210"/>
    <n v="0"/>
    <n v="900"/>
    <n v="2750"/>
    <n v="134"/>
    <n v="3784"/>
    <n v="1851"/>
  </r>
  <r>
    <x v="8"/>
    <n v="1100"/>
    <n v="230"/>
    <n v="50"/>
    <n v="200"/>
    <n v="180"/>
    <n v="110"/>
    <n v="25"/>
    <n v="70"/>
    <n v="75"/>
    <n v="0"/>
    <n v="0"/>
    <n v="2040"/>
    <n v="1175"/>
    <n v="435"/>
    <n v="430"/>
    <n v="0"/>
    <n v="600"/>
    <n v="4500"/>
    <n v="134"/>
    <n v="5234"/>
    <n v="3194"/>
  </r>
  <r>
    <x v="9"/>
    <n v="1100"/>
    <n v="239"/>
    <n v="50"/>
    <n v="80"/>
    <n v="400"/>
    <n v="70"/>
    <n v="0"/>
    <n v="120"/>
    <n v="120"/>
    <n v="0"/>
    <n v="0"/>
    <n v="2179"/>
    <n v="1220"/>
    <n v="429"/>
    <n v="530"/>
    <n v="0"/>
    <n v="500"/>
    <n v="4500"/>
    <n v="144"/>
    <n v="5144"/>
    <n v="2965"/>
  </r>
  <r>
    <x v="10"/>
    <n v="1100"/>
    <n v="301"/>
    <n v="0"/>
    <n v="90"/>
    <n v="0"/>
    <n v="80"/>
    <n v="0"/>
    <n v="60"/>
    <n v="124"/>
    <n v="0"/>
    <n v="23"/>
    <n v="1778"/>
    <n v="1224"/>
    <n v="441"/>
    <n v="90"/>
    <n v="23"/>
    <n v="450"/>
    <n v="4500"/>
    <n v="21"/>
    <n v="4971"/>
    <n v="3193"/>
  </r>
  <r>
    <x v="11"/>
    <n v="1100"/>
    <n v="240"/>
    <n v="0"/>
    <n v="70"/>
    <n v="0"/>
    <n v="68"/>
    <n v="30"/>
    <n v="77"/>
    <n v="75"/>
    <n v="0"/>
    <n v="0"/>
    <n v="1660"/>
    <n v="1175"/>
    <n v="415"/>
    <n v="70"/>
    <n v="0"/>
    <n v="521"/>
    <n v="4500"/>
    <n v="89"/>
    <n v="5110"/>
    <n v="3450"/>
  </r>
  <r>
    <x v="12"/>
    <n v="1100"/>
    <n v="309"/>
    <n v="0"/>
    <n v="66"/>
    <n v="0"/>
    <n v="89"/>
    <n v="25"/>
    <n v="77"/>
    <n v="75"/>
    <n v="0"/>
    <n v="0"/>
    <n v="1741"/>
    <n v="1175"/>
    <n v="500"/>
    <n v="66"/>
    <n v="0"/>
    <n v="545"/>
    <n v="4500"/>
    <n v="90"/>
    <n v="5135"/>
    <n v="3394"/>
  </r>
  <r>
    <x v="13"/>
    <n v="1100"/>
    <n v="256"/>
    <n v="0"/>
    <n v="59"/>
    <n v="234"/>
    <n v="77"/>
    <n v="0"/>
    <n v="88"/>
    <n v="75"/>
    <n v="545"/>
    <n v="0"/>
    <n v="2434"/>
    <n v="1175"/>
    <n v="421"/>
    <n v="838"/>
    <n v="0"/>
    <n v="234"/>
    <n v="4500"/>
    <n v="90"/>
    <n v="4824"/>
    <n v="2390"/>
  </r>
  <r>
    <x v="14"/>
    <n v="1100"/>
    <n v="280"/>
    <n v="0"/>
    <n v="88"/>
    <n v="0"/>
    <n v="100"/>
    <n v="0"/>
    <n v="67"/>
    <n v="75"/>
    <n v="0"/>
    <n v="0"/>
    <n v="1710"/>
    <n v="1175"/>
    <n v="447"/>
    <n v="88"/>
    <n v="0"/>
    <n v="468"/>
    <n v="4500"/>
    <n v="90"/>
    <n v="5058"/>
    <n v="3348"/>
  </r>
  <r>
    <x v="15"/>
    <n v="1100"/>
    <n v="230"/>
    <n v="50"/>
    <n v="75"/>
    <n v="0"/>
    <n v="79"/>
    <n v="25"/>
    <n v="67"/>
    <n v="75"/>
    <n v="40"/>
    <n v="0"/>
    <n v="1741"/>
    <n v="1175"/>
    <n v="401"/>
    <n v="165"/>
    <n v="0"/>
    <n v="545"/>
    <n v="4500"/>
    <n v="90"/>
    <n v="5135"/>
    <n v="3394"/>
  </r>
  <r>
    <x v="16"/>
    <n v="1100"/>
    <n v="302"/>
    <n v="50"/>
    <n v="40"/>
    <n v="0"/>
    <n v="67"/>
    <n v="0"/>
    <n v="58"/>
    <n v="75"/>
    <n v="0"/>
    <n v="34"/>
    <n v="1726"/>
    <n v="1175"/>
    <n v="427"/>
    <n v="90"/>
    <n v="34"/>
    <n v="545"/>
    <n v="5000"/>
    <n v="90"/>
    <n v="5635"/>
    <n v="3909"/>
  </r>
  <r>
    <x v="17"/>
    <n v="1100"/>
    <n v="189"/>
    <n v="50"/>
    <n v="59"/>
    <n v="40"/>
    <n v="77"/>
    <n v="0"/>
    <n v="90"/>
    <n v="75"/>
    <n v="0"/>
    <n v="0"/>
    <n v="1680"/>
    <n v="1175"/>
    <n v="356"/>
    <n v="149"/>
    <n v="0"/>
    <n v="456"/>
    <n v="5000"/>
    <n v="90"/>
    <n v="5546"/>
    <n v="3866"/>
  </r>
  <r>
    <x v="18"/>
    <n v="1100"/>
    <n v="209"/>
    <n v="0"/>
    <n v="70"/>
    <n v="78"/>
    <n v="88"/>
    <n v="25"/>
    <n v="100"/>
    <n v="75"/>
    <n v="0"/>
    <n v="12"/>
    <n v="1757"/>
    <n v="1175"/>
    <n v="422"/>
    <n v="148"/>
    <n v="12"/>
    <n v="250"/>
    <n v="5700"/>
    <n v="90"/>
    <n v="6040"/>
    <n v="4283"/>
  </r>
  <r>
    <x v="19"/>
    <n v="1100"/>
    <n v="309"/>
    <n v="0"/>
    <n v="60"/>
    <n v="300"/>
    <n v="97"/>
    <n v="0"/>
    <n v="70"/>
    <n v="134"/>
    <n v="0"/>
    <n v="0"/>
    <n v="2070"/>
    <n v="1234"/>
    <n v="476"/>
    <n v="360"/>
    <n v="0"/>
    <n v="450"/>
    <n v="5700"/>
    <n v="245"/>
    <n v="6395"/>
    <n v="4325"/>
  </r>
  <r>
    <x v="20"/>
    <n v="1100"/>
    <n v="320"/>
    <n v="0"/>
    <n v="100"/>
    <n v="211"/>
    <n v="67"/>
    <n v="25"/>
    <n v="77"/>
    <n v="75"/>
    <n v="0"/>
    <n v="0"/>
    <n v="1975"/>
    <n v="1175"/>
    <n v="489"/>
    <n v="311"/>
    <n v="0"/>
    <n v="230"/>
    <n v="5700"/>
    <n v="200"/>
    <n v="6130"/>
    <n v="4155"/>
  </r>
  <r>
    <x v="21"/>
    <n v="1200"/>
    <n v="190"/>
    <n v="140"/>
    <n v="120"/>
    <n v="0"/>
    <n v="56"/>
    <n v="0"/>
    <n v="70"/>
    <n v="75"/>
    <n v="0"/>
    <n v="0"/>
    <n v="1851"/>
    <n v="1275"/>
    <n v="316"/>
    <n v="260"/>
    <n v="0"/>
    <n v="230"/>
    <n v="5700"/>
    <n v="12"/>
    <n v="5942"/>
    <n v="4091"/>
  </r>
  <r>
    <x v="22"/>
    <n v="1200"/>
    <n v="309"/>
    <n v="70"/>
    <n v="56"/>
    <n v="0"/>
    <n v="78"/>
    <n v="30"/>
    <n v="67"/>
    <n v="75"/>
    <n v="120"/>
    <n v="0"/>
    <n v="2005"/>
    <n v="1275"/>
    <n v="484"/>
    <n v="246"/>
    <n v="0"/>
    <n v="567"/>
    <n v="5700"/>
    <n v="112"/>
    <n v="6379"/>
    <n v="4374"/>
  </r>
  <r>
    <x v="23"/>
    <n v="1200"/>
    <n v="300"/>
    <n v="0"/>
    <n v="88"/>
    <n v="0"/>
    <n v="90"/>
    <n v="0"/>
    <n v="57"/>
    <n v="75"/>
    <n v="0"/>
    <n v="0"/>
    <n v="1810"/>
    <n v="1275"/>
    <n v="447"/>
    <n v="88"/>
    <n v="0"/>
    <n v="350"/>
    <n v="6000"/>
    <n v="112"/>
    <n v="6462"/>
    <n v="4652"/>
  </r>
  <r>
    <x v="24"/>
    <n v="1200"/>
    <n v="209"/>
    <n v="0"/>
    <n v="70"/>
    <n v="234"/>
    <n v="65"/>
    <n v="0"/>
    <n v="67"/>
    <n v="75"/>
    <n v="0"/>
    <n v="67"/>
    <n v="1987"/>
    <n v="1275"/>
    <n v="341"/>
    <n v="304"/>
    <n v="67"/>
    <n v="450"/>
    <n v="6000"/>
    <n v="112"/>
    <n v="6562"/>
    <n v="4575"/>
  </r>
  <r>
    <x v="25"/>
    <n v="1200"/>
    <n v="210"/>
    <n v="0"/>
    <n v="79"/>
    <n v="0"/>
    <n v="45"/>
    <n v="25"/>
    <n v="67"/>
    <n v="75"/>
    <n v="0"/>
    <n v="22"/>
    <n v="1723"/>
    <n v="1275"/>
    <n v="347"/>
    <n v="79"/>
    <n v="22"/>
    <n v="234"/>
    <n v="6000"/>
    <n v="112"/>
    <n v="6346"/>
    <n v="4623"/>
  </r>
  <r>
    <x v="26"/>
    <n v="1200"/>
    <n v="289"/>
    <n v="0"/>
    <n v="90"/>
    <n v="123"/>
    <n v="56"/>
    <n v="0"/>
    <n v="80"/>
    <n v="75"/>
    <n v="0"/>
    <n v="0"/>
    <n v="1913"/>
    <n v="1275"/>
    <n v="425"/>
    <n v="213"/>
    <n v="0"/>
    <n v="340"/>
    <n v="6000"/>
    <n v="112"/>
    <n v="6452"/>
    <n v="45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3014D1-B130-43BA-9C70-013C2C7113B2}" name="General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2:V30" firstHeaderRow="0"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2" showAll="0"/>
    <pivotField dataField="1" numFmtId="2" showAll="0"/>
    <pivotField dataField="1" numFmtId="2" showAll="0"/>
    <pivotField numFmtId="2" showAll="0"/>
    <pivotField numFmtId="2" showAll="0"/>
    <pivotField showAll="0"/>
    <pivotField showAll="0"/>
    <pivotField showAll="0"/>
    <pivotField dataField="1" showAll="0"/>
    <pivotField dataField="1"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5">
        <item sd="0" x="0"/>
        <item sd="0" x="1"/>
        <item sd="0" x="2"/>
        <item x="3"/>
        <item x="4"/>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5">
    <i>
      <x/>
    </i>
    <i i="1">
      <x v="1"/>
    </i>
    <i i="2">
      <x v="2"/>
    </i>
    <i i="3">
      <x v="3"/>
    </i>
    <i i="4">
      <x v="4"/>
    </i>
  </colItems>
  <dataFields count="5">
    <dataField name="Sum of Total income " fld="20" baseField="0" baseItem="0"/>
    <dataField name="Average of Necessities" fld="14" subtotal="average" baseField="0" baseItem="0"/>
    <dataField name="Sum of Total expense" fld="12" baseField="0" baseItem="0"/>
    <dataField name="Average of Fixed expense" fld="13" subtotal="average" baseField="0" baseItem="0"/>
    <dataField name="Sum of Balance"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47DA9-C4F3-41EC-9149-95FBD5364305}" name="Top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Y3:AD31" firstHeaderRow="0"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showAll="0"/>
    <pivotField dataField="1" showAll="0"/>
    <pivotField showAll="0"/>
    <pivotField dataField="1" showAll="0"/>
    <pivotField dataField="1" showAll="0"/>
    <pivotField showAll="0"/>
    <pivotField showAll="0"/>
    <pivotField dataField="1" showAll="0"/>
    <pivotField showAll="0"/>
    <pivotField showAll="0"/>
    <pivotField showAll="0"/>
    <pivotField numFmtId="1" showAll="0"/>
    <pivotField numFmtId="2" showAll="0"/>
    <pivotField numFmtId="2" showAll="0"/>
    <pivotField numFmtId="2" showAll="0"/>
    <pivotField numFmtId="2" showAll="0"/>
    <pivotField showAll="0"/>
    <pivotField showAll="0"/>
    <pivotField showAll="0"/>
    <pivotField showAll="0"/>
    <pivotField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5">
        <item sd="0" x="0"/>
        <item sd="0" x="1"/>
        <item sd="0" x="2"/>
        <item sd="0" x="3"/>
        <item x="4"/>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5">
    <i>
      <x/>
    </i>
    <i i="1">
      <x v="1"/>
    </i>
    <i i="2">
      <x v="2"/>
    </i>
    <i i="3">
      <x v="3"/>
    </i>
    <i i="4">
      <x v="4"/>
    </i>
  </colItems>
  <dataFields count="5">
    <dataField name="Sum of Subscriptions" fld="8" baseField="0" baseItem="0"/>
    <dataField name="Sum of Entertainment " fld="5" baseField="0" baseItem="0"/>
    <dataField name="Sum of Eating out" fld="4" baseField="0" baseItem="0"/>
    <dataField name="Sum of Groceries" fld="2" baseField="0" baseItem="0"/>
    <dataField name="Sum of Rent" fld="1" baseField="0" baseItem="0"/>
  </dataFields>
  <chartFormats count="25">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1">
          <reference field="4294967294" count="1" selected="0">
            <x v="1"/>
          </reference>
        </references>
      </pivotArea>
    </chartFormat>
    <chartFormat chart="0" format="15" series="1">
      <pivotArea type="data" outline="0" fieldPosition="0">
        <references count="1">
          <reference field="4294967294" count="1" selected="0">
            <x v="2"/>
          </reference>
        </references>
      </pivotArea>
    </chartFormat>
    <chartFormat chart="0" format="16" series="1">
      <pivotArea type="data" outline="0" fieldPosition="0">
        <references count="1">
          <reference field="4294967294" count="1" selected="0">
            <x v="3"/>
          </reference>
        </references>
      </pivotArea>
    </chartFormat>
    <chartFormat chart="0" format="17" series="1">
      <pivotArea type="data" outline="0" fieldPosition="0">
        <references count="1">
          <reference field="4294967294" count="1" selected="0">
            <x v="4"/>
          </reference>
        </references>
      </pivotArea>
    </chartFormat>
    <chartFormat chart="6" format="23"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1"/>
          </reference>
        </references>
      </pivotArea>
    </chartFormat>
    <chartFormat chart="6" format="25" series="1">
      <pivotArea type="data" outline="0" fieldPosition="0">
        <references count="1">
          <reference field="4294967294" count="1" selected="0">
            <x v="2"/>
          </reference>
        </references>
      </pivotArea>
    </chartFormat>
    <chartFormat chart="6" format="26" series="1">
      <pivotArea type="data" outline="0" fieldPosition="0">
        <references count="1">
          <reference field="4294967294" count="1" selected="0">
            <x v="3"/>
          </reference>
        </references>
      </pivotArea>
    </chartFormat>
    <chartFormat chart="6" format="27" series="1">
      <pivotArea type="data" outline="0" fieldPosition="0">
        <references count="1">
          <reference field="4294967294" count="1" selected="0">
            <x v="4"/>
          </reference>
        </references>
      </pivotArea>
    </chartFormat>
    <chartFormat chart="7" format="28" series="1">
      <pivotArea type="data" outline="0" fieldPosition="0">
        <references count="1">
          <reference field="4294967294" count="1" selected="0">
            <x v="0"/>
          </reference>
        </references>
      </pivotArea>
    </chartFormat>
    <chartFormat chart="7" format="29" series="1">
      <pivotArea type="data" outline="0" fieldPosition="0">
        <references count="1">
          <reference field="4294967294" count="1" selected="0">
            <x v="1"/>
          </reference>
        </references>
      </pivotArea>
    </chartFormat>
    <chartFormat chart="7" format="30" series="1">
      <pivotArea type="data" outline="0" fieldPosition="0">
        <references count="1">
          <reference field="4294967294" count="1" selected="0">
            <x v="2"/>
          </reference>
        </references>
      </pivotArea>
    </chartFormat>
    <chartFormat chart="7" format="31" series="1">
      <pivotArea type="data" outline="0" fieldPosition="0">
        <references count="1">
          <reference field="4294967294" count="1" selected="0">
            <x v="3"/>
          </reference>
        </references>
      </pivotArea>
    </chartFormat>
    <chartFormat chart="7" format="32" series="1">
      <pivotArea type="data" outline="0" fieldPosition="0">
        <references count="1">
          <reference field="4294967294" count="1" selected="0">
            <x v="4"/>
          </reference>
        </references>
      </pivotArea>
    </chartFormat>
    <chartFormat chart="8" format="3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1"/>
          </reference>
        </references>
      </pivotArea>
    </chartFormat>
    <chartFormat chart="8" format="35" series="1">
      <pivotArea type="data" outline="0" fieldPosition="0">
        <references count="1">
          <reference field="4294967294" count="1" selected="0">
            <x v="2"/>
          </reference>
        </references>
      </pivotArea>
    </chartFormat>
    <chartFormat chart="8" format="36" series="1">
      <pivotArea type="data" outline="0" fieldPosition="0">
        <references count="1">
          <reference field="4294967294" count="1" selected="0">
            <x v="3"/>
          </reference>
        </references>
      </pivotArea>
    </chartFormat>
    <chartFormat chart="8" format="37" series="1">
      <pivotArea type="data" outline="0" fieldPosition="0">
        <references count="1">
          <reference field="4294967294" count="1" selected="0">
            <x v="4"/>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3"/>
          </reference>
        </references>
      </pivotArea>
    </chartFormat>
    <chartFormat chart="1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1CABD-02DA-4A3E-BD31-92E03D277701}" name="Bal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L31" firstHeaderRow="1"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showAll="0"/>
    <pivotField showAll="0"/>
    <pivotField showAll="0"/>
    <pivotField showAll="0"/>
    <pivotField dataField="1"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5">
        <item sd="0" x="0"/>
        <item sd="0" x="1"/>
        <item sd="0" x="2"/>
        <item x="3"/>
        <item x="4"/>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Balance" fld="2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59BE59-4D5D-4BCF-A17C-EAC6C45910A4}" name="Incom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E30" firstHeaderRow="1"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showAll="0"/>
    <pivotField showAll="0"/>
    <pivotField showAll="0"/>
    <pivotField dataField="1" showAll="0"/>
    <pivotField numFmtId="2"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showAll="0" defaultSubtotal="0">
      <items count="5">
        <item sd="0" x="0"/>
        <item sd="0" x="1"/>
        <item sd="0" x="2"/>
        <item x="3"/>
        <item x="4"/>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income " fld="2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2ECEEF-F5C9-4BA8-929D-44536E7ECCA1}" name="expens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30" firstHeaderRow="1" firstDataRow="1" firstDataCol="1"/>
  <pivotFields count="25">
    <pivotField axis="axisRow"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2" showAll="0"/>
    <pivotField numFmtId="2" showAll="0"/>
    <pivotField numFmtId="2" showAll="0"/>
    <pivotField numFmtId="2" showAll="0"/>
    <pivotField numFmtId="2" showAll="0"/>
    <pivotField showAll="0"/>
    <pivotField showAll="0"/>
    <pivotField showAll="0"/>
    <pivotField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6">
        <item sd="0" x="0"/>
        <item sd="0" x="1"/>
        <item sd="0" x="2"/>
        <item x="3"/>
        <item x="4"/>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 expense"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7CDF26-8DA8-4730-8143-88307664C0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G7:AI8" firstHeaderRow="0" firstDataRow="1" firstDataCol="0" rowPageCount="1" colPageCount="1"/>
  <pivotFields count="25">
    <pivotField axis="axisPage" numFmtId="17"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pivotField showAll="0"/>
    <pivotField showAll="0"/>
    <pivotField showAll="0"/>
    <pivotField numFmtId="1" showAll="0"/>
    <pivotField numFmtId="2" showAll="0"/>
    <pivotField numFmtId="2" showAll="0"/>
    <pivotField numFmtId="2" showAll="0"/>
    <pivotField numFmtId="2" showAll="0"/>
    <pivotField dataField="1" showAll="0"/>
    <pivotField dataField="1" showAll="0"/>
    <pivotField dataField="1" showAll="0"/>
    <pivotField showAll="0"/>
    <pivotField numFmtId="2"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3">
    <i>
      <x/>
    </i>
    <i i="1">
      <x v="1"/>
    </i>
    <i i="2">
      <x v="2"/>
    </i>
  </colItems>
  <pageFields count="1">
    <pageField fld="0" hier="-1"/>
  </pageFields>
  <dataFields count="3">
    <dataField name="Sum of Stock dividend" fld="19" baseField="0" baseItem="0"/>
    <dataField name="Sum of Main income" fld="18" baseField="0" baseItem="0"/>
    <dataField name="Sum of Part-time Jobs" fld="17" baseField="0" baseItem="0"/>
  </dataFields>
  <chartFormats count="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44B7783-7ED0-415F-97D3-629BC31CFDBD}" sourceName="Month ">
  <pivotTables>
    <pivotTable tabId="16" name="Income "/>
    <pivotTable tabId="16" name="Balance"/>
    <pivotTable tabId="16" name="expenses"/>
    <pivotTable tabId="16" name="General "/>
    <pivotTable tabId="16" name="Top5"/>
    <pivotTable tabId="16" name="PivotTable1"/>
  </pivotTables>
  <data>
    <tabular pivotCacheId="397473395">
      <items count="27">
        <i x="0" s="1"/>
        <i x="1" s="1"/>
        <i x="2" s="1"/>
        <i x="3" s="1"/>
        <i x="4" s="1"/>
        <i x="5" s="1"/>
        <i x="6" s="1"/>
        <i x="7" s="1"/>
        <i x="8" s="1"/>
        <i x="9" s="1"/>
        <i x="10" s="1"/>
        <i x="11" s="1"/>
        <i x="12" s="1"/>
        <i x="13" s="1"/>
        <i x="14" s="1"/>
        <i x="15" s="1"/>
        <i x="16" s="1"/>
        <i x="17" s="1"/>
        <i x="18" s="1"/>
        <i x="19" s="1"/>
        <i x="20" s="1"/>
        <i x="21" s="1"/>
        <i x="22" s="1"/>
        <i x="23" s="1"/>
        <i x="24" s="1"/>
        <i x="25" s="1"/>
        <i x="2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onth" xr10:uid="{9CB154A9-E493-4EBD-8119-B0319C03F36F}" sourceName="Years (Month )">
  <pivotTables>
    <pivotTable tabId="16" name="Balance"/>
    <pivotTable tabId="16" name="expenses"/>
    <pivotTable tabId="16" name="Income "/>
    <pivotTable tabId="16" name="General "/>
    <pivotTable tabId="16" name="Top5"/>
    <pivotTable tabId="16" name="PivotTable1"/>
  </pivotTables>
  <data>
    <tabular pivotCacheId="39747339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53DDD1CA-F0AE-4484-82C9-37D8C7F191FB}" cache="Slicer_Month" caption="Month " startItem="7" style="SlicerStyleDark5" rowHeight="234950"/>
  <slicer name="Years " xr10:uid="{C5F0FCA4-F692-44F9-BAB9-DC72E8DBB484}" cache="Slicer_Years__Month"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077389-621E-4A14-A96B-416C3B53FE83}" name="Table4" displayName="Table4" ref="X5:Y12" totalsRowCount="1">
  <autoFilter ref="X5:Y11" xr:uid="{B2077389-621E-4A14-A96B-416C3B53FE83}"/>
  <tableColumns count="2">
    <tableColumn id="1" xr3:uid="{AD247C4B-E681-460F-8223-B4F5420FA9D0}" name="Accounts" totalsRowLabel="Total"/>
    <tableColumn id="2" xr3:uid="{858F35F1-0FA4-4EFA-9380-13D6B92CD21A}" name="Sum" totalsRowFunction="sum" dataDxfId="17">
      <calculatedColumnFormula>'2.Balance_Sheet'!H12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D810B1-7022-4035-93F9-B903B9BD38F1}" name="Data" displayName="Data" ref="A3:V30" totalsRowShown="0" headerRowDxfId="16" dataDxfId="15" tableBorderDxfId="14" dataCellStyle="Currency">
  <autoFilter ref="A3:V30" xr:uid="{EDD810B1-7022-4035-93F9-B903B9BD38F1}"/>
  <tableColumns count="22">
    <tableColumn id="1" xr3:uid="{58F9DC52-1C80-427F-BA21-24BBB08C77A8}" name="Month " dataDxfId="13"/>
    <tableColumn id="2" xr3:uid="{19A78D43-E098-420A-AFFF-D0C0369ABA1F}" name="Rent"/>
    <tableColumn id="3" xr3:uid="{55AE2DDE-E63D-4B50-ACC5-DAB2947197C8}" name="Groceries"/>
    <tableColumn id="4" xr3:uid="{9CA4A132-B803-4B19-814B-5602736C3F37}" name="Education"/>
    <tableColumn id="5" xr3:uid="{8DF07AD2-8667-4172-B7B9-41BC5E0536FF}" name="Eating out"/>
    <tableColumn id="6" xr3:uid="{E3D13D87-EDDD-4B81-B15A-05CF41142875}" name="Entertainment "/>
    <tableColumn id="7" xr3:uid="{FC3DDB6C-1D07-44D3-93C4-691E5DF45A2E}" name="Transport"/>
    <tableColumn id="8" xr3:uid="{90C473F2-7C57-4BA0-A63B-DA80B252B302}" name="Haircut"/>
    <tableColumn id="9" xr3:uid="{3CBA44E9-FB90-4216-A8F1-92C9D49112CF}" name="Subscriptions"/>
    <tableColumn id="10" xr3:uid="{EB2F60E9-0B2F-437D-8314-DCCCD65F6EDA}" name="Medical"/>
    <tableColumn id="11" xr3:uid="{568E61FE-D6E1-4A60-90BF-D8D6E25C8D9E}" name="Tech devices"/>
    <tableColumn id="12" xr3:uid="{DA2FC0F1-BCF3-46D6-9547-35D292FAF72F}" name="Others"/>
    <tableColumn id="13" xr3:uid="{11E0FCE7-1689-416F-8B04-CE78D9E6A17C}" name="Total expense" dataDxfId="12">
      <calculatedColumnFormula>SUM('3.Data'!$B4:$L4)</calculatedColumnFormula>
    </tableColumn>
    <tableColumn id="14" xr3:uid="{4AAECD0B-4CF2-4B19-A2B2-33165F1B06EF}" name="Fixed expense" dataDxfId="11">
      <calculatedColumnFormula>Data[[#This Row],[Rent]]+Data[[#This Row],[Medical]]</calculatedColumnFormula>
    </tableColumn>
    <tableColumn id="15" xr3:uid="{117273CB-8131-46E7-A999-B0978796C9C4}" name="Necessities" dataDxfId="10">
      <calculatedColumnFormula>Data[[#This Row],[Groceries]]+Data[[#This Row],[Transport]]+Data[[#This Row],[Haircut]]+Data[[#This Row],[Subscriptions]]</calculatedColumnFormula>
    </tableColumn>
    <tableColumn id="16" xr3:uid="{2FF9D745-289A-4487-8123-B381BEE56049}" name="Luxurious" dataDxfId="9">
      <calculatedColumnFormula>Data[[#This Row],[Education]]+Data[[#This Row],[Eating out]]+Data[[#This Row],[Entertainment ]]+Data[[#This Row],[Tech devices]]</calculatedColumnFormula>
    </tableColumn>
    <tableColumn id="17" xr3:uid="{1B70C00C-5163-46CB-8F83-252034A829FE}" name="Miscellaneous" dataDxfId="8">
      <calculatedColumnFormula>Data[[#This Row],[Others]]</calculatedColumnFormula>
    </tableColumn>
    <tableColumn id="18" xr3:uid="{E4363096-3BD7-4725-911F-38CC4D8EDFC3}" name="Part-time Jobs" dataDxfId="7" dataCellStyle="Currency"/>
    <tableColumn id="22" xr3:uid="{BE73CB4D-984F-412A-98F7-FAB63A94EE16}" name="Main income" dataDxfId="6" dataCellStyle="Currency"/>
    <tableColumn id="19" xr3:uid="{3C672B99-6D0B-49A0-89EC-5E9FBA7E21A7}" name="Stock dividend" dataDxfId="5" dataCellStyle="Currency"/>
    <tableColumn id="20" xr3:uid="{19CF9DE4-9CD5-45DE-9526-7C128145911E}" name="Total income " dataDxfId="4">
      <calculatedColumnFormula>SUM('3.Data'!$R4:$T4)</calculatedColumnFormula>
    </tableColumn>
    <tableColumn id="21" xr3:uid="{1378EA5D-5D31-4EA5-836E-DC72E12619C0}" name="Balance" dataDxfId="3" dataCellStyle="Currency">
      <calculatedColumnFormula>'3.Data'!$U4-'3.Data'!$M4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2.v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609D-7C54-45CF-B405-CC0CD804032F}">
  <dimension ref="B2:B3"/>
  <sheetViews>
    <sheetView showGridLines="0" tabSelected="1" zoomScale="90" zoomScaleNormal="90" workbookViewId="0">
      <selection activeCell="C10" sqref="C10"/>
    </sheetView>
  </sheetViews>
  <sheetFormatPr defaultRowHeight="21" x14ac:dyDescent="0.4"/>
  <cols>
    <col min="1" max="16384" width="8.88671875" style="70"/>
  </cols>
  <sheetData>
    <row r="2" spans="2:2" x14ac:dyDescent="0.4">
      <c r="B2" s="70" t="s">
        <v>55</v>
      </c>
    </row>
    <row r="3" spans="2:2" x14ac:dyDescent="0.4">
      <c r="B3" s="70" t="s">
        <v>56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A82B9-4097-4141-B869-F17D8639456C}">
  <dimension ref="A1:X45"/>
  <sheetViews>
    <sheetView workbookViewId="0">
      <selection activeCell="G36" sqref="G36"/>
    </sheetView>
  </sheetViews>
  <sheetFormatPr defaultRowHeight="14.4" x14ac:dyDescent="0.3"/>
  <cols>
    <col min="1" max="1" width="12.21875" bestFit="1" customWidth="1"/>
    <col min="2" max="2" width="25" customWidth="1"/>
    <col min="3" max="3" width="12.88671875" bestFit="1" customWidth="1"/>
    <col min="4" max="6" width="10.44140625" customWidth="1"/>
    <col min="7" max="7" width="11.109375" bestFit="1" customWidth="1"/>
    <col min="8" max="8" width="11.44140625" bestFit="1" customWidth="1"/>
    <col min="9" max="9" width="10.44140625" customWidth="1"/>
    <col min="10" max="10" width="10.44140625" style="1" customWidth="1"/>
    <col min="11" max="12" width="10.44140625" customWidth="1"/>
    <col min="13" max="15" width="11.44140625" customWidth="1"/>
    <col min="16" max="16" width="11.44140625" style="1" customWidth="1"/>
    <col min="17" max="17" width="13.21875" bestFit="1" customWidth="1"/>
    <col min="18" max="18" width="12.21875" bestFit="1" customWidth="1"/>
    <col min="19" max="24" width="11.44140625" customWidth="1"/>
  </cols>
  <sheetData>
    <row r="1" spans="1:24" ht="27" customHeight="1" x14ac:dyDescent="0.3">
      <c r="A1" s="145" t="s">
        <v>63</v>
      </c>
      <c r="B1" s="145"/>
      <c r="C1" s="145"/>
      <c r="D1" s="145"/>
      <c r="E1" s="145"/>
      <c r="F1" s="145"/>
      <c r="G1" s="145"/>
      <c r="H1" s="145"/>
      <c r="I1" s="145"/>
      <c r="J1" s="146"/>
      <c r="K1" s="147" t="s">
        <v>64</v>
      </c>
      <c r="L1" s="147"/>
      <c r="M1" s="147"/>
      <c r="N1" s="147"/>
      <c r="O1" s="147"/>
      <c r="P1" s="147"/>
      <c r="Q1" s="147" t="s">
        <v>80</v>
      </c>
      <c r="R1" s="147"/>
      <c r="S1" s="147"/>
      <c r="T1" s="147"/>
      <c r="U1" s="147"/>
      <c r="V1" s="147"/>
      <c r="W1" s="71"/>
      <c r="X1" s="71"/>
    </row>
    <row r="2" spans="1:24" ht="16.2" customHeight="1" x14ac:dyDescent="0.3">
      <c r="A2" s="148" t="s">
        <v>65</v>
      </c>
      <c r="B2" s="149"/>
      <c r="C2" s="150" t="s">
        <v>66</v>
      </c>
      <c r="D2" s="149"/>
      <c r="E2" s="150" t="s">
        <v>81</v>
      </c>
      <c r="F2" s="149"/>
      <c r="G2" s="150" t="s">
        <v>82</v>
      </c>
      <c r="H2" s="149"/>
      <c r="I2" s="151" t="s">
        <v>61</v>
      </c>
      <c r="J2" s="152"/>
      <c r="K2" s="153" t="s">
        <v>67</v>
      </c>
      <c r="L2" s="154"/>
      <c r="M2" s="72"/>
      <c r="N2" s="73"/>
      <c r="O2" s="73"/>
      <c r="P2" s="74"/>
      <c r="Q2" s="153" t="s">
        <v>68</v>
      </c>
      <c r="R2" s="154"/>
      <c r="S2" s="135" t="s">
        <v>69</v>
      </c>
      <c r="T2" s="136"/>
      <c r="U2" s="137" t="s">
        <v>70</v>
      </c>
      <c r="V2" s="138"/>
      <c r="W2" s="139" t="s">
        <v>71</v>
      </c>
      <c r="X2" s="139"/>
    </row>
    <row r="3" spans="1:24" x14ac:dyDescent="0.3">
      <c r="A3" s="75">
        <v>120000</v>
      </c>
      <c r="B3" s="76">
        <v>1666</v>
      </c>
      <c r="C3">
        <v>12000</v>
      </c>
      <c r="D3" s="77"/>
      <c r="E3">
        <v>23000</v>
      </c>
      <c r="F3" s="78"/>
      <c r="G3" s="79">
        <v>25000</v>
      </c>
      <c r="H3" s="78"/>
      <c r="I3" s="80">
        <v>1000</v>
      </c>
      <c r="J3" s="81"/>
      <c r="K3" s="80"/>
      <c r="L3" s="82">
        <v>200</v>
      </c>
      <c r="M3" s="80"/>
      <c r="N3" s="80"/>
      <c r="O3" s="80"/>
      <c r="P3" s="80"/>
      <c r="Q3" s="83"/>
      <c r="R3" s="2">
        <v>180800</v>
      </c>
      <c r="T3" s="84">
        <v>5200</v>
      </c>
      <c r="U3" s="84"/>
      <c r="V3" s="78"/>
      <c r="W3" s="85">
        <v>850</v>
      </c>
      <c r="X3" s="86"/>
    </row>
    <row r="4" spans="1:24" x14ac:dyDescent="0.3">
      <c r="A4" s="87">
        <v>5200</v>
      </c>
      <c r="B4" s="88"/>
      <c r="C4" s="89">
        <v>460</v>
      </c>
      <c r="D4" s="88"/>
      <c r="E4" s="90">
        <v>123</v>
      </c>
      <c r="F4" s="91"/>
      <c r="G4" s="92">
        <v>70</v>
      </c>
      <c r="H4" s="91"/>
      <c r="I4" s="93"/>
      <c r="J4" s="94"/>
      <c r="K4" s="93"/>
      <c r="L4" s="88"/>
      <c r="M4" s="93"/>
      <c r="N4" s="93"/>
      <c r="O4" s="93"/>
      <c r="P4" s="93"/>
      <c r="Q4" s="95"/>
      <c r="R4" s="88"/>
      <c r="T4" s="92">
        <v>460</v>
      </c>
      <c r="U4" s="90"/>
      <c r="V4" s="91"/>
      <c r="W4" s="2">
        <v>123</v>
      </c>
      <c r="X4" s="93"/>
    </row>
    <row r="5" spans="1:24" x14ac:dyDescent="0.3">
      <c r="A5" s="96"/>
      <c r="B5" s="82"/>
      <c r="C5" s="80"/>
      <c r="D5" s="78"/>
      <c r="E5" s="84"/>
      <c r="F5" s="78"/>
      <c r="G5" s="97"/>
      <c r="H5" s="98"/>
      <c r="J5" s="99"/>
      <c r="K5" s="80"/>
      <c r="L5" s="78"/>
      <c r="M5" s="80"/>
      <c r="N5" s="80"/>
      <c r="O5" s="80"/>
      <c r="P5" s="80"/>
      <c r="Q5" s="83"/>
      <c r="R5" s="67"/>
      <c r="T5" s="84">
        <v>123</v>
      </c>
      <c r="U5" s="84"/>
      <c r="V5" s="78"/>
      <c r="W5" s="86">
        <v>145</v>
      </c>
      <c r="X5" s="86"/>
    </row>
    <row r="6" spans="1:24" x14ac:dyDescent="0.3">
      <c r="A6" s="100"/>
      <c r="B6" s="88"/>
      <c r="C6" s="93"/>
      <c r="D6" s="91"/>
      <c r="E6" s="92"/>
      <c r="F6" s="91"/>
      <c r="G6" s="101"/>
      <c r="H6" s="91"/>
      <c r="I6" s="93"/>
      <c r="J6" s="94"/>
      <c r="K6" s="93"/>
      <c r="L6" s="91"/>
      <c r="M6" s="93"/>
      <c r="N6" s="93"/>
      <c r="O6" s="93"/>
      <c r="P6" s="93"/>
      <c r="Q6" s="95"/>
      <c r="R6" s="91"/>
      <c r="T6" s="92">
        <v>70</v>
      </c>
      <c r="U6" s="92"/>
      <c r="V6" s="91"/>
      <c r="W6">
        <v>80</v>
      </c>
    </row>
    <row r="7" spans="1:24" x14ac:dyDescent="0.3">
      <c r="A7" s="93"/>
      <c r="B7" s="78"/>
      <c r="C7" s="80"/>
      <c r="D7" s="78"/>
      <c r="E7" s="84"/>
      <c r="F7" s="78"/>
      <c r="G7" s="84"/>
      <c r="H7" s="78"/>
      <c r="I7" s="80"/>
      <c r="J7" s="81"/>
      <c r="K7" s="80"/>
      <c r="L7" s="78"/>
      <c r="M7" s="80"/>
      <c r="N7" s="80"/>
      <c r="O7" s="80"/>
      <c r="P7" s="80"/>
      <c r="Q7" s="83"/>
      <c r="R7" s="78"/>
      <c r="T7" s="84"/>
      <c r="U7" s="84"/>
      <c r="V7" s="78"/>
      <c r="W7" s="86">
        <v>400</v>
      </c>
      <c r="X7" s="86"/>
    </row>
    <row r="8" spans="1:24" x14ac:dyDescent="0.3">
      <c r="A8" s="100"/>
      <c r="B8" s="91"/>
      <c r="C8" s="93"/>
      <c r="D8" s="102"/>
      <c r="F8" s="102"/>
      <c r="G8" s="92"/>
      <c r="H8" s="91"/>
      <c r="J8" s="94"/>
      <c r="K8" s="93"/>
      <c r="L8" s="91"/>
      <c r="M8" s="93"/>
      <c r="N8" s="93"/>
      <c r="O8" s="93"/>
      <c r="P8" s="93"/>
      <c r="Q8" s="95"/>
      <c r="R8" s="91"/>
      <c r="S8" s="92"/>
      <c r="T8" s="91"/>
      <c r="U8" s="92"/>
      <c r="V8" s="91"/>
      <c r="W8">
        <v>23</v>
      </c>
    </row>
    <row r="9" spans="1:24" x14ac:dyDescent="0.3">
      <c r="A9" s="96"/>
      <c r="B9" s="78"/>
      <c r="C9" s="80"/>
      <c r="D9" s="103"/>
      <c r="E9" s="97"/>
      <c r="F9" s="78"/>
      <c r="G9" s="84"/>
      <c r="H9" s="82"/>
      <c r="I9" s="80"/>
      <c r="J9" s="81"/>
      <c r="K9" s="80"/>
      <c r="L9" s="78"/>
      <c r="M9" s="80"/>
      <c r="N9" s="80"/>
      <c r="O9" s="80"/>
      <c r="P9" s="80"/>
      <c r="Q9" s="83"/>
      <c r="R9" s="78"/>
      <c r="S9" s="84"/>
      <c r="T9" s="78"/>
      <c r="U9" s="84"/>
      <c r="V9" s="78"/>
      <c r="W9" s="86">
        <v>45</v>
      </c>
      <c r="X9" s="86"/>
    </row>
    <row r="10" spans="1:24" x14ac:dyDescent="0.3">
      <c r="A10" s="100"/>
      <c r="B10" s="91"/>
      <c r="C10" s="93"/>
      <c r="D10" s="91"/>
      <c r="E10" s="92"/>
      <c r="F10" s="91"/>
      <c r="G10" s="92"/>
      <c r="H10" s="91"/>
      <c r="I10" s="93"/>
      <c r="J10" s="94"/>
      <c r="K10" s="93"/>
      <c r="L10" s="91"/>
      <c r="M10" s="93"/>
      <c r="N10" s="93"/>
      <c r="O10" s="93"/>
      <c r="P10" s="93"/>
      <c r="Q10" s="95"/>
      <c r="R10" s="91"/>
      <c r="S10" s="92"/>
      <c r="T10" s="91"/>
      <c r="U10" s="92"/>
      <c r="V10" s="91"/>
    </row>
    <row r="11" spans="1:24" x14ac:dyDescent="0.3">
      <c r="A11" s="96"/>
      <c r="B11" s="78"/>
      <c r="C11" s="80"/>
      <c r="D11" s="78"/>
      <c r="E11" s="84"/>
      <c r="F11" s="78"/>
      <c r="G11" s="84"/>
      <c r="H11" s="78"/>
      <c r="I11" s="80"/>
      <c r="J11" s="81"/>
      <c r="K11" s="80"/>
      <c r="L11" s="78"/>
      <c r="M11" s="80"/>
      <c r="N11" s="80"/>
      <c r="O11" s="80"/>
      <c r="P11" s="80"/>
      <c r="Q11" s="83"/>
      <c r="R11" s="78"/>
      <c r="S11" s="84"/>
      <c r="T11" s="78"/>
      <c r="U11" s="84"/>
      <c r="V11" s="78"/>
      <c r="W11" s="86"/>
      <c r="X11" s="86"/>
    </row>
    <row r="12" spans="1:24" x14ac:dyDescent="0.3">
      <c r="A12" s="100"/>
      <c r="B12" s="91"/>
      <c r="C12" s="93"/>
      <c r="D12" s="91"/>
      <c r="E12" s="92"/>
      <c r="F12" s="91"/>
      <c r="G12" s="92"/>
      <c r="H12" s="91"/>
      <c r="I12" s="93"/>
      <c r="J12" s="94"/>
      <c r="K12" s="93"/>
      <c r="L12" s="91"/>
      <c r="M12" s="93"/>
      <c r="N12" s="93"/>
      <c r="O12" s="93"/>
      <c r="P12" s="93"/>
      <c r="Q12" s="95"/>
      <c r="R12" s="91"/>
      <c r="S12" s="92"/>
      <c r="T12" s="91"/>
      <c r="U12" s="92"/>
      <c r="V12" s="91"/>
    </row>
    <row r="13" spans="1:24" x14ac:dyDescent="0.3">
      <c r="A13" s="96"/>
      <c r="B13" s="78"/>
      <c r="C13" s="80"/>
      <c r="D13" s="78"/>
      <c r="E13" s="84"/>
      <c r="F13" s="78"/>
      <c r="G13" s="84"/>
      <c r="H13" s="78"/>
      <c r="I13" s="80"/>
      <c r="J13" s="81"/>
      <c r="K13" s="80"/>
      <c r="L13" s="78"/>
      <c r="M13" s="80"/>
      <c r="N13" s="80"/>
      <c r="O13" s="80"/>
      <c r="P13" s="80"/>
      <c r="Q13" s="83"/>
      <c r="R13" s="78"/>
      <c r="S13" s="84"/>
      <c r="T13" s="78"/>
      <c r="U13" s="84"/>
      <c r="V13" s="78"/>
      <c r="W13" s="86"/>
      <c r="X13" s="86"/>
    </row>
    <row r="14" spans="1:24" x14ac:dyDescent="0.3">
      <c r="A14" s="100"/>
      <c r="B14" s="91"/>
      <c r="C14" s="93"/>
      <c r="D14" s="91"/>
      <c r="E14" s="92"/>
      <c r="F14" s="91"/>
      <c r="G14" s="92"/>
      <c r="H14" s="91"/>
      <c r="I14" s="93"/>
      <c r="J14" s="94"/>
      <c r="K14" s="93"/>
      <c r="L14" s="91"/>
      <c r="M14" s="93"/>
      <c r="N14" s="93"/>
      <c r="O14" s="93"/>
      <c r="P14" s="93"/>
      <c r="Q14" s="95"/>
      <c r="R14" s="91"/>
      <c r="S14" s="92"/>
      <c r="T14" s="91"/>
      <c r="U14" s="92"/>
      <c r="V14" s="91"/>
    </row>
    <row r="15" spans="1:24" x14ac:dyDescent="0.3">
      <c r="A15" s="96"/>
      <c r="B15" s="78"/>
      <c r="C15" s="80"/>
      <c r="D15" s="78"/>
      <c r="E15" s="84"/>
      <c r="F15" s="78"/>
      <c r="G15" s="104"/>
      <c r="H15" s="105"/>
      <c r="I15" s="80"/>
      <c r="J15" s="81"/>
      <c r="K15" s="80"/>
      <c r="L15" s="78"/>
      <c r="M15" s="80"/>
      <c r="N15" s="80"/>
      <c r="O15" s="80"/>
      <c r="P15" s="80"/>
      <c r="Q15" s="83"/>
      <c r="R15" s="78"/>
      <c r="S15" s="84"/>
      <c r="T15" s="78"/>
      <c r="U15" s="84"/>
      <c r="V15" s="78"/>
      <c r="W15" s="86"/>
      <c r="X15" s="86"/>
    </row>
    <row r="16" spans="1:24" s="121" customFormat="1" ht="22.8" customHeight="1" x14ac:dyDescent="0.3">
      <c r="A16" s="106" t="s">
        <v>0</v>
      </c>
      <c r="B16" s="107">
        <f>SUM(A3:A15)-SUM(B3:B15)</f>
        <v>123534</v>
      </c>
      <c r="C16" s="108" t="s">
        <v>0</v>
      </c>
      <c r="D16" s="109">
        <f>SUM(C3:C15)-SUM(D3:D15)</f>
        <v>12460</v>
      </c>
      <c r="E16" s="110" t="s">
        <v>0</v>
      </c>
      <c r="F16" s="111">
        <f>SUM(E3:E15)-SUM(F3:F15)</f>
        <v>23123</v>
      </c>
      <c r="G16" s="110" t="s">
        <v>0</v>
      </c>
      <c r="H16" s="112">
        <f>SUM(G3:G14)-SUM(H3:H14)</f>
        <v>25070</v>
      </c>
      <c r="I16" s="108" t="s">
        <v>0</v>
      </c>
      <c r="J16" s="113">
        <f>SUM(I3:I15)-SUM(J3:J15)</f>
        <v>1000</v>
      </c>
      <c r="K16" s="114" t="s">
        <v>0</v>
      </c>
      <c r="L16" s="115">
        <f>SUM(L3:L15)-SUM(K3:K15)</f>
        <v>200</v>
      </c>
      <c r="M16" s="116" t="s">
        <v>0</v>
      </c>
      <c r="N16" s="116">
        <f>SUM(N2:N15)</f>
        <v>0</v>
      </c>
      <c r="O16" s="116"/>
      <c r="P16" s="116"/>
      <c r="Q16" s="117" t="s">
        <v>0</v>
      </c>
      <c r="R16" s="115">
        <f>SUM(R3:R15)-SUM(Q3:Q15)</f>
        <v>180800</v>
      </c>
      <c r="S16" s="118" t="s">
        <v>0</v>
      </c>
      <c r="T16" s="119">
        <f>SUM(T3:T15)-SUM(S3:S15)</f>
        <v>5853</v>
      </c>
      <c r="U16" s="118" t="s">
        <v>0</v>
      </c>
      <c r="V16" s="119">
        <f>SUM(U3:U15)-SUM(V3:V15)</f>
        <v>0</v>
      </c>
      <c r="W16" s="120" t="s">
        <v>0</v>
      </c>
      <c r="X16" s="120">
        <f>SUM(W3:W15)-SUM(X3:X15)</f>
        <v>1666</v>
      </c>
    </row>
    <row r="17" spans="1:24" ht="23.4" customHeight="1" x14ac:dyDescent="0.3">
      <c r="A17" s="140">
        <f>SUM(B16,D16,F16,H16,J16)</f>
        <v>185187</v>
      </c>
      <c r="B17" s="140"/>
      <c r="C17" s="140"/>
      <c r="D17" s="140"/>
      <c r="E17" s="140"/>
      <c r="F17" s="140"/>
      <c r="G17" s="140"/>
      <c r="H17" s="140"/>
      <c r="I17" s="140"/>
      <c r="J17" s="141"/>
      <c r="K17" s="142">
        <f>SUM(L16,N16)</f>
        <v>200</v>
      </c>
      <c r="L17" s="143"/>
      <c r="M17" s="143"/>
      <c r="N17" s="143"/>
      <c r="O17" s="143"/>
      <c r="P17" s="144"/>
      <c r="Q17" s="142">
        <f>R16+T16-V16-X16</f>
        <v>184987</v>
      </c>
      <c r="R17" s="143"/>
      <c r="S17" s="143"/>
      <c r="T17" s="143"/>
      <c r="U17" s="143"/>
      <c r="V17" s="143"/>
      <c r="W17" s="143"/>
      <c r="X17" s="143"/>
    </row>
    <row r="18" spans="1:24" ht="17.399999999999999" customHeight="1" x14ac:dyDescent="0.3">
      <c r="A18" s="140"/>
      <c r="B18" s="140"/>
      <c r="C18" s="140"/>
      <c r="D18" s="140"/>
      <c r="E18" s="140"/>
      <c r="F18" s="140"/>
      <c r="G18" s="140"/>
      <c r="H18" s="140"/>
      <c r="I18" s="140"/>
      <c r="J18" s="141"/>
      <c r="K18" s="142"/>
      <c r="L18" s="143"/>
      <c r="M18" s="143"/>
      <c r="N18" s="143"/>
      <c r="O18" s="143"/>
      <c r="P18" s="144"/>
      <c r="Q18" s="142"/>
      <c r="R18" s="143"/>
      <c r="S18" s="143"/>
      <c r="T18" s="143"/>
      <c r="U18" s="143"/>
      <c r="V18" s="143"/>
      <c r="W18" s="143"/>
      <c r="X18" s="143"/>
    </row>
    <row r="19" spans="1:24" ht="23.4" customHeight="1" x14ac:dyDescent="0.3">
      <c r="F19" s="126">
        <f>A17</f>
        <v>185187</v>
      </c>
      <c r="G19" s="126"/>
      <c r="H19" s="126"/>
      <c r="I19" s="126"/>
      <c r="J19" s="127"/>
      <c r="K19" s="128">
        <f>K17+Q17</f>
        <v>185187</v>
      </c>
      <c r="L19" s="126"/>
      <c r="M19" s="126"/>
    </row>
    <row r="20" spans="1:24" ht="23.4" customHeight="1" x14ac:dyDescent="0.3">
      <c r="F20" s="126"/>
      <c r="G20" s="126"/>
      <c r="H20" s="126"/>
      <c r="I20" s="126"/>
      <c r="J20" s="127"/>
      <c r="K20" s="128"/>
      <c r="L20" s="126"/>
      <c r="M20" s="126"/>
    </row>
    <row r="21" spans="1:24" x14ac:dyDescent="0.3">
      <c r="B21" s="2"/>
      <c r="C21" s="67"/>
      <c r="T21" t="s">
        <v>72</v>
      </c>
    </row>
    <row r="22" spans="1:24" x14ac:dyDescent="0.3">
      <c r="B22" s="2"/>
      <c r="C22" s="67"/>
      <c r="D22" s="2"/>
    </row>
    <row r="23" spans="1:24" x14ac:dyDescent="0.3">
      <c r="C23" s="67"/>
      <c r="E23" s="2"/>
      <c r="K23" s="129">
        <f>F19-K19</f>
        <v>0</v>
      </c>
      <c r="L23" s="130"/>
    </row>
    <row r="24" spans="1:24" x14ac:dyDescent="0.3">
      <c r="C24" s="67"/>
      <c r="D24" s="2"/>
      <c r="K24" s="129"/>
      <c r="L24" s="130"/>
    </row>
    <row r="25" spans="1:24" x14ac:dyDescent="0.3">
      <c r="C25" s="2"/>
      <c r="D25" s="2"/>
    </row>
    <row r="26" spans="1:24" x14ac:dyDescent="0.3">
      <c r="G26" s="2"/>
      <c r="R26" s="67"/>
    </row>
    <row r="28" spans="1:24" x14ac:dyDescent="0.3">
      <c r="E28" s="2"/>
      <c r="N28" s="122"/>
    </row>
    <row r="30" spans="1:24" x14ac:dyDescent="0.3">
      <c r="T30" s="2"/>
    </row>
    <row r="31" spans="1:24" x14ac:dyDescent="0.3">
      <c r="A31" s="131" t="s">
        <v>73</v>
      </c>
      <c r="B31" s="131"/>
      <c r="C31" s="131"/>
      <c r="K31" s="132" t="s">
        <v>9</v>
      </c>
      <c r="L31" s="131"/>
      <c r="M31" s="131"/>
      <c r="N31" s="133">
        <f>T16-X16</f>
        <v>4187</v>
      </c>
      <c r="O31" s="133"/>
      <c r="P31" s="134"/>
    </row>
    <row r="32" spans="1:24" x14ac:dyDescent="0.3">
      <c r="A32" s="131"/>
      <c r="B32" s="131"/>
      <c r="C32" s="131"/>
      <c r="K32" s="132"/>
      <c r="L32" s="131"/>
      <c r="M32" s="131"/>
      <c r="N32" s="133"/>
      <c r="O32" s="133"/>
      <c r="P32" s="134"/>
    </row>
    <row r="34" spans="1:13" x14ac:dyDescent="0.3">
      <c r="A34" s="125" t="s">
        <v>74</v>
      </c>
      <c r="B34" s="125"/>
    </row>
    <row r="36" spans="1:13" x14ac:dyDescent="0.3">
      <c r="A36" s="125" t="s">
        <v>75</v>
      </c>
      <c r="B36" s="125"/>
    </row>
    <row r="45" spans="1:13" x14ac:dyDescent="0.3">
      <c r="M45" s="48"/>
    </row>
  </sheetData>
  <mergeCells count="24">
    <mergeCell ref="A1:J1"/>
    <mergeCell ref="K1:P1"/>
    <mergeCell ref="Q1:V1"/>
    <mergeCell ref="A2:B2"/>
    <mergeCell ref="C2:D2"/>
    <mergeCell ref="E2:F2"/>
    <mergeCell ref="G2:H2"/>
    <mergeCell ref="I2:J2"/>
    <mergeCell ref="K2:L2"/>
    <mergeCell ref="Q2:R2"/>
    <mergeCell ref="N31:P32"/>
    <mergeCell ref="S2:T2"/>
    <mergeCell ref="U2:V2"/>
    <mergeCell ref="W2:X2"/>
    <mergeCell ref="A17:J18"/>
    <mergeCell ref="K17:P18"/>
    <mergeCell ref="Q17:X18"/>
    <mergeCell ref="A34:B34"/>
    <mergeCell ref="A36:B36"/>
    <mergeCell ref="F19:J20"/>
    <mergeCell ref="K19:M20"/>
    <mergeCell ref="K23:L24"/>
    <mergeCell ref="A31:C32"/>
    <mergeCell ref="K31:M32"/>
  </mergeCells>
  <conditionalFormatting sqref="N31:P32">
    <cfRule type="expression" dxfId="2" priority="1">
      <formula>$N$31 &lt; 0</formula>
    </cfRule>
    <cfRule type="expression" dxfId="1" priority="2">
      <formula>"If $L$31 &gt; 0"</formula>
    </cfRule>
    <cfRule type="cellIs" dxfId="0" priority="3" operator="greaterThan">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AE02-A671-4EFF-B7BF-B0EEB39CE133}">
  <sheetPr codeName="Sheet3"/>
  <dimension ref="A1:AB40"/>
  <sheetViews>
    <sheetView workbookViewId="0">
      <selection activeCell="C15" sqref="C15"/>
    </sheetView>
  </sheetViews>
  <sheetFormatPr defaultRowHeight="14.4" x14ac:dyDescent="0.3"/>
  <cols>
    <col min="1" max="1" width="13.5546875" bestFit="1" customWidth="1"/>
    <col min="2" max="2" width="15.33203125" style="3" bestFit="1" customWidth="1"/>
    <col min="3" max="3" width="11.6640625" bestFit="1" customWidth="1"/>
    <col min="4" max="4" width="15" customWidth="1"/>
    <col min="5" max="5" width="15.77734375" bestFit="1" customWidth="1"/>
    <col min="6" max="6" width="16.33203125" bestFit="1" customWidth="1"/>
    <col min="7" max="7" width="21.33203125" bestFit="1" customWidth="1"/>
    <col min="8" max="8" width="15.6640625" bestFit="1" customWidth="1"/>
    <col min="9" max="10" width="15.21875" customWidth="1"/>
    <col min="11" max="11" width="15.44140625" bestFit="1" customWidth="1"/>
    <col min="12" max="12" width="13.6640625" bestFit="1" customWidth="1"/>
    <col min="13" max="13" width="14.77734375" style="1" bestFit="1" customWidth="1"/>
    <col min="14" max="14" width="14.88671875" bestFit="1" customWidth="1"/>
    <col min="15" max="15" width="12.33203125" bestFit="1" customWidth="1"/>
    <col min="16" max="16" width="11.33203125" bestFit="1" customWidth="1"/>
    <col min="17" max="17" width="15.109375" style="1" bestFit="1" customWidth="1"/>
    <col min="18" max="18" width="17.5546875" bestFit="1" customWidth="1"/>
    <col min="19" max="19" width="17.5546875" customWidth="1"/>
    <col min="20" max="20" width="17" bestFit="1" customWidth="1"/>
    <col min="21" max="21" width="16.77734375" bestFit="1" customWidth="1"/>
    <col min="22" max="22" width="12" bestFit="1" customWidth="1"/>
    <col min="24" max="24" width="17.44140625" bestFit="1" customWidth="1"/>
    <col min="25" max="25" width="12.109375" bestFit="1" customWidth="1"/>
    <col min="26" max="26" width="14.88671875" bestFit="1" customWidth="1"/>
    <col min="27" max="27" width="10.109375" bestFit="1" customWidth="1"/>
    <col min="28" max="28" width="9.5546875" bestFit="1" customWidth="1"/>
  </cols>
  <sheetData>
    <row r="1" spans="1:28" ht="23.4" customHeight="1" x14ac:dyDescent="0.3">
      <c r="A1" s="157" t="s">
        <v>30</v>
      </c>
      <c r="B1" s="157"/>
      <c r="C1" s="157"/>
      <c r="D1" s="157"/>
      <c r="E1" s="157"/>
      <c r="F1" s="157"/>
      <c r="G1" s="157"/>
      <c r="H1" s="157"/>
      <c r="I1" s="157"/>
      <c r="J1" s="157"/>
      <c r="K1" s="157"/>
      <c r="L1" s="157"/>
      <c r="M1" s="157"/>
      <c r="N1" s="155" t="s">
        <v>34</v>
      </c>
      <c r="O1" s="155"/>
      <c r="P1" s="155"/>
      <c r="Q1" s="155"/>
      <c r="R1" s="156" t="s">
        <v>35</v>
      </c>
      <c r="S1" s="156"/>
      <c r="T1" s="156"/>
      <c r="U1" s="156"/>
      <c r="V1" s="156"/>
    </row>
    <row r="2" spans="1:28" ht="23.4" customHeight="1" x14ac:dyDescent="0.3">
      <c r="A2" s="157"/>
      <c r="B2" s="157"/>
      <c r="C2" s="157"/>
      <c r="D2" s="157"/>
      <c r="E2" s="157"/>
      <c r="F2" s="157"/>
      <c r="G2" s="157"/>
      <c r="H2" s="157"/>
      <c r="I2" s="157"/>
      <c r="J2" s="157"/>
      <c r="K2" s="157"/>
      <c r="L2" s="157"/>
      <c r="M2" s="157"/>
      <c r="N2" s="155"/>
      <c r="O2" s="155"/>
      <c r="P2" s="155"/>
      <c r="Q2" s="155"/>
      <c r="R2" s="156"/>
      <c r="S2" s="156"/>
      <c r="T2" s="156"/>
      <c r="U2" s="156"/>
      <c r="V2" s="156"/>
    </row>
    <row r="3" spans="1:28" x14ac:dyDescent="0.3">
      <c r="A3" s="41" t="s">
        <v>12</v>
      </c>
      <c r="B3" s="42" t="s">
        <v>15</v>
      </c>
      <c r="C3" s="41" t="s">
        <v>3</v>
      </c>
      <c r="D3" s="41" t="s">
        <v>8</v>
      </c>
      <c r="E3" s="41" t="s">
        <v>46</v>
      </c>
      <c r="F3" s="41" t="s">
        <v>13</v>
      </c>
      <c r="G3" s="41" t="s">
        <v>25</v>
      </c>
      <c r="H3" s="41" t="s">
        <v>2</v>
      </c>
      <c r="I3" s="41" t="s">
        <v>14</v>
      </c>
      <c r="J3" s="41" t="s">
        <v>24</v>
      </c>
      <c r="K3" s="41" t="s">
        <v>57</v>
      </c>
      <c r="L3" s="41" t="s">
        <v>33</v>
      </c>
      <c r="M3" s="41" t="s">
        <v>1</v>
      </c>
      <c r="N3" s="43" t="s">
        <v>5</v>
      </c>
      <c r="O3" s="44" t="s">
        <v>6</v>
      </c>
      <c r="P3" s="44" t="s">
        <v>4</v>
      </c>
      <c r="Q3" s="44" t="s">
        <v>7</v>
      </c>
      <c r="R3" s="45" t="s">
        <v>20</v>
      </c>
      <c r="S3" s="46" t="s">
        <v>58</v>
      </c>
      <c r="T3" s="46" t="s">
        <v>59</v>
      </c>
      <c r="U3" s="46" t="s">
        <v>28</v>
      </c>
      <c r="V3" s="46" t="s">
        <v>9</v>
      </c>
      <c r="X3" s="158" t="s">
        <v>31</v>
      </c>
      <c r="Y3" s="158"/>
    </row>
    <row r="4" spans="1:28" x14ac:dyDescent="0.3">
      <c r="A4" s="39">
        <v>44835</v>
      </c>
      <c r="B4" s="15">
        <v>800</v>
      </c>
      <c r="C4" s="16">
        <v>234</v>
      </c>
      <c r="D4" s="16">
        <v>0</v>
      </c>
      <c r="E4" s="16">
        <v>120</v>
      </c>
      <c r="F4" s="16">
        <v>0</v>
      </c>
      <c r="G4" s="16">
        <v>80</v>
      </c>
      <c r="H4" s="16">
        <v>0</v>
      </c>
      <c r="I4" s="16">
        <v>50</v>
      </c>
      <c r="J4" s="17">
        <v>75</v>
      </c>
      <c r="K4" s="16">
        <v>0</v>
      </c>
      <c r="L4" s="16">
        <v>23</v>
      </c>
      <c r="M4" s="56">
        <f>SUM('3.Data'!$B4:$L4)</f>
        <v>1382</v>
      </c>
      <c r="N4" s="18">
        <f>Data[[#This Row],[Rent]]+Data[[#This Row],[Medical]]</f>
        <v>875</v>
      </c>
      <c r="O4" s="19">
        <f>Data[[#This Row],[Groceries]]+Data[[#This Row],[Transport]]+Data[[#This Row],[Haircut]]+Data[[#This Row],[Subscriptions]]</f>
        <v>364</v>
      </c>
      <c r="P4" s="19">
        <f>Data[[#This Row],[Education]]+Data[[#This Row],[Eating out]]+Data[[#This Row],[Entertainment ]]+Data[[#This Row],[Tech devices]]</f>
        <v>120</v>
      </c>
      <c r="Q4" s="19">
        <f>Data[[#This Row],[Others]]</f>
        <v>23</v>
      </c>
      <c r="R4" s="20">
        <v>700</v>
      </c>
      <c r="S4" s="16">
        <v>2500</v>
      </c>
      <c r="T4" s="21">
        <v>120</v>
      </c>
      <c r="U4" s="16">
        <f>SUM('3.Data'!$R4:$T4)</f>
        <v>3320</v>
      </c>
      <c r="V4" s="22">
        <f>'3.Data'!$U4-'3.Data'!$M4</f>
        <v>1938</v>
      </c>
      <c r="X4" s="158"/>
      <c r="Y4" s="158"/>
    </row>
    <row r="5" spans="1:28" x14ac:dyDescent="0.3">
      <c r="A5" s="40">
        <v>44866</v>
      </c>
      <c r="B5" s="23">
        <v>800</v>
      </c>
      <c r="C5" s="24">
        <v>178</v>
      </c>
      <c r="D5" s="24">
        <v>0</v>
      </c>
      <c r="E5" s="24">
        <v>80</v>
      </c>
      <c r="F5" s="24">
        <v>0</v>
      </c>
      <c r="G5" s="24">
        <v>90</v>
      </c>
      <c r="H5" s="24">
        <v>30</v>
      </c>
      <c r="I5" s="24">
        <v>0</v>
      </c>
      <c r="J5" s="17">
        <v>75</v>
      </c>
      <c r="K5" s="24">
        <v>0</v>
      </c>
      <c r="L5" s="24">
        <v>0</v>
      </c>
      <c r="M5" s="57">
        <f>SUM('3.Data'!$B5:$L5)</f>
        <v>1253</v>
      </c>
      <c r="N5" s="26">
        <f>Data[[#This Row],[Rent]]+Data[[#This Row],[Medical]]</f>
        <v>875</v>
      </c>
      <c r="O5" s="27">
        <f>Data[[#This Row],[Groceries]]+Data[[#This Row],[Transport]]+Data[[#This Row],[Haircut]]+Data[[#This Row],[Subscriptions]]</f>
        <v>298</v>
      </c>
      <c r="P5" s="27">
        <f>Data[[#This Row],[Education]]+Data[[#This Row],[Eating out]]+Data[[#This Row],[Entertainment ]]+Data[[#This Row],[Tech devices]]</f>
        <v>80</v>
      </c>
      <c r="Q5" s="27">
        <f>Data[[#This Row],[Others]]</f>
        <v>0</v>
      </c>
      <c r="R5" s="20">
        <v>870</v>
      </c>
      <c r="S5" s="16">
        <v>2500</v>
      </c>
      <c r="T5" s="29">
        <v>134</v>
      </c>
      <c r="U5" s="24">
        <f>SUM('3.Data'!$R5:$T5)</f>
        <v>3504</v>
      </c>
      <c r="V5" s="30">
        <f>'3.Data'!$U5-'3.Data'!$M5</f>
        <v>2251</v>
      </c>
      <c r="X5" t="s">
        <v>31</v>
      </c>
      <c r="Y5" s="2" t="s">
        <v>26</v>
      </c>
    </row>
    <row r="6" spans="1:28" x14ac:dyDescent="0.3">
      <c r="A6" s="39">
        <v>44896</v>
      </c>
      <c r="B6" s="15">
        <v>850</v>
      </c>
      <c r="C6" s="16">
        <v>311</v>
      </c>
      <c r="D6" s="16">
        <v>0</v>
      </c>
      <c r="E6" s="16">
        <v>98</v>
      </c>
      <c r="F6" s="16">
        <v>0</v>
      </c>
      <c r="G6" s="16">
        <v>86</v>
      </c>
      <c r="H6" s="16">
        <v>0</v>
      </c>
      <c r="I6" s="16">
        <v>50</v>
      </c>
      <c r="J6" s="17">
        <v>75</v>
      </c>
      <c r="K6" s="16">
        <v>120</v>
      </c>
      <c r="L6" s="24">
        <v>0</v>
      </c>
      <c r="M6" s="56">
        <f>SUM('3.Data'!$B6:$L6)</f>
        <v>1590</v>
      </c>
      <c r="N6" s="18">
        <f>Data[[#This Row],[Rent]]+Data[[#This Row],[Medical]]</f>
        <v>925</v>
      </c>
      <c r="O6" s="19">
        <f>Data[[#This Row],[Groceries]]+Data[[#This Row],[Transport]]+Data[[#This Row],[Haircut]]+Data[[#This Row],[Subscriptions]]</f>
        <v>447</v>
      </c>
      <c r="P6" s="19">
        <f>Data[[#This Row],[Education]]+Data[[#This Row],[Eating out]]+Data[[#This Row],[Entertainment ]]+Data[[#This Row],[Tech devices]]</f>
        <v>218</v>
      </c>
      <c r="Q6" s="19">
        <f>Data[[#This Row],[Others]]</f>
        <v>0</v>
      </c>
      <c r="R6" s="20">
        <v>600</v>
      </c>
      <c r="S6" s="16">
        <v>2750</v>
      </c>
      <c r="T6" s="29">
        <v>134</v>
      </c>
      <c r="U6" s="16">
        <f>SUM('3.Data'!$R6:$T6)</f>
        <v>3484</v>
      </c>
      <c r="V6" s="22">
        <f>'3.Data'!$U6-'3.Data'!$M6</f>
        <v>1894</v>
      </c>
      <c r="X6" t="s">
        <v>32</v>
      </c>
      <c r="Y6" s="2">
        <f>'2.Balance_Sheet'!B16</f>
        <v>123534</v>
      </c>
    </row>
    <row r="7" spans="1:28" x14ac:dyDescent="0.3">
      <c r="A7" s="40">
        <v>44927</v>
      </c>
      <c r="B7" s="25">
        <v>800</v>
      </c>
      <c r="C7" s="25">
        <v>224</v>
      </c>
      <c r="D7" s="25">
        <v>70</v>
      </c>
      <c r="E7" s="25">
        <v>95</v>
      </c>
      <c r="F7" s="25">
        <v>40</v>
      </c>
      <c r="G7" s="25">
        <v>50</v>
      </c>
      <c r="H7" s="25">
        <v>0</v>
      </c>
      <c r="I7" s="25">
        <v>80</v>
      </c>
      <c r="J7" s="17">
        <v>75</v>
      </c>
      <c r="K7" s="25">
        <v>0</v>
      </c>
      <c r="L7" s="24">
        <v>0</v>
      </c>
      <c r="M7" s="57">
        <f>SUM('3.Data'!$B7:$L7)</f>
        <v>1434</v>
      </c>
      <c r="N7" s="26">
        <f>Data[[#This Row],[Rent]]+Data[[#This Row],[Medical]]</f>
        <v>875</v>
      </c>
      <c r="O7" s="27">
        <f>Data[[#This Row],[Groceries]]+Data[[#This Row],[Transport]]+Data[[#This Row],[Haircut]]+Data[[#This Row],[Subscriptions]]</f>
        <v>354</v>
      </c>
      <c r="P7" s="27">
        <f>Data[[#This Row],[Education]]+Data[[#This Row],[Eating out]]+Data[[#This Row],[Entertainment ]]+Data[[#This Row],[Tech devices]]</f>
        <v>205</v>
      </c>
      <c r="Q7" s="27">
        <f>Data[[#This Row],[Others]]</f>
        <v>0</v>
      </c>
      <c r="R7" s="20">
        <v>760</v>
      </c>
      <c r="S7" s="16">
        <v>2750</v>
      </c>
      <c r="T7" s="29">
        <v>134</v>
      </c>
      <c r="U7" s="24">
        <f>SUM('3.Data'!$R7:$T7)</f>
        <v>3644</v>
      </c>
      <c r="V7" s="30">
        <f>'3.Data'!$U7-'3.Data'!$M7</f>
        <v>2210</v>
      </c>
      <c r="X7" t="s">
        <v>53</v>
      </c>
      <c r="Y7" s="2">
        <f>'2.Balance_Sheet'!F16</f>
        <v>23123</v>
      </c>
    </row>
    <row r="8" spans="1:28" x14ac:dyDescent="0.3">
      <c r="A8" s="39">
        <v>44958</v>
      </c>
      <c r="B8" s="17">
        <v>800</v>
      </c>
      <c r="C8" s="17">
        <v>190</v>
      </c>
      <c r="D8" s="17">
        <v>160</v>
      </c>
      <c r="E8" s="17">
        <v>40</v>
      </c>
      <c r="F8" s="17">
        <v>0</v>
      </c>
      <c r="G8" s="17">
        <v>90</v>
      </c>
      <c r="H8" s="17">
        <v>30</v>
      </c>
      <c r="I8" s="17">
        <v>88</v>
      </c>
      <c r="J8" s="17">
        <v>75</v>
      </c>
      <c r="K8" s="17">
        <v>0</v>
      </c>
      <c r="L8" s="24">
        <v>0</v>
      </c>
      <c r="M8" s="56">
        <f>SUM('3.Data'!$B8:$L8)</f>
        <v>1473</v>
      </c>
      <c r="N8" s="18">
        <f>Data[[#This Row],[Rent]]+Data[[#This Row],[Medical]]</f>
        <v>875</v>
      </c>
      <c r="O8" s="19">
        <f>Data[[#This Row],[Groceries]]+Data[[#This Row],[Transport]]+Data[[#This Row],[Haircut]]+Data[[#This Row],[Subscriptions]]</f>
        <v>398</v>
      </c>
      <c r="P8" s="19">
        <f>Data[[#This Row],[Education]]+Data[[#This Row],[Eating out]]+Data[[#This Row],[Entertainment ]]+Data[[#This Row],[Tech devices]]</f>
        <v>200</v>
      </c>
      <c r="Q8" s="19">
        <f>Data[[#This Row],[Others]]</f>
        <v>0</v>
      </c>
      <c r="R8" s="20">
        <v>600</v>
      </c>
      <c r="S8" s="16">
        <v>2750</v>
      </c>
      <c r="T8" s="29">
        <v>134</v>
      </c>
      <c r="U8" s="16">
        <f>SUM('3.Data'!$R8:$T8)</f>
        <v>3484</v>
      </c>
      <c r="V8" s="22">
        <f>'3.Data'!$U8-'3.Data'!$M8</f>
        <v>2011</v>
      </c>
      <c r="X8" t="s">
        <v>60</v>
      </c>
      <c r="Y8" s="2">
        <f>'2.Balance_Sheet'!D16</f>
        <v>12460</v>
      </c>
    </row>
    <row r="9" spans="1:28" x14ac:dyDescent="0.3">
      <c r="A9" s="40">
        <v>44986</v>
      </c>
      <c r="B9" s="25">
        <v>850</v>
      </c>
      <c r="C9" s="25">
        <v>230</v>
      </c>
      <c r="D9" s="25">
        <v>0</v>
      </c>
      <c r="E9" s="25">
        <v>100</v>
      </c>
      <c r="F9" s="25">
        <v>0</v>
      </c>
      <c r="G9" s="25">
        <v>99</v>
      </c>
      <c r="H9" s="25">
        <v>0</v>
      </c>
      <c r="I9" s="17">
        <v>88</v>
      </c>
      <c r="J9" s="17">
        <v>75</v>
      </c>
      <c r="K9" s="25">
        <v>0</v>
      </c>
      <c r="L9" s="24">
        <v>78</v>
      </c>
      <c r="M9" s="57">
        <f>SUM('3.Data'!$B9:$L9)</f>
        <v>1520</v>
      </c>
      <c r="N9" s="26">
        <f>Data[[#This Row],[Rent]]+Data[[#This Row],[Medical]]</f>
        <v>925</v>
      </c>
      <c r="O9" s="27">
        <f>Data[[#This Row],[Groceries]]+Data[[#This Row],[Transport]]+Data[[#This Row],[Haircut]]+Data[[#This Row],[Subscriptions]]</f>
        <v>417</v>
      </c>
      <c r="P9" s="27">
        <f>Data[[#This Row],[Education]]+Data[[#This Row],[Eating out]]+Data[[#This Row],[Entertainment ]]+Data[[#This Row],[Tech devices]]</f>
        <v>100</v>
      </c>
      <c r="Q9" s="27">
        <f>Data[[#This Row],[Others]]</f>
        <v>78</v>
      </c>
      <c r="R9" s="28">
        <v>650</v>
      </c>
      <c r="S9" s="16">
        <v>2750</v>
      </c>
      <c r="T9" s="29">
        <v>134</v>
      </c>
      <c r="U9" s="24">
        <f>SUM('3.Data'!$R9:$T9)</f>
        <v>3534</v>
      </c>
      <c r="V9" s="30">
        <f>'3.Data'!$U9-'3.Data'!$M9</f>
        <v>2014</v>
      </c>
      <c r="X9" s="68" t="s">
        <v>61</v>
      </c>
      <c r="Y9" s="123">
        <f>'2.Balance_Sheet'!J16</f>
        <v>1000</v>
      </c>
    </row>
    <row r="10" spans="1:28" x14ac:dyDescent="0.3">
      <c r="A10" s="39">
        <v>45017</v>
      </c>
      <c r="B10" s="17">
        <v>1100</v>
      </c>
      <c r="C10" s="17">
        <v>238</v>
      </c>
      <c r="D10" s="17">
        <v>0</v>
      </c>
      <c r="E10" s="17">
        <v>120</v>
      </c>
      <c r="F10" s="17">
        <v>0</v>
      </c>
      <c r="G10" s="17">
        <v>85</v>
      </c>
      <c r="H10" s="17">
        <v>25</v>
      </c>
      <c r="I10" s="17">
        <v>88</v>
      </c>
      <c r="J10" s="17">
        <v>75</v>
      </c>
      <c r="K10" s="25">
        <v>0</v>
      </c>
      <c r="L10" s="24">
        <v>0</v>
      </c>
      <c r="M10" s="56">
        <f>SUM('3.Data'!$B10:$L10)</f>
        <v>1731</v>
      </c>
      <c r="N10" s="18">
        <f>Data[[#This Row],[Rent]]+Data[[#This Row],[Medical]]</f>
        <v>1175</v>
      </c>
      <c r="O10" s="19">
        <f>Data[[#This Row],[Groceries]]+Data[[#This Row],[Transport]]+Data[[#This Row],[Haircut]]+Data[[#This Row],[Subscriptions]]</f>
        <v>436</v>
      </c>
      <c r="P10" s="19">
        <f>Data[[#This Row],[Education]]+Data[[#This Row],[Eating out]]+Data[[#This Row],[Entertainment ]]+Data[[#This Row],[Tech devices]]</f>
        <v>120</v>
      </c>
      <c r="Q10" s="19">
        <f>Data[[#This Row],[Others]]</f>
        <v>0</v>
      </c>
      <c r="R10" s="20">
        <v>670</v>
      </c>
      <c r="S10" s="16">
        <v>2750</v>
      </c>
      <c r="T10" s="29">
        <v>134</v>
      </c>
      <c r="U10" s="16">
        <f>SUM('3.Data'!$R10:$T10)</f>
        <v>3554</v>
      </c>
      <c r="V10" s="22">
        <f>'3.Data'!$U10-'3.Data'!$M10</f>
        <v>1823</v>
      </c>
      <c r="X10" s="69" t="s">
        <v>62</v>
      </c>
      <c r="Y10" s="124">
        <f>'2.Balance_Sheet'!H16</f>
        <v>25070</v>
      </c>
    </row>
    <row r="11" spans="1:28" x14ac:dyDescent="0.3">
      <c r="A11" s="40">
        <v>45047</v>
      </c>
      <c r="B11" s="25">
        <v>1100</v>
      </c>
      <c r="C11" s="25">
        <v>360</v>
      </c>
      <c r="D11" s="25">
        <v>0</v>
      </c>
      <c r="E11" s="25">
        <v>120</v>
      </c>
      <c r="F11" s="25">
        <v>90</v>
      </c>
      <c r="G11" s="25">
        <v>100</v>
      </c>
      <c r="H11" s="25">
        <v>0</v>
      </c>
      <c r="I11" s="17">
        <v>88</v>
      </c>
      <c r="J11" s="17">
        <v>75</v>
      </c>
      <c r="K11" s="25">
        <v>0</v>
      </c>
      <c r="L11" s="24">
        <v>0</v>
      </c>
      <c r="M11" s="57">
        <f>SUM('3.Data'!$B11:$L11)</f>
        <v>1933</v>
      </c>
      <c r="N11" s="26">
        <f>Data[[#This Row],[Rent]]+Data[[#This Row],[Medical]]</f>
        <v>1175</v>
      </c>
      <c r="O11" s="27">
        <f>Data[[#This Row],[Groceries]]+Data[[#This Row],[Transport]]+Data[[#This Row],[Haircut]]+Data[[#This Row],[Subscriptions]]</f>
        <v>548</v>
      </c>
      <c r="P11" s="27">
        <f>Data[[#This Row],[Education]]+Data[[#This Row],[Eating out]]+Data[[#This Row],[Entertainment ]]+Data[[#This Row],[Tech devices]]</f>
        <v>210</v>
      </c>
      <c r="Q11" s="27">
        <f>Data[[#This Row],[Others]]</f>
        <v>0</v>
      </c>
      <c r="R11" s="20">
        <v>900</v>
      </c>
      <c r="S11" s="24">
        <v>2750</v>
      </c>
      <c r="T11" s="29">
        <v>134</v>
      </c>
      <c r="U11" s="24">
        <f>SUM('3.Data'!$R11:$T11)</f>
        <v>3784</v>
      </c>
      <c r="V11" s="30">
        <f>'3.Data'!$U11-'3.Data'!$M11</f>
        <v>1851</v>
      </c>
      <c r="Y11" s="2">
        <f>'2.Balance_Sheet'!H17</f>
        <v>0</v>
      </c>
    </row>
    <row r="12" spans="1:28" x14ac:dyDescent="0.3">
      <c r="A12" s="39">
        <v>45078</v>
      </c>
      <c r="B12" s="17">
        <v>1100</v>
      </c>
      <c r="C12" s="17">
        <v>230</v>
      </c>
      <c r="D12" s="17">
        <v>50</v>
      </c>
      <c r="E12" s="17">
        <v>200</v>
      </c>
      <c r="F12" s="17">
        <v>180</v>
      </c>
      <c r="G12" s="17">
        <v>110</v>
      </c>
      <c r="H12" s="17">
        <v>25</v>
      </c>
      <c r="I12" s="17">
        <v>70</v>
      </c>
      <c r="J12" s="17">
        <v>75</v>
      </c>
      <c r="K12" s="25">
        <v>0</v>
      </c>
      <c r="L12" s="24">
        <v>0</v>
      </c>
      <c r="M12" s="56">
        <f>SUM('3.Data'!$B12:$L12)</f>
        <v>2040</v>
      </c>
      <c r="N12" s="31">
        <f>Data[[#This Row],[Rent]]+Data[[#This Row],[Medical]]</f>
        <v>1175</v>
      </c>
      <c r="O12" s="32">
        <f>Data[[#This Row],[Groceries]]+Data[[#This Row],[Transport]]+Data[[#This Row],[Haircut]]+Data[[#This Row],[Subscriptions]]</f>
        <v>435</v>
      </c>
      <c r="P12" s="32">
        <f>Data[[#This Row],[Education]]+Data[[#This Row],[Eating out]]+Data[[#This Row],[Entertainment ]]+Data[[#This Row],[Tech devices]]</f>
        <v>430</v>
      </c>
      <c r="Q12" s="32">
        <f>Data[[#This Row],[Others]]</f>
        <v>0</v>
      </c>
      <c r="R12" s="20">
        <v>600</v>
      </c>
      <c r="S12" s="24">
        <v>4500</v>
      </c>
      <c r="T12" s="29">
        <v>134</v>
      </c>
      <c r="U12" s="16">
        <f>SUM('3.Data'!$R12:$T12)</f>
        <v>5234</v>
      </c>
      <c r="V12" s="22">
        <f>'3.Data'!$U12-'3.Data'!$M12</f>
        <v>3194</v>
      </c>
      <c r="X12" t="s">
        <v>0</v>
      </c>
      <c r="Y12">
        <f>SUBTOTAL(109,Table4[Sum])</f>
        <v>185187</v>
      </c>
      <c r="AB12" s="55">
        <f>Table4[[#Totals],[Sum]]</f>
        <v>185187</v>
      </c>
    </row>
    <row r="13" spans="1:28" x14ac:dyDescent="0.3">
      <c r="A13" s="40">
        <v>45108</v>
      </c>
      <c r="B13" s="25">
        <v>1100</v>
      </c>
      <c r="C13" s="25">
        <v>239</v>
      </c>
      <c r="D13" s="25">
        <v>50</v>
      </c>
      <c r="E13" s="25">
        <v>80</v>
      </c>
      <c r="F13" s="25">
        <v>400</v>
      </c>
      <c r="G13" s="25">
        <v>70</v>
      </c>
      <c r="H13" s="25">
        <v>0</v>
      </c>
      <c r="I13" s="25">
        <v>120</v>
      </c>
      <c r="J13" s="25">
        <v>120</v>
      </c>
      <c r="K13" s="25">
        <v>0</v>
      </c>
      <c r="L13" s="24">
        <v>0</v>
      </c>
      <c r="M13" s="57">
        <f>SUM('3.Data'!$B13:$L13)</f>
        <v>2179</v>
      </c>
      <c r="N13" s="34">
        <f>Data[[#This Row],[Rent]]+Data[[#This Row],[Medical]]</f>
        <v>1220</v>
      </c>
      <c r="O13" s="35">
        <f>Data[[#This Row],[Groceries]]+Data[[#This Row],[Transport]]+Data[[#This Row],[Haircut]]+Data[[#This Row],[Subscriptions]]</f>
        <v>429</v>
      </c>
      <c r="P13" s="35">
        <f>Data[[#This Row],[Education]]+Data[[#This Row],[Eating out]]+Data[[#This Row],[Entertainment ]]+Data[[#This Row],[Tech devices]]</f>
        <v>530</v>
      </c>
      <c r="Q13" s="35">
        <f>Data[[#This Row],[Others]]</f>
        <v>0</v>
      </c>
      <c r="R13" s="36">
        <v>500</v>
      </c>
      <c r="S13" s="24">
        <v>4500</v>
      </c>
      <c r="T13" s="29">
        <v>144</v>
      </c>
      <c r="U13" s="24">
        <f>SUM('3.Data'!$R13:$T13)</f>
        <v>5144</v>
      </c>
      <c r="V13" s="30">
        <f>'3.Data'!$U13-'3.Data'!$M13</f>
        <v>2965</v>
      </c>
    </row>
    <row r="14" spans="1:28" x14ac:dyDescent="0.3">
      <c r="A14" s="39">
        <v>45139</v>
      </c>
      <c r="B14" s="25">
        <v>1100</v>
      </c>
      <c r="C14" s="17">
        <v>301</v>
      </c>
      <c r="D14" s="17">
        <v>0</v>
      </c>
      <c r="E14" s="17">
        <v>90</v>
      </c>
      <c r="F14" s="17">
        <v>0</v>
      </c>
      <c r="G14" s="17">
        <v>80</v>
      </c>
      <c r="H14" s="17">
        <v>0</v>
      </c>
      <c r="I14" s="17">
        <v>60</v>
      </c>
      <c r="J14" s="17">
        <v>124</v>
      </c>
      <c r="K14" s="25">
        <v>0</v>
      </c>
      <c r="L14" s="17">
        <v>23</v>
      </c>
      <c r="M14" s="56">
        <f>SUM('3.Data'!$B14:$L14)</f>
        <v>1778</v>
      </c>
      <c r="N14" s="37">
        <f>Data[[#This Row],[Rent]]+Data[[#This Row],[Medical]]</f>
        <v>1224</v>
      </c>
      <c r="O14" s="22">
        <f>Data[[#This Row],[Groceries]]+Data[[#This Row],[Transport]]+Data[[#This Row],[Haircut]]+Data[[#This Row],[Subscriptions]]</f>
        <v>441</v>
      </c>
      <c r="P14" s="22">
        <f>Data[[#This Row],[Education]]+Data[[#This Row],[Eating out]]+Data[[#This Row],[Entertainment ]]+Data[[#This Row],[Tech devices]]</f>
        <v>90</v>
      </c>
      <c r="Q14" s="22">
        <f>Data[[#This Row],[Others]]</f>
        <v>23</v>
      </c>
      <c r="R14" s="33">
        <v>450</v>
      </c>
      <c r="S14" s="24">
        <v>4500</v>
      </c>
      <c r="T14" s="21">
        <v>21</v>
      </c>
      <c r="U14" s="16">
        <f>SUM('3.Data'!$R14:$T14)</f>
        <v>4971</v>
      </c>
      <c r="V14" s="22">
        <f>'3.Data'!$U14-'3.Data'!$M14</f>
        <v>3193</v>
      </c>
    </row>
    <row r="15" spans="1:28" x14ac:dyDescent="0.3">
      <c r="A15" s="40">
        <v>45170</v>
      </c>
      <c r="B15" s="25">
        <v>1100</v>
      </c>
      <c r="C15" s="24">
        <v>240</v>
      </c>
      <c r="D15" s="24">
        <v>0</v>
      </c>
      <c r="E15" s="24">
        <v>70</v>
      </c>
      <c r="F15" s="24">
        <v>0</v>
      </c>
      <c r="G15" s="24">
        <v>68</v>
      </c>
      <c r="H15" s="24">
        <v>30</v>
      </c>
      <c r="I15" s="24">
        <v>77</v>
      </c>
      <c r="J15" s="24">
        <v>75</v>
      </c>
      <c r="K15" s="25">
        <v>0</v>
      </c>
      <c r="L15" s="24">
        <v>0</v>
      </c>
      <c r="M15" s="57">
        <f>SUM('3.Data'!$B15:$L15)</f>
        <v>1660</v>
      </c>
      <c r="N15" s="38">
        <f>Data[[#This Row],[Rent]]+Data[[#This Row],[Medical]]</f>
        <v>1175</v>
      </c>
      <c r="O15" s="30">
        <f>Data[[#This Row],[Groceries]]+Data[[#This Row],[Transport]]+Data[[#This Row],[Haircut]]+Data[[#This Row],[Subscriptions]]</f>
        <v>415</v>
      </c>
      <c r="P15" s="30">
        <f>Data[[#This Row],[Education]]+Data[[#This Row],[Eating out]]+Data[[#This Row],[Entertainment ]]+Data[[#This Row],[Tech devices]]</f>
        <v>70</v>
      </c>
      <c r="Q15" s="30">
        <f>Data[[#This Row],[Others]]</f>
        <v>0</v>
      </c>
      <c r="R15" s="36">
        <v>521</v>
      </c>
      <c r="S15" s="24">
        <v>4500</v>
      </c>
      <c r="T15" s="29">
        <v>89</v>
      </c>
      <c r="U15" s="24">
        <f>SUM('3.Data'!$R15:$T15)</f>
        <v>5110</v>
      </c>
      <c r="V15" s="30">
        <f>'3.Data'!$U15-'3.Data'!$M15</f>
        <v>3450</v>
      </c>
    </row>
    <row r="16" spans="1:28" x14ac:dyDescent="0.3">
      <c r="A16" s="39">
        <v>45200</v>
      </c>
      <c r="B16" s="25">
        <v>1100</v>
      </c>
      <c r="C16" s="16">
        <v>309</v>
      </c>
      <c r="D16" s="16">
        <v>0</v>
      </c>
      <c r="E16" s="16">
        <v>66</v>
      </c>
      <c r="F16" s="16">
        <v>0</v>
      </c>
      <c r="G16" s="16">
        <v>89</v>
      </c>
      <c r="H16" s="16">
        <v>25</v>
      </c>
      <c r="I16" s="16">
        <v>77</v>
      </c>
      <c r="J16" s="24">
        <v>75</v>
      </c>
      <c r="K16" s="25">
        <v>0</v>
      </c>
      <c r="L16" s="24">
        <v>0</v>
      </c>
      <c r="M16" s="56">
        <f>SUM('3.Data'!$B16:$L16)</f>
        <v>1741</v>
      </c>
      <c r="N16" s="37">
        <f>Data[[#This Row],[Rent]]+Data[[#This Row],[Medical]]</f>
        <v>1175</v>
      </c>
      <c r="O16" s="22">
        <f>Data[[#This Row],[Groceries]]+Data[[#This Row],[Transport]]+Data[[#This Row],[Haircut]]+Data[[#This Row],[Subscriptions]]</f>
        <v>500</v>
      </c>
      <c r="P16" s="22">
        <f>Data[[#This Row],[Education]]+Data[[#This Row],[Eating out]]+Data[[#This Row],[Entertainment ]]+Data[[#This Row],[Tech devices]]</f>
        <v>66</v>
      </c>
      <c r="Q16" s="22">
        <f>Data[[#This Row],[Others]]</f>
        <v>0</v>
      </c>
      <c r="R16" s="33">
        <v>545</v>
      </c>
      <c r="S16" s="24">
        <v>4500</v>
      </c>
      <c r="T16" s="21">
        <v>90</v>
      </c>
      <c r="U16" s="16">
        <f>SUM('3.Data'!$R16:$T16)</f>
        <v>5135</v>
      </c>
      <c r="V16" s="22">
        <f>'3.Data'!$U16-'3.Data'!$M16</f>
        <v>3394</v>
      </c>
    </row>
    <row r="17" spans="1:22" x14ac:dyDescent="0.3">
      <c r="A17" s="39">
        <v>45253</v>
      </c>
      <c r="B17" s="25">
        <v>1100</v>
      </c>
      <c r="C17" s="58">
        <v>256</v>
      </c>
      <c r="D17" s="58">
        <v>0</v>
      </c>
      <c r="E17" s="58">
        <v>59</v>
      </c>
      <c r="F17" s="58">
        <v>234</v>
      </c>
      <c r="G17" s="58">
        <v>77</v>
      </c>
      <c r="H17" s="58">
        <v>0</v>
      </c>
      <c r="I17" s="58">
        <v>88</v>
      </c>
      <c r="J17" s="24">
        <v>75</v>
      </c>
      <c r="K17" s="58">
        <v>545</v>
      </c>
      <c r="L17" s="24">
        <v>0</v>
      </c>
      <c r="M17" s="56">
        <f>SUM('3.Data'!$B17:$L17)</f>
        <v>2434</v>
      </c>
      <c r="N17" s="59">
        <f>Data[[#This Row],[Rent]]+Data[[#This Row],[Medical]]</f>
        <v>1175</v>
      </c>
      <c r="O17" s="60">
        <f>Data[[#This Row],[Groceries]]+Data[[#This Row],[Transport]]+Data[[#This Row],[Haircut]]+Data[[#This Row],[Subscriptions]]</f>
        <v>421</v>
      </c>
      <c r="P17" s="60">
        <f>Data[[#This Row],[Education]]+Data[[#This Row],[Eating out]]+Data[[#This Row],[Entertainment ]]+Data[[#This Row],[Tech devices]]</f>
        <v>838</v>
      </c>
      <c r="Q17" s="60">
        <f>Data[[#This Row],[Others]]</f>
        <v>0</v>
      </c>
      <c r="R17" s="33">
        <v>234</v>
      </c>
      <c r="S17" s="24">
        <v>4500</v>
      </c>
      <c r="T17" s="21">
        <v>90</v>
      </c>
      <c r="U17" s="16">
        <f>SUM('3.Data'!$R17:$T17)</f>
        <v>4824</v>
      </c>
      <c r="V17" s="22">
        <f>'3.Data'!$U17-'3.Data'!$M17</f>
        <v>2390</v>
      </c>
    </row>
    <row r="18" spans="1:22" x14ac:dyDescent="0.3">
      <c r="A18" s="39">
        <v>45283</v>
      </c>
      <c r="B18" s="25">
        <v>1100</v>
      </c>
      <c r="C18" s="58">
        <v>280</v>
      </c>
      <c r="D18" s="58">
        <v>0</v>
      </c>
      <c r="E18" s="58">
        <v>88</v>
      </c>
      <c r="F18" s="58">
        <v>0</v>
      </c>
      <c r="G18" s="58">
        <v>100</v>
      </c>
      <c r="H18" s="58">
        <v>0</v>
      </c>
      <c r="I18" s="58">
        <v>67</v>
      </c>
      <c r="J18" s="24">
        <v>75</v>
      </c>
      <c r="K18" s="58">
        <v>0</v>
      </c>
      <c r="L18" s="24">
        <v>0</v>
      </c>
      <c r="M18" s="56">
        <f>SUM('3.Data'!$B18:$L18)</f>
        <v>1710</v>
      </c>
      <c r="N18" s="59">
        <f>Data[[#This Row],[Rent]]+Data[[#This Row],[Medical]]</f>
        <v>1175</v>
      </c>
      <c r="O18" s="60">
        <f>Data[[#This Row],[Groceries]]+Data[[#This Row],[Transport]]+Data[[#This Row],[Haircut]]+Data[[#This Row],[Subscriptions]]</f>
        <v>447</v>
      </c>
      <c r="P18" s="60">
        <f>Data[[#This Row],[Education]]+Data[[#This Row],[Eating out]]+Data[[#This Row],[Entertainment ]]+Data[[#This Row],[Tech devices]]</f>
        <v>88</v>
      </c>
      <c r="Q18" s="60">
        <f>Data[[#This Row],[Others]]</f>
        <v>0</v>
      </c>
      <c r="R18" s="33">
        <v>468</v>
      </c>
      <c r="S18" s="24">
        <v>4500</v>
      </c>
      <c r="T18" s="21">
        <v>90</v>
      </c>
      <c r="U18" s="16">
        <f>SUM('3.Data'!$R18:$T18)</f>
        <v>5058</v>
      </c>
      <c r="V18" s="22">
        <f>'3.Data'!$U18-'3.Data'!$M18</f>
        <v>3348</v>
      </c>
    </row>
    <row r="19" spans="1:22" x14ac:dyDescent="0.3">
      <c r="A19" s="39">
        <v>45315</v>
      </c>
      <c r="B19" s="25">
        <v>1100</v>
      </c>
      <c r="C19" s="58">
        <v>230</v>
      </c>
      <c r="D19" s="58">
        <v>50</v>
      </c>
      <c r="E19" s="58">
        <v>75</v>
      </c>
      <c r="F19" s="58">
        <v>0</v>
      </c>
      <c r="G19" s="58">
        <v>79</v>
      </c>
      <c r="H19" s="58">
        <v>25</v>
      </c>
      <c r="I19" s="58">
        <v>67</v>
      </c>
      <c r="J19" s="24">
        <v>75</v>
      </c>
      <c r="K19" s="58">
        <v>40</v>
      </c>
      <c r="L19" s="24">
        <v>0</v>
      </c>
      <c r="M19" s="56">
        <f>SUM('3.Data'!$B19:$L19)</f>
        <v>1741</v>
      </c>
      <c r="N19" s="59">
        <f>Data[[#This Row],[Rent]]+Data[[#This Row],[Medical]]</f>
        <v>1175</v>
      </c>
      <c r="O19" s="60">
        <f>Data[[#This Row],[Groceries]]+Data[[#This Row],[Transport]]+Data[[#This Row],[Haircut]]+Data[[#This Row],[Subscriptions]]</f>
        <v>401</v>
      </c>
      <c r="P19" s="60">
        <f>Data[[#This Row],[Education]]+Data[[#This Row],[Eating out]]+Data[[#This Row],[Entertainment ]]+Data[[#This Row],[Tech devices]]</f>
        <v>165</v>
      </c>
      <c r="Q19" s="60">
        <f>Data[[#This Row],[Others]]</f>
        <v>0</v>
      </c>
      <c r="R19" s="33">
        <v>545</v>
      </c>
      <c r="S19" s="24">
        <v>4500</v>
      </c>
      <c r="T19" s="21">
        <v>90</v>
      </c>
      <c r="U19" s="16">
        <f>SUM('3.Data'!$R19:$T19)</f>
        <v>5135</v>
      </c>
      <c r="V19" s="22">
        <f>'3.Data'!$U19-'3.Data'!$M19</f>
        <v>3394</v>
      </c>
    </row>
    <row r="20" spans="1:22" x14ac:dyDescent="0.3">
      <c r="A20" s="39">
        <v>45346</v>
      </c>
      <c r="B20" s="25">
        <v>1100</v>
      </c>
      <c r="C20" s="58">
        <v>302</v>
      </c>
      <c r="D20" s="58">
        <v>50</v>
      </c>
      <c r="E20" s="58">
        <v>40</v>
      </c>
      <c r="F20" s="58">
        <v>0</v>
      </c>
      <c r="G20" s="58">
        <v>67</v>
      </c>
      <c r="H20" s="58">
        <v>0</v>
      </c>
      <c r="I20" s="58">
        <v>58</v>
      </c>
      <c r="J20" s="24">
        <v>75</v>
      </c>
      <c r="K20" s="58">
        <v>0</v>
      </c>
      <c r="L20" s="24">
        <v>34</v>
      </c>
      <c r="M20" s="56">
        <f>SUM('3.Data'!$B20:$L20)</f>
        <v>1726</v>
      </c>
      <c r="N20" s="59">
        <f>Data[[#This Row],[Rent]]+Data[[#This Row],[Medical]]</f>
        <v>1175</v>
      </c>
      <c r="O20" s="60">
        <f>Data[[#This Row],[Groceries]]+Data[[#This Row],[Transport]]+Data[[#This Row],[Haircut]]+Data[[#This Row],[Subscriptions]]</f>
        <v>427</v>
      </c>
      <c r="P20" s="60">
        <f>Data[[#This Row],[Education]]+Data[[#This Row],[Eating out]]+Data[[#This Row],[Entertainment ]]+Data[[#This Row],[Tech devices]]</f>
        <v>90</v>
      </c>
      <c r="Q20" s="60">
        <f>Data[[#This Row],[Others]]</f>
        <v>34</v>
      </c>
      <c r="R20" s="33">
        <v>545</v>
      </c>
      <c r="S20" s="21">
        <v>5000</v>
      </c>
      <c r="T20" s="21">
        <v>90</v>
      </c>
      <c r="U20" s="16">
        <f>SUM('3.Data'!$R20:$T20)</f>
        <v>5635</v>
      </c>
      <c r="V20" s="22">
        <f>'3.Data'!$U20-'3.Data'!$M20</f>
        <v>3909</v>
      </c>
    </row>
    <row r="21" spans="1:22" x14ac:dyDescent="0.3">
      <c r="A21" s="39">
        <v>45375</v>
      </c>
      <c r="B21" s="25">
        <v>1100</v>
      </c>
      <c r="C21" s="58">
        <v>189</v>
      </c>
      <c r="D21" s="58">
        <v>50</v>
      </c>
      <c r="E21" s="58">
        <v>59</v>
      </c>
      <c r="F21" s="58">
        <v>40</v>
      </c>
      <c r="G21" s="58">
        <v>77</v>
      </c>
      <c r="H21" s="58">
        <v>0</v>
      </c>
      <c r="I21" s="58">
        <v>90</v>
      </c>
      <c r="J21" s="24">
        <v>75</v>
      </c>
      <c r="K21" s="58">
        <v>0</v>
      </c>
      <c r="L21" s="24">
        <v>0</v>
      </c>
      <c r="M21" s="56">
        <f>SUM('3.Data'!$B21:$L21)</f>
        <v>1680</v>
      </c>
      <c r="N21" s="59">
        <f>Data[[#This Row],[Rent]]+Data[[#This Row],[Medical]]</f>
        <v>1175</v>
      </c>
      <c r="O21" s="60">
        <f>Data[[#This Row],[Groceries]]+Data[[#This Row],[Transport]]+Data[[#This Row],[Haircut]]+Data[[#This Row],[Subscriptions]]</f>
        <v>356</v>
      </c>
      <c r="P21" s="60">
        <f>Data[[#This Row],[Education]]+Data[[#This Row],[Eating out]]+Data[[#This Row],[Entertainment ]]+Data[[#This Row],[Tech devices]]</f>
        <v>149</v>
      </c>
      <c r="Q21" s="60">
        <f>Data[[#This Row],[Others]]</f>
        <v>0</v>
      </c>
      <c r="R21" s="33">
        <v>456</v>
      </c>
      <c r="S21" s="21">
        <v>5000</v>
      </c>
      <c r="T21" s="21">
        <v>90</v>
      </c>
      <c r="U21" s="16">
        <f>SUM('3.Data'!$R21:$T21)</f>
        <v>5546</v>
      </c>
      <c r="V21" s="22">
        <f>'3.Data'!$U21-'3.Data'!$M21</f>
        <v>3866</v>
      </c>
    </row>
    <row r="22" spans="1:22" x14ac:dyDescent="0.3">
      <c r="A22" s="39">
        <v>45406</v>
      </c>
      <c r="B22" s="25">
        <v>1100</v>
      </c>
      <c r="C22" s="58">
        <v>209</v>
      </c>
      <c r="D22" s="58">
        <v>0</v>
      </c>
      <c r="E22" s="58">
        <v>70</v>
      </c>
      <c r="F22" s="58">
        <v>78</v>
      </c>
      <c r="G22" s="58">
        <v>88</v>
      </c>
      <c r="H22" s="58">
        <v>25</v>
      </c>
      <c r="I22" s="58">
        <v>100</v>
      </c>
      <c r="J22" s="24">
        <v>75</v>
      </c>
      <c r="K22" s="58">
        <v>0</v>
      </c>
      <c r="L22" s="58">
        <v>12</v>
      </c>
      <c r="M22" s="56">
        <f>SUM('3.Data'!$B22:$L22)</f>
        <v>1757</v>
      </c>
      <c r="N22" s="59">
        <f>Data[[#This Row],[Rent]]+Data[[#This Row],[Medical]]</f>
        <v>1175</v>
      </c>
      <c r="O22" s="60">
        <f>Data[[#This Row],[Groceries]]+Data[[#This Row],[Transport]]+Data[[#This Row],[Haircut]]+Data[[#This Row],[Subscriptions]]</f>
        <v>422</v>
      </c>
      <c r="P22" s="60">
        <f>Data[[#This Row],[Education]]+Data[[#This Row],[Eating out]]+Data[[#This Row],[Entertainment ]]+Data[[#This Row],[Tech devices]]</f>
        <v>148</v>
      </c>
      <c r="Q22" s="60">
        <f>Data[[#This Row],[Others]]</f>
        <v>12</v>
      </c>
      <c r="R22" s="33">
        <v>250</v>
      </c>
      <c r="S22" s="21">
        <v>5700</v>
      </c>
      <c r="T22" s="21">
        <v>90</v>
      </c>
      <c r="U22" s="16">
        <f>SUM('3.Data'!$R22:$T22)</f>
        <v>6040</v>
      </c>
      <c r="V22" s="22">
        <f>'3.Data'!$U22-'3.Data'!$M22</f>
        <v>4283</v>
      </c>
    </row>
    <row r="23" spans="1:22" x14ac:dyDescent="0.3">
      <c r="A23" s="39">
        <v>45436</v>
      </c>
      <c r="B23" s="25">
        <v>1100</v>
      </c>
      <c r="C23" s="58">
        <v>309</v>
      </c>
      <c r="D23" s="58">
        <v>0</v>
      </c>
      <c r="E23" s="58">
        <v>60</v>
      </c>
      <c r="F23" s="58">
        <v>300</v>
      </c>
      <c r="G23" s="58">
        <v>97</v>
      </c>
      <c r="H23" s="58">
        <v>0</v>
      </c>
      <c r="I23" s="58">
        <v>70</v>
      </c>
      <c r="J23" s="58">
        <v>134</v>
      </c>
      <c r="K23" s="58">
        <v>0</v>
      </c>
      <c r="L23" s="58">
        <v>0</v>
      </c>
      <c r="M23" s="56">
        <f>SUM('3.Data'!$B23:$L23)</f>
        <v>2070</v>
      </c>
      <c r="N23" s="59">
        <f>Data[[#This Row],[Rent]]+Data[[#This Row],[Medical]]</f>
        <v>1234</v>
      </c>
      <c r="O23" s="60">
        <f>Data[[#This Row],[Groceries]]+Data[[#This Row],[Transport]]+Data[[#This Row],[Haircut]]+Data[[#This Row],[Subscriptions]]</f>
        <v>476</v>
      </c>
      <c r="P23" s="60">
        <f>Data[[#This Row],[Education]]+Data[[#This Row],[Eating out]]+Data[[#This Row],[Entertainment ]]+Data[[#This Row],[Tech devices]]</f>
        <v>360</v>
      </c>
      <c r="Q23" s="60">
        <f>Data[[#This Row],[Others]]</f>
        <v>0</v>
      </c>
      <c r="R23" s="33">
        <v>450</v>
      </c>
      <c r="S23" s="21">
        <v>5700</v>
      </c>
      <c r="T23" s="21">
        <v>245</v>
      </c>
      <c r="U23" s="16">
        <f>SUM('3.Data'!$R23:$T23)</f>
        <v>6395</v>
      </c>
      <c r="V23" s="22">
        <f>'3.Data'!$U23-'3.Data'!$M23</f>
        <v>4325</v>
      </c>
    </row>
    <row r="24" spans="1:22" x14ac:dyDescent="0.3">
      <c r="A24" s="39">
        <v>45467</v>
      </c>
      <c r="B24" s="25">
        <v>1100</v>
      </c>
      <c r="C24" s="58">
        <v>320</v>
      </c>
      <c r="D24" s="58">
        <v>0</v>
      </c>
      <c r="E24" s="58">
        <v>100</v>
      </c>
      <c r="F24" s="58">
        <v>211</v>
      </c>
      <c r="G24" s="58">
        <v>67</v>
      </c>
      <c r="H24" s="58">
        <v>25</v>
      </c>
      <c r="I24" s="58">
        <v>77</v>
      </c>
      <c r="J24" s="58">
        <v>75</v>
      </c>
      <c r="K24" s="58">
        <v>0</v>
      </c>
      <c r="L24" s="58">
        <v>0</v>
      </c>
      <c r="M24" s="56">
        <f>SUM('3.Data'!$B24:$L24)</f>
        <v>1975</v>
      </c>
      <c r="N24" s="59">
        <f>Data[[#This Row],[Rent]]+Data[[#This Row],[Medical]]</f>
        <v>1175</v>
      </c>
      <c r="O24" s="60">
        <f>Data[[#This Row],[Groceries]]+Data[[#This Row],[Transport]]+Data[[#This Row],[Haircut]]+Data[[#This Row],[Subscriptions]]</f>
        <v>489</v>
      </c>
      <c r="P24" s="60">
        <f>Data[[#This Row],[Education]]+Data[[#This Row],[Eating out]]+Data[[#This Row],[Entertainment ]]+Data[[#This Row],[Tech devices]]</f>
        <v>311</v>
      </c>
      <c r="Q24" s="60">
        <f>Data[[#This Row],[Others]]</f>
        <v>0</v>
      </c>
      <c r="R24" s="33">
        <v>230</v>
      </c>
      <c r="S24" s="21">
        <v>5700</v>
      </c>
      <c r="T24" s="21">
        <v>200</v>
      </c>
      <c r="U24" s="16">
        <f>SUM('3.Data'!$R24:$T24)</f>
        <v>6130</v>
      </c>
      <c r="V24" s="22">
        <f>'3.Data'!$U24-'3.Data'!$M24</f>
        <v>4155</v>
      </c>
    </row>
    <row r="25" spans="1:22" x14ac:dyDescent="0.3">
      <c r="A25" s="39">
        <v>45497</v>
      </c>
      <c r="B25" s="25">
        <v>1200</v>
      </c>
      <c r="C25" s="58">
        <v>190</v>
      </c>
      <c r="D25" s="58">
        <v>140</v>
      </c>
      <c r="E25" s="58">
        <v>120</v>
      </c>
      <c r="F25" s="58">
        <v>0</v>
      </c>
      <c r="G25" s="58">
        <v>56</v>
      </c>
      <c r="H25" s="58">
        <v>0</v>
      </c>
      <c r="I25" s="58">
        <v>70</v>
      </c>
      <c r="J25" s="58">
        <v>75</v>
      </c>
      <c r="K25" s="58">
        <v>0</v>
      </c>
      <c r="L25" s="58">
        <v>0</v>
      </c>
      <c r="M25" s="56">
        <f>SUM('3.Data'!$B25:$L25)</f>
        <v>1851</v>
      </c>
      <c r="N25" s="59">
        <f>Data[[#This Row],[Rent]]+Data[[#This Row],[Medical]]</f>
        <v>1275</v>
      </c>
      <c r="O25" s="60">
        <f>Data[[#This Row],[Groceries]]+Data[[#This Row],[Transport]]+Data[[#This Row],[Haircut]]+Data[[#This Row],[Subscriptions]]</f>
        <v>316</v>
      </c>
      <c r="P25" s="60">
        <f>Data[[#This Row],[Education]]+Data[[#This Row],[Eating out]]+Data[[#This Row],[Entertainment ]]+Data[[#This Row],[Tech devices]]</f>
        <v>260</v>
      </c>
      <c r="Q25" s="60">
        <f>Data[[#This Row],[Others]]</f>
        <v>0</v>
      </c>
      <c r="R25" s="33">
        <v>230</v>
      </c>
      <c r="S25" s="21">
        <v>5700</v>
      </c>
      <c r="T25" s="21">
        <v>12</v>
      </c>
      <c r="U25" s="16">
        <f>SUM('3.Data'!$R25:$T25)</f>
        <v>5942</v>
      </c>
      <c r="V25" s="22">
        <f>'3.Data'!$U25-'3.Data'!$M25</f>
        <v>4091</v>
      </c>
    </row>
    <row r="26" spans="1:22" x14ac:dyDescent="0.3">
      <c r="A26" s="39">
        <v>45528</v>
      </c>
      <c r="B26" s="25">
        <v>1200</v>
      </c>
      <c r="C26" s="58">
        <v>309</v>
      </c>
      <c r="D26" s="58">
        <v>70</v>
      </c>
      <c r="E26" s="58">
        <v>56</v>
      </c>
      <c r="F26" s="58">
        <v>0</v>
      </c>
      <c r="G26" s="58">
        <v>78</v>
      </c>
      <c r="H26" s="58">
        <v>30</v>
      </c>
      <c r="I26" s="58">
        <v>67</v>
      </c>
      <c r="J26" s="58">
        <v>75</v>
      </c>
      <c r="K26" s="58">
        <v>120</v>
      </c>
      <c r="L26" s="58">
        <v>0</v>
      </c>
      <c r="M26" s="56">
        <f>SUM('3.Data'!$B26:$L26)</f>
        <v>2005</v>
      </c>
      <c r="N26" s="59">
        <f>Data[[#This Row],[Rent]]+Data[[#This Row],[Medical]]</f>
        <v>1275</v>
      </c>
      <c r="O26" s="60">
        <f>Data[[#This Row],[Groceries]]+Data[[#This Row],[Transport]]+Data[[#This Row],[Haircut]]+Data[[#This Row],[Subscriptions]]</f>
        <v>484</v>
      </c>
      <c r="P26" s="60">
        <f>Data[[#This Row],[Education]]+Data[[#This Row],[Eating out]]+Data[[#This Row],[Entertainment ]]+Data[[#This Row],[Tech devices]]</f>
        <v>246</v>
      </c>
      <c r="Q26" s="60">
        <f>Data[[#This Row],[Others]]</f>
        <v>0</v>
      </c>
      <c r="R26" s="33">
        <v>567</v>
      </c>
      <c r="S26" s="21">
        <v>5700</v>
      </c>
      <c r="T26" s="21">
        <v>112</v>
      </c>
      <c r="U26" s="16">
        <f>SUM('3.Data'!$R26:$T26)</f>
        <v>6379</v>
      </c>
      <c r="V26" s="22">
        <f>'3.Data'!$U26-'3.Data'!$M26</f>
        <v>4374</v>
      </c>
    </row>
    <row r="27" spans="1:22" x14ac:dyDescent="0.3">
      <c r="A27" s="39">
        <v>45559</v>
      </c>
      <c r="B27" s="25">
        <v>1200</v>
      </c>
      <c r="C27" s="58">
        <v>300</v>
      </c>
      <c r="D27" s="58">
        <v>0</v>
      </c>
      <c r="E27" s="58">
        <v>88</v>
      </c>
      <c r="F27" s="58">
        <v>0</v>
      </c>
      <c r="G27" s="58">
        <v>90</v>
      </c>
      <c r="H27" s="58">
        <v>0</v>
      </c>
      <c r="I27" s="58">
        <v>57</v>
      </c>
      <c r="J27" s="58">
        <v>75</v>
      </c>
      <c r="K27" s="58">
        <v>0</v>
      </c>
      <c r="L27" s="58">
        <v>0</v>
      </c>
      <c r="M27" s="56">
        <f>SUM('3.Data'!$B27:$L27)</f>
        <v>1810</v>
      </c>
      <c r="N27" s="59">
        <f>Data[[#This Row],[Rent]]+Data[[#This Row],[Medical]]</f>
        <v>1275</v>
      </c>
      <c r="O27" s="60">
        <f>Data[[#This Row],[Groceries]]+Data[[#This Row],[Transport]]+Data[[#This Row],[Haircut]]+Data[[#This Row],[Subscriptions]]</f>
        <v>447</v>
      </c>
      <c r="P27" s="60">
        <f>Data[[#This Row],[Education]]+Data[[#This Row],[Eating out]]+Data[[#This Row],[Entertainment ]]+Data[[#This Row],[Tech devices]]</f>
        <v>88</v>
      </c>
      <c r="Q27" s="60">
        <f>Data[[#This Row],[Others]]</f>
        <v>0</v>
      </c>
      <c r="R27" s="33">
        <v>350</v>
      </c>
      <c r="S27" s="21">
        <v>6000</v>
      </c>
      <c r="T27" s="21">
        <v>112</v>
      </c>
      <c r="U27" s="16">
        <f>SUM('3.Data'!$R27:$T27)</f>
        <v>6462</v>
      </c>
      <c r="V27" s="22">
        <f>'3.Data'!$U27-'3.Data'!$M27</f>
        <v>4652</v>
      </c>
    </row>
    <row r="28" spans="1:22" x14ac:dyDescent="0.3">
      <c r="A28" s="39">
        <v>45589</v>
      </c>
      <c r="B28" s="25">
        <v>1200</v>
      </c>
      <c r="C28" s="58">
        <v>209</v>
      </c>
      <c r="D28" s="58">
        <v>0</v>
      </c>
      <c r="E28" s="58">
        <v>70</v>
      </c>
      <c r="F28" s="58">
        <v>234</v>
      </c>
      <c r="G28" s="58">
        <v>65</v>
      </c>
      <c r="H28" s="58">
        <v>0</v>
      </c>
      <c r="I28" s="58">
        <v>67</v>
      </c>
      <c r="J28" s="58">
        <v>75</v>
      </c>
      <c r="K28" s="58">
        <v>0</v>
      </c>
      <c r="L28" s="58">
        <v>67</v>
      </c>
      <c r="M28" s="56">
        <f>SUM('3.Data'!$B28:$L28)</f>
        <v>1987</v>
      </c>
      <c r="N28" s="59">
        <f>Data[[#This Row],[Rent]]+Data[[#This Row],[Medical]]</f>
        <v>1275</v>
      </c>
      <c r="O28" s="60">
        <f>Data[[#This Row],[Groceries]]+Data[[#This Row],[Transport]]+Data[[#This Row],[Haircut]]+Data[[#This Row],[Subscriptions]]</f>
        <v>341</v>
      </c>
      <c r="P28" s="60">
        <f>Data[[#This Row],[Education]]+Data[[#This Row],[Eating out]]+Data[[#This Row],[Entertainment ]]+Data[[#This Row],[Tech devices]]</f>
        <v>304</v>
      </c>
      <c r="Q28" s="60">
        <f>Data[[#This Row],[Others]]</f>
        <v>67</v>
      </c>
      <c r="R28" s="33">
        <v>450</v>
      </c>
      <c r="S28" s="21">
        <v>6000</v>
      </c>
      <c r="T28" s="21">
        <v>112</v>
      </c>
      <c r="U28" s="16">
        <f>SUM('3.Data'!$R28:$T28)</f>
        <v>6562</v>
      </c>
      <c r="V28" s="22">
        <f>'3.Data'!$U28-'3.Data'!$M28</f>
        <v>4575</v>
      </c>
    </row>
    <row r="29" spans="1:22" x14ac:dyDescent="0.3">
      <c r="A29" s="39">
        <v>45620</v>
      </c>
      <c r="B29" s="25">
        <v>1200</v>
      </c>
      <c r="C29" s="58">
        <v>210</v>
      </c>
      <c r="D29" s="58">
        <v>0</v>
      </c>
      <c r="E29" s="58">
        <v>79</v>
      </c>
      <c r="F29" s="58">
        <v>0</v>
      </c>
      <c r="G29" s="58">
        <v>45</v>
      </c>
      <c r="H29" s="58">
        <v>25</v>
      </c>
      <c r="I29" s="58">
        <v>67</v>
      </c>
      <c r="J29" s="58">
        <v>75</v>
      </c>
      <c r="K29" s="58">
        <v>0</v>
      </c>
      <c r="L29" s="58">
        <v>22</v>
      </c>
      <c r="M29" s="56">
        <f>SUM('3.Data'!$B29:$L29)</f>
        <v>1723</v>
      </c>
      <c r="N29" s="59">
        <f>Data[[#This Row],[Rent]]+Data[[#This Row],[Medical]]</f>
        <v>1275</v>
      </c>
      <c r="O29" s="60">
        <f>Data[[#This Row],[Groceries]]+Data[[#This Row],[Transport]]+Data[[#This Row],[Haircut]]+Data[[#This Row],[Subscriptions]]</f>
        <v>347</v>
      </c>
      <c r="P29" s="60">
        <f>Data[[#This Row],[Education]]+Data[[#This Row],[Eating out]]+Data[[#This Row],[Entertainment ]]+Data[[#This Row],[Tech devices]]</f>
        <v>79</v>
      </c>
      <c r="Q29" s="60">
        <f>Data[[#This Row],[Others]]</f>
        <v>22</v>
      </c>
      <c r="R29" s="33">
        <v>234</v>
      </c>
      <c r="S29" s="21">
        <v>6000</v>
      </c>
      <c r="T29" s="21">
        <v>112</v>
      </c>
      <c r="U29" s="16">
        <f>SUM('3.Data'!$R29:$T29)</f>
        <v>6346</v>
      </c>
      <c r="V29" s="22">
        <f>'3.Data'!$U29-'3.Data'!$M29</f>
        <v>4623</v>
      </c>
    </row>
    <row r="30" spans="1:22" x14ac:dyDescent="0.3">
      <c r="A30" s="39">
        <v>45650</v>
      </c>
      <c r="B30" s="25">
        <v>1200</v>
      </c>
      <c r="C30" s="58">
        <v>289</v>
      </c>
      <c r="D30" s="58">
        <v>0</v>
      </c>
      <c r="E30" s="58">
        <v>90</v>
      </c>
      <c r="F30" s="58">
        <v>123</v>
      </c>
      <c r="G30" s="58">
        <v>56</v>
      </c>
      <c r="H30" s="58">
        <v>0</v>
      </c>
      <c r="I30" s="58">
        <v>80</v>
      </c>
      <c r="J30" s="58">
        <v>75</v>
      </c>
      <c r="K30" s="58">
        <v>0</v>
      </c>
      <c r="L30" s="58">
        <v>0</v>
      </c>
      <c r="M30" s="56">
        <f>SUM('3.Data'!$B30:$L30)</f>
        <v>1913</v>
      </c>
      <c r="N30" s="59">
        <f>Data[[#This Row],[Rent]]+Data[[#This Row],[Medical]]</f>
        <v>1275</v>
      </c>
      <c r="O30" s="60">
        <f>Data[[#This Row],[Groceries]]+Data[[#This Row],[Transport]]+Data[[#This Row],[Haircut]]+Data[[#This Row],[Subscriptions]]</f>
        <v>425</v>
      </c>
      <c r="P30" s="60">
        <f>Data[[#This Row],[Education]]+Data[[#This Row],[Eating out]]+Data[[#This Row],[Entertainment ]]+Data[[#This Row],[Tech devices]]</f>
        <v>213</v>
      </c>
      <c r="Q30" s="60">
        <f>Data[[#This Row],[Others]]</f>
        <v>0</v>
      </c>
      <c r="R30" s="33">
        <v>340</v>
      </c>
      <c r="S30" s="21">
        <v>6000</v>
      </c>
      <c r="T30" s="21">
        <v>112</v>
      </c>
      <c r="U30" s="16">
        <f>SUM('3.Data'!$R30:$T30)</f>
        <v>6452</v>
      </c>
      <c r="V30" s="22">
        <f>'3.Data'!$U30-'3.Data'!$M30</f>
        <v>4539</v>
      </c>
    </row>
    <row r="31" spans="1:22" s="5" customFormat="1" ht="14.4" customHeight="1" x14ac:dyDescent="0.3">
      <c r="A31" s="47" t="s">
        <v>0</v>
      </c>
      <c r="B31" s="63">
        <f>SUBTOTAL(109,'3.Data'!$B$4:$B$30)</f>
        <v>28600</v>
      </c>
      <c r="C31" s="63">
        <f>SUBTOTAL(109,'3.Data'!$C$4:$C$30)</f>
        <v>6886</v>
      </c>
      <c r="D31" s="63">
        <f>SUBTOTAL(109,'3.Data'!$D$4:$D$30)</f>
        <v>690</v>
      </c>
      <c r="E31" s="63">
        <f>SUBTOTAL(109,'3.Data'!$E$4:$E$30)</f>
        <v>2333</v>
      </c>
      <c r="F31" s="63">
        <f>SUBTOTAL(109,'3.Data'!$F$4:$F$30)</f>
        <v>1930</v>
      </c>
      <c r="G31" s="63">
        <f>SUBTOTAL(109,'3.Data'!$G$4:$G$30)</f>
        <v>2139</v>
      </c>
      <c r="H31" s="63">
        <f>SUBTOTAL(109,'3.Data'!$H$4:$H$30)</f>
        <v>295</v>
      </c>
      <c r="I31" s="63">
        <f>SUBTOTAL(109,'3.Data'!$I$4:$I$30)</f>
        <v>1961</v>
      </c>
      <c r="J31" s="63">
        <f>SUBTOTAL(109,'3.Data'!$J$4:$J$30)</f>
        <v>2178</v>
      </c>
      <c r="K31" s="63">
        <f>SUBTOTAL(109,'3.Data'!$K$4:$K$30)</f>
        <v>825</v>
      </c>
      <c r="L31" s="63">
        <f>SUBTOTAL(109,'3.Data'!$L$4:$L$30)</f>
        <v>259</v>
      </c>
      <c r="M31" s="63">
        <f>SUBTOTAL(109,'3.Data'!$M$4:$M$30)</f>
        <v>48096</v>
      </c>
      <c r="N31" s="62">
        <f>SUBTOTAL(109,'3.Data'!$N$4:$N$30)</f>
        <v>30778</v>
      </c>
      <c r="O31" s="61">
        <f>SUBTOTAL(109,'3.Data'!$O$4:$O$30)</f>
        <v>11281</v>
      </c>
      <c r="P31" s="61">
        <f>SUBTOTAL(109,'3.Data'!$P$4:$P$30)</f>
        <v>5778</v>
      </c>
      <c r="Q31" s="61">
        <f>SUBTOTAL(109,'3.Data'!$Q$4:$Q$30)</f>
        <v>259</v>
      </c>
      <c r="R31" s="62">
        <f>SUBTOTAL(109,'3.Data'!$R$4:$R$30)</f>
        <v>13715</v>
      </c>
      <c r="S31" s="62">
        <f>SUM(Data[Main income])</f>
        <v>120000</v>
      </c>
      <c r="T31" s="61">
        <f>SUBTOTAL(109,'3.Data'!$T$4:$T$30)</f>
        <v>3093</v>
      </c>
      <c r="U31" s="61">
        <f>SUBTOTAL(109,'3.Data'!$U$4:$U$30)</f>
        <v>136808</v>
      </c>
      <c r="V31" s="61">
        <f>SUBTOTAL(109,'3.Data'!$V$4:$V$30)</f>
        <v>88712</v>
      </c>
    </row>
    <row r="32" spans="1:22" ht="14.4" customHeight="1" x14ac:dyDescent="0.3">
      <c r="A32" s="6" t="s">
        <v>21</v>
      </c>
      <c r="B32" s="64">
        <f>AVERAGE('3.Data'!$B$4:$B$30)</f>
        <v>1059.2592592592594</v>
      </c>
      <c r="C32" s="64">
        <f>AVERAGE('3.Data'!$C$4:$C$30)</f>
        <v>255.03703703703704</v>
      </c>
      <c r="D32" s="64">
        <f>AVERAGE('3.Data'!$D$4:$D$30)</f>
        <v>25.555555555555557</v>
      </c>
      <c r="E32" s="64">
        <f>AVERAGE('3.Data'!$E$4:$E$30)</f>
        <v>86.407407407407405</v>
      </c>
      <c r="F32" s="64">
        <f>AVERAGE('3.Data'!$F$4:$F$30)</f>
        <v>71.481481481481481</v>
      </c>
      <c r="G32" s="64">
        <f>AVERAGE('3.Data'!$G$4:$G$30)</f>
        <v>79.222222222222229</v>
      </c>
      <c r="H32" s="64">
        <f>AVERAGE('3.Data'!$H$4:$H$30)</f>
        <v>10.925925925925926</v>
      </c>
      <c r="I32" s="64">
        <f>AVERAGE('3.Data'!$I$4:$I$30)</f>
        <v>72.629629629629633</v>
      </c>
      <c r="J32" s="64">
        <f>AVERAGE(Data[Medical])</f>
        <v>80.666666666666671</v>
      </c>
      <c r="K32" s="64">
        <f>AVERAGE('3.Data'!$K$4:$K$30)</f>
        <v>30.555555555555557</v>
      </c>
      <c r="L32" s="64">
        <f>AVERAGE('3.Data'!$L$4:$L$30)</f>
        <v>9.5925925925925934</v>
      </c>
      <c r="M32" s="65">
        <f>AVERAGE('3.Data'!$M$4:$M$30)</f>
        <v>1781.3333333333333</v>
      </c>
      <c r="N32" s="8"/>
      <c r="O32" s="8"/>
      <c r="P32" s="8"/>
      <c r="Q32" s="14"/>
      <c r="R32" s="4">
        <f>AVERAGE(Data[Part-time Jobs])</f>
        <v>507.96296296296299</v>
      </c>
      <c r="S32" s="4">
        <f>AVERAGE(Data[Main income])</f>
        <v>4444.4444444444443</v>
      </c>
      <c r="T32" s="4"/>
      <c r="U32">
        <f>AVERAGE(Data[[Total income ]])</f>
        <v>5066.9629629629626</v>
      </c>
    </row>
    <row r="34" spans="3:17" x14ac:dyDescent="0.3">
      <c r="N34" s="3"/>
      <c r="P34" s="3"/>
    </row>
    <row r="35" spans="3:17" x14ac:dyDescent="0.3">
      <c r="O35" s="3"/>
      <c r="Q35" s="66"/>
    </row>
    <row r="36" spans="3:17" x14ac:dyDescent="0.3">
      <c r="C36" s="67"/>
      <c r="G36" s="3"/>
    </row>
    <row r="37" spans="3:17" x14ac:dyDescent="0.3">
      <c r="G37" s="3"/>
      <c r="H37" s="3"/>
      <c r="N37" s="3"/>
    </row>
    <row r="38" spans="3:17" x14ac:dyDescent="0.3">
      <c r="G38" s="3"/>
    </row>
    <row r="39" spans="3:17" x14ac:dyDescent="0.3">
      <c r="G39" s="3"/>
      <c r="I39" s="67"/>
    </row>
    <row r="40" spans="3:17" x14ac:dyDescent="0.3">
      <c r="G40" s="3"/>
    </row>
  </sheetData>
  <sortState xmlns:xlrd2="http://schemas.microsoft.com/office/spreadsheetml/2017/richdata2" ref="G36:G40">
    <sortCondition descending="1" ref="G36:G40"/>
  </sortState>
  <mergeCells count="4">
    <mergeCell ref="N1:Q2"/>
    <mergeCell ref="R1:V2"/>
    <mergeCell ref="A1:M2"/>
    <mergeCell ref="X3:Y4"/>
  </mergeCells>
  <phoneticPr fontId="15" type="noConversion"/>
  <conditionalFormatting sqref="M4:M30">
    <cfRule type="colorScale" priority="21">
      <colorScale>
        <cfvo type="min"/>
        <cfvo type="max"/>
        <color theme="5" tint="0.79998168889431442"/>
        <color theme="5" tint="-0.249977111117893"/>
      </colorScale>
    </cfRule>
  </conditionalFormatting>
  <conditionalFormatting sqref="U4:U30">
    <cfRule type="colorScale" priority="22">
      <colorScale>
        <cfvo type="min"/>
        <cfvo type="max"/>
        <color theme="4" tint="0.79998168889431442"/>
        <color theme="4" tint="-0.249977111117893"/>
      </colorScale>
    </cfRule>
    <cfRule type="colorScale" priority="23">
      <colorScale>
        <cfvo type="min"/>
        <cfvo type="max"/>
        <color theme="4" tint="0.79998168889431442"/>
        <color theme="4"/>
      </colorScale>
    </cfRule>
    <cfRule type="colorScale" priority="24">
      <colorScale>
        <cfvo type="min"/>
        <cfvo type="max"/>
        <color theme="4"/>
        <color rgb="FFFFEF9C"/>
      </colorScale>
    </cfRule>
    <cfRule type="colorScale" priority="25">
      <colorScale>
        <cfvo type="min"/>
        <cfvo type="max"/>
        <color rgb="FFFCFCFF"/>
        <color rgb="FF63BE7B"/>
      </colorScale>
    </cfRule>
  </conditionalFormatting>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25A91-8CAC-46DB-91EA-081AE77176B1}">
  <sheetPr codeName="Sheet4"/>
  <dimension ref="A1:AI31"/>
  <sheetViews>
    <sheetView workbookViewId="0">
      <selection activeCell="G21" sqref="G21"/>
    </sheetView>
  </sheetViews>
  <sheetFormatPr defaultRowHeight="14.4" x14ac:dyDescent="0.3"/>
  <cols>
    <col min="1" max="1" width="12.5546875" bestFit="1" customWidth="1"/>
    <col min="2" max="2" width="19.21875" bestFit="1" customWidth="1"/>
    <col min="4" max="4" width="12.5546875" bestFit="1" customWidth="1"/>
    <col min="5" max="5" width="19" bestFit="1" customWidth="1"/>
    <col min="7" max="7" width="19.33203125" bestFit="1" customWidth="1"/>
    <col min="8" max="8" width="16.6640625" bestFit="1" customWidth="1"/>
    <col min="9" max="9" width="15.6640625" bestFit="1" customWidth="1"/>
    <col min="10" max="10" width="19.5546875" bestFit="1" customWidth="1"/>
    <col min="11" max="11" width="12.5546875" bestFit="1" customWidth="1"/>
    <col min="12" max="12" width="14.109375" bestFit="1" customWidth="1"/>
    <col min="13" max="13" width="12.5546875" bestFit="1" customWidth="1"/>
    <col min="14" max="14" width="15.33203125" bestFit="1" customWidth="1"/>
    <col min="15" max="15" width="11.33203125" bestFit="1" customWidth="1"/>
    <col min="16" max="16" width="16" bestFit="1" customWidth="1"/>
    <col min="17" max="17" width="12.5546875" bestFit="1" customWidth="1"/>
    <col min="18" max="18" width="19" bestFit="1" customWidth="1"/>
    <col min="19" max="19" width="19.88671875" bestFit="1" customWidth="1"/>
    <col min="20" max="20" width="19.21875" bestFit="1" customWidth="1"/>
    <col min="21" max="21" width="22.5546875" bestFit="1" customWidth="1"/>
    <col min="22" max="23" width="14.109375" bestFit="1" customWidth="1"/>
    <col min="24" max="24" width="13.109375" bestFit="1" customWidth="1"/>
    <col min="25" max="25" width="12.5546875" bestFit="1" customWidth="1"/>
    <col min="26" max="26" width="18.88671875" bestFit="1" customWidth="1"/>
    <col min="27" max="27" width="20.21875" bestFit="1" customWidth="1"/>
    <col min="28" max="28" width="16.109375" bestFit="1" customWidth="1"/>
    <col min="29" max="29" width="15.33203125" bestFit="1" customWidth="1"/>
    <col min="30" max="30" width="11.33203125" bestFit="1" customWidth="1"/>
    <col min="31" max="31" width="20.21875" bestFit="1" customWidth="1"/>
    <col min="32" max="32" width="13.109375" bestFit="1" customWidth="1"/>
    <col min="33" max="33" width="20.109375" bestFit="1" customWidth="1"/>
    <col min="34" max="34" width="18.6640625" bestFit="1" customWidth="1"/>
    <col min="35" max="35" width="19.6640625" bestFit="1" customWidth="1"/>
    <col min="36" max="36" width="13.109375" bestFit="1" customWidth="1"/>
    <col min="37" max="37" width="8.6640625" bestFit="1" customWidth="1"/>
    <col min="38" max="38" width="8" bestFit="1" customWidth="1"/>
    <col min="39" max="39" width="6.6640625" bestFit="1" customWidth="1"/>
    <col min="40" max="40" width="10.21875" bestFit="1" customWidth="1"/>
    <col min="41" max="41" width="7" bestFit="1" customWidth="1"/>
    <col min="42" max="42" width="9.21875" bestFit="1" customWidth="1"/>
    <col min="43" max="43" width="8.6640625" bestFit="1" customWidth="1"/>
    <col min="44" max="44" width="7" bestFit="1" customWidth="1"/>
    <col min="45" max="45" width="9.21875" bestFit="1" customWidth="1"/>
    <col min="46" max="46" width="9.6640625" bestFit="1" customWidth="1"/>
    <col min="47" max="47" width="7" bestFit="1" customWidth="1"/>
    <col min="48" max="48" width="6.6640625" bestFit="1" customWidth="1"/>
    <col min="49" max="49" width="4" bestFit="1" customWidth="1"/>
    <col min="50" max="50" width="6.6640625" bestFit="1" customWidth="1"/>
    <col min="51" max="51" width="9.6640625" bestFit="1" customWidth="1"/>
    <col min="52" max="52" width="7" bestFit="1" customWidth="1"/>
    <col min="53" max="53" width="9.21875" bestFit="1" customWidth="1"/>
    <col min="54" max="54" width="9.6640625" bestFit="1" customWidth="1"/>
    <col min="55" max="55" width="18.88671875" bestFit="1" customWidth="1"/>
    <col min="56" max="56" width="6.6640625" bestFit="1" customWidth="1"/>
    <col min="57" max="57" width="8.6640625" bestFit="1" customWidth="1"/>
    <col min="58" max="61" width="7" bestFit="1" customWidth="1"/>
    <col min="62" max="62" width="8.6640625" bestFit="1" customWidth="1"/>
    <col min="63" max="63" width="8" bestFit="1" customWidth="1"/>
    <col min="64" max="64" width="6.6640625" bestFit="1" customWidth="1"/>
    <col min="65" max="65" width="10.21875" bestFit="1" customWidth="1"/>
    <col min="66" max="66" width="7" bestFit="1" customWidth="1"/>
    <col min="67" max="67" width="9.21875" bestFit="1" customWidth="1"/>
    <col min="68" max="68" width="8.6640625" bestFit="1" customWidth="1"/>
    <col min="69" max="69" width="7" bestFit="1" customWidth="1"/>
    <col min="70" max="70" width="9.21875" bestFit="1" customWidth="1"/>
    <col min="71" max="71" width="9.6640625" bestFit="1" customWidth="1"/>
    <col min="72" max="72" width="7" bestFit="1" customWidth="1"/>
    <col min="73" max="73" width="6.6640625" bestFit="1" customWidth="1"/>
    <col min="74" max="74" width="4" bestFit="1" customWidth="1"/>
    <col min="75" max="75" width="6.6640625" bestFit="1" customWidth="1"/>
    <col min="76" max="76" width="9.6640625" bestFit="1" customWidth="1"/>
    <col min="77" max="77" width="7" bestFit="1" customWidth="1"/>
    <col min="78" max="78" width="9.21875" bestFit="1" customWidth="1"/>
    <col min="79" max="79" width="9.6640625" bestFit="1" customWidth="1"/>
    <col min="80" max="80" width="20.21875" bestFit="1" customWidth="1"/>
    <col min="81" max="81" width="6.6640625" bestFit="1" customWidth="1"/>
    <col min="82" max="82" width="8.6640625" bestFit="1" customWidth="1"/>
    <col min="83" max="86" width="7" bestFit="1" customWidth="1"/>
    <col min="87" max="87" width="8.6640625" bestFit="1" customWidth="1"/>
    <col min="88" max="88" width="8" bestFit="1" customWidth="1"/>
    <col min="89" max="89" width="6.6640625" bestFit="1" customWidth="1"/>
    <col min="90" max="90" width="10.21875" bestFit="1" customWidth="1"/>
    <col min="91" max="91" width="7" bestFit="1" customWidth="1"/>
    <col min="92" max="92" width="9.21875" bestFit="1" customWidth="1"/>
    <col min="93" max="93" width="8.6640625" bestFit="1" customWidth="1"/>
    <col min="94" max="94" width="7" bestFit="1" customWidth="1"/>
    <col min="95" max="95" width="9.21875" bestFit="1" customWidth="1"/>
    <col min="96" max="96" width="9.6640625" bestFit="1" customWidth="1"/>
    <col min="97" max="97" width="7" bestFit="1" customWidth="1"/>
    <col min="98" max="98" width="6.6640625" bestFit="1" customWidth="1"/>
    <col min="99" max="99" width="6" bestFit="1" customWidth="1"/>
    <col min="100" max="100" width="6.6640625" bestFit="1" customWidth="1"/>
    <col min="101" max="101" width="9.6640625" bestFit="1" customWidth="1"/>
    <col min="102" max="102" width="7" bestFit="1" customWidth="1"/>
    <col min="103" max="103" width="9.21875" bestFit="1" customWidth="1"/>
    <col min="104" max="104" width="9.6640625" bestFit="1" customWidth="1"/>
    <col min="105" max="105" width="15.6640625" bestFit="1" customWidth="1"/>
    <col min="106" max="106" width="6.6640625" bestFit="1" customWidth="1"/>
    <col min="107" max="107" width="8.6640625" bestFit="1" customWidth="1"/>
    <col min="108" max="111" width="7" bestFit="1" customWidth="1"/>
    <col min="112" max="112" width="8.6640625" bestFit="1" customWidth="1"/>
    <col min="113" max="113" width="8" bestFit="1" customWidth="1"/>
    <col min="114" max="114" width="6.6640625" bestFit="1" customWidth="1"/>
    <col min="115" max="115" width="10.21875" bestFit="1" customWidth="1"/>
    <col min="116" max="116" width="7" bestFit="1" customWidth="1"/>
    <col min="117" max="117" width="9.21875" bestFit="1" customWidth="1"/>
    <col min="118" max="118" width="8.6640625" bestFit="1" customWidth="1"/>
    <col min="119" max="119" width="7" bestFit="1" customWidth="1"/>
    <col min="120" max="120" width="9.21875" bestFit="1" customWidth="1"/>
    <col min="121" max="121" width="9.6640625" bestFit="1" customWidth="1"/>
    <col min="122" max="122" width="7" bestFit="1" customWidth="1"/>
    <col min="123" max="123" width="6.6640625" bestFit="1" customWidth="1"/>
    <col min="124" max="124" width="4" bestFit="1" customWidth="1"/>
    <col min="125" max="125" width="6.6640625" bestFit="1" customWidth="1"/>
    <col min="126" max="126" width="9.6640625" bestFit="1" customWidth="1"/>
    <col min="127" max="127" width="7" bestFit="1" customWidth="1"/>
    <col min="128" max="128" width="9.21875" bestFit="1" customWidth="1"/>
    <col min="129" max="129" width="9.6640625" bestFit="1" customWidth="1"/>
    <col min="130" max="130" width="15.33203125" bestFit="1" customWidth="1"/>
    <col min="131" max="131" width="7" bestFit="1" customWidth="1"/>
    <col min="132" max="132" width="8.6640625" bestFit="1" customWidth="1"/>
    <col min="133" max="135" width="7" bestFit="1" customWidth="1"/>
    <col min="136" max="136" width="8" bestFit="1" customWidth="1"/>
    <col min="137" max="137" width="8.6640625" bestFit="1" customWidth="1"/>
    <col min="138" max="138" width="8" bestFit="1" customWidth="1"/>
    <col min="139" max="139" width="7" bestFit="1" customWidth="1"/>
    <col min="140" max="140" width="10.21875" bestFit="1" customWidth="1"/>
    <col min="141" max="141" width="7" bestFit="1" customWidth="1"/>
    <col min="142" max="142" width="9.21875" bestFit="1" customWidth="1"/>
    <col min="143" max="143" width="8.6640625" bestFit="1" customWidth="1"/>
    <col min="144" max="144" width="7" bestFit="1" customWidth="1"/>
    <col min="145" max="145" width="9.21875" bestFit="1" customWidth="1"/>
    <col min="146" max="146" width="9.6640625" bestFit="1" customWidth="1"/>
    <col min="147" max="150" width="7" bestFit="1" customWidth="1"/>
    <col min="151" max="151" width="9.6640625" bestFit="1" customWidth="1"/>
    <col min="152" max="152" width="7" bestFit="1" customWidth="1"/>
    <col min="153" max="153" width="9.21875" bestFit="1" customWidth="1"/>
    <col min="154" max="154" width="9.6640625" bestFit="1" customWidth="1"/>
    <col min="155" max="155" width="17.5546875" bestFit="1" customWidth="1"/>
    <col min="156" max="156" width="6.6640625" bestFit="1" customWidth="1"/>
    <col min="157" max="157" width="8.6640625" bestFit="1" customWidth="1"/>
    <col min="158" max="161" width="7" bestFit="1" customWidth="1"/>
    <col min="162" max="162" width="8.6640625" bestFit="1" customWidth="1"/>
    <col min="163" max="163" width="8" bestFit="1" customWidth="1"/>
    <col min="164" max="164" width="6.6640625" bestFit="1" customWidth="1"/>
    <col min="165" max="165" width="10.21875" bestFit="1" customWidth="1"/>
    <col min="166" max="166" width="7" bestFit="1" customWidth="1"/>
    <col min="167" max="167" width="9.21875" bestFit="1" customWidth="1"/>
    <col min="168" max="168" width="8.6640625" bestFit="1" customWidth="1"/>
    <col min="169" max="169" width="7" bestFit="1" customWidth="1"/>
    <col min="170" max="170" width="9.21875" bestFit="1" customWidth="1"/>
    <col min="171" max="171" width="9.6640625" bestFit="1" customWidth="1"/>
    <col min="172" max="172" width="7" bestFit="1" customWidth="1"/>
    <col min="173" max="173" width="6.6640625" bestFit="1" customWidth="1"/>
    <col min="174" max="174" width="6" bestFit="1" customWidth="1"/>
    <col min="175" max="175" width="6.6640625" bestFit="1" customWidth="1"/>
    <col min="176" max="176" width="9.6640625" bestFit="1" customWidth="1"/>
    <col min="177" max="177" width="7" bestFit="1" customWidth="1"/>
    <col min="178" max="178" width="9.21875" bestFit="1" customWidth="1"/>
    <col min="179" max="179" width="9.6640625" bestFit="1" customWidth="1"/>
    <col min="180" max="180" width="16" bestFit="1" customWidth="1"/>
    <col min="181" max="181" width="6.6640625" bestFit="1" customWidth="1"/>
    <col min="182" max="182" width="8.6640625" bestFit="1" customWidth="1"/>
    <col min="183" max="186" width="7" bestFit="1" customWidth="1"/>
    <col min="187" max="187" width="8.6640625" bestFit="1" customWidth="1"/>
    <col min="188" max="188" width="8" bestFit="1" customWidth="1"/>
    <col min="189" max="189" width="6.6640625" bestFit="1" customWidth="1"/>
    <col min="190" max="190" width="10.21875" bestFit="1" customWidth="1"/>
    <col min="191" max="191" width="7" bestFit="1" customWidth="1"/>
    <col min="192" max="192" width="9.21875" bestFit="1" customWidth="1"/>
    <col min="193" max="193" width="8.6640625" bestFit="1" customWidth="1"/>
    <col min="194" max="194" width="7" bestFit="1" customWidth="1"/>
    <col min="195" max="195" width="9.21875" bestFit="1" customWidth="1"/>
    <col min="196" max="196" width="9.6640625" bestFit="1" customWidth="1"/>
    <col min="197" max="197" width="7" bestFit="1" customWidth="1"/>
    <col min="198" max="198" width="6.6640625" bestFit="1" customWidth="1"/>
    <col min="199" max="199" width="4" bestFit="1" customWidth="1"/>
    <col min="200" max="200" width="6.6640625" bestFit="1" customWidth="1"/>
    <col min="201" max="201" width="9.6640625" bestFit="1" customWidth="1"/>
    <col min="202" max="202" width="7" bestFit="1" customWidth="1"/>
    <col min="203" max="203" width="9.21875" bestFit="1" customWidth="1"/>
    <col min="204" max="204" width="9.6640625" bestFit="1" customWidth="1"/>
    <col min="205" max="205" width="18.33203125" bestFit="1" customWidth="1"/>
    <col min="206" max="206" width="19" bestFit="1" customWidth="1"/>
    <col min="207" max="207" width="23.6640625" bestFit="1" customWidth="1"/>
    <col min="208" max="208" width="25" bestFit="1" customWidth="1"/>
    <col min="209" max="209" width="20.44140625" bestFit="1" customWidth="1"/>
    <col min="210" max="210" width="20.109375" bestFit="1" customWidth="1"/>
    <col min="211" max="211" width="22.33203125" bestFit="1" customWidth="1"/>
    <col min="212" max="212" width="20.77734375" bestFit="1" customWidth="1"/>
  </cols>
  <sheetData>
    <row r="1" spans="1:35" ht="18" x14ac:dyDescent="0.35">
      <c r="A1" s="161" t="s">
        <v>38</v>
      </c>
      <c r="B1" s="161"/>
      <c r="D1" s="161" t="s">
        <v>39</v>
      </c>
      <c r="E1" s="161"/>
      <c r="G1" s="161" t="s">
        <v>40</v>
      </c>
      <c r="H1" s="161"/>
      <c r="I1">
        <f>SUM(H2:H5)</f>
        <v>48096</v>
      </c>
      <c r="K1" s="161" t="s">
        <v>9</v>
      </c>
      <c r="L1" s="161"/>
      <c r="N1" s="162"/>
      <c r="O1" s="162"/>
      <c r="Q1" s="160" t="s">
        <v>41</v>
      </c>
      <c r="R1" s="160"/>
      <c r="S1" s="160"/>
      <c r="T1" s="160"/>
      <c r="Y1" s="159" t="s">
        <v>52</v>
      </c>
      <c r="Z1" s="159"/>
      <c r="AA1" s="159"/>
      <c r="AB1" s="159"/>
      <c r="AC1" s="159"/>
    </row>
    <row r="2" spans="1:35" x14ac:dyDescent="0.3">
      <c r="A2" s="7" t="s">
        <v>22</v>
      </c>
      <c r="B2" t="s">
        <v>27</v>
      </c>
      <c r="D2" s="7" t="s">
        <v>22</v>
      </c>
      <c r="E2" t="s">
        <v>29</v>
      </c>
      <c r="G2" t="s">
        <v>36</v>
      </c>
      <c r="H2">
        <f>'3.Data'!N31</f>
        <v>30778</v>
      </c>
      <c r="I2" s="49">
        <f>H2/I1</f>
        <v>0.63992847638057215</v>
      </c>
      <c r="K2" s="161"/>
      <c r="L2" s="161"/>
      <c r="Q2" s="7" t="s">
        <v>22</v>
      </c>
      <c r="R2" t="s">
        <v>29</v>
      </c>
      <c r="S2" t="s">
        <v>43</v>
      </c>
      <c r="T2" t="s">
        <v>27</v>
      </c>
      <c r="U2" t="s">
        <v>42</v>
      </c>
      <c r="V2" t="s">
        <v>37</v>
      </c>
      <c r="Y2" s="159"/>
      <c r="Z2" s="159"/>
      <c r="AA2" s="159"/>
      <c r="AB2" s="159"/>
      <c r="AC2" s="159"/>
    </row>
    <row r="3" spans="1:35" x14ac:dyDescent="0.3">
      <c r="A3" s="9">
        <v>44835</v>
      </c>
      <c r="B3" s="172">
        <v>1382</v>
      </c>
      <c r="D3" s="9">
        <v>44835</v>
      </c>
      <c r="E3" s="172">
        <v>3320</v>
      </c>
      <c r="G3" t="s">
        <v>6</v>
      </c>
      <c r="H3">
        <f>'3.Data'!O31</f>
        <v>11281</v>
      </c>
      <c r="I3" s="48">
        <f>H3/I1</f>
        <v>0.23455172987358616</v>
      </c>
      <c r="K3" s="7" t="s">
        <v>22</v>
      </c>
      <c r="L3" t="s">
        <v>37</v>
      </c>
      <c r="Q3" s="9">
        <v>44835</v>
      </c>
      <c r="R3" s="172">
        <v>3320</v>
      </c>
      <c r="S3" s="172">
        <v>364</v>
      </c>
      <c r="T3" s="172">
        <v>1382</v>
      </c>
      <c r="U3" s="172">
        <v>875</v>
      </c>
      <c r="V3" s="172">
        <v>1938</v>
      </c>
      <c r="Y3" s="7" t="s">
        <v>22</v>
      </c>
      <c r="Z3" t="s">
        <v>51</v>
      </c>
      <c r="AA3" t="s">
        <v>50</v>
      </c>
      <c r="AB3" t="s">
        <v>49</v>
      </c>
      <c r="AC3" t="s">
        <v>47</v>
      </c>
      <c r="AD3" t="s">
        <v>48</v>
      </c>
    </row>
    <row r="4" spans="1:35" x14ac:dyDescent="0.3">
      <c r="A4" s="9">
        <v>44866</v>
      </c>
      <c r="B4" s="172">
        <v>1253</v>
      </c>
      <c r="D4" s="9">
        <v>44866</v>
      </c>
      <c r="E4" s="172">
        <v>3504</v>
      </c>
      <c r="G4" t="s">
        <v>4</v>
      </c>
      <c r="H4">
        <f>'3.Data'!P31</f>
        <v>5778</v>
      </c>
      <c r="I4" s="48">
        <f>H4/I1</f>
        <v>0.12013473053892215</v>
      </c>
      <c r="K4" s="9">
        <v>44835</v>
      </c>
      <c r="L4" s="172">
        <v>1938</v>
      </c>
      <c r="Q4" s="9">
        <v>44866</v>
      </c>
      <c r="R4" s="172">
        <v>3504</v>
      </c>
      <c r="S4" s="172">
        <v>298</v>
      </c>
      <c r="T4" s="172">
        <v>1253</v>
      </c>
      <c r="U4" s="172">
        <v>875</v>
      </c>
      <c r="V4" s="172">
        <v>2251</v>
      </c>
      <c r="Y4" s="9">
        <v>44835</v>
      </c>
      <c r="Z4" s="172">
        <v>50</v>
      </c>
      <c r="AA4" s="172">
        <v>0</v>
      </c>
      <c r="AB4" s="172">
        <v>120</v>
      </c>
      <c r="AC4" s="172">
        <v>234</v>
      </c>
      <c r="AD4" s="172">
        <v>800</v>
      </c>
    </row>
    <row r="5" spans="1:35" x14ac:dyDescent="0.3">
      <c r="A5" s="9">
        <v>44896</v>
      </c>
      <c r="B5" s="172">
        <v>1590</v>
      </c>
      <c r="D5" s="9">
        <v>44896</v>
      </c>
      <c r="E5" s="172">
        <v>3484</v>
      </c>
      <c r="G5" t="s">
        <v>7</v>
      </c>
      <c r="H5">
        <f>'3.Data'!Q31</f>
        <v>259</v>
      </c>
      <c r="I5" s="48">
        <f>H5/I1</f>
        <v>5.3850632069194944E-3</v>
      </c>
      <c r="K5" s="9">
        <v>44866</v>
      </c>
      <c r="L5" s="172">
        <v>2251</v>
      </c>
      <c r="Q5" s="9">
        <v>44896</v>
      </c>
      <c r="R5" s="172">
        <v>3484</v>
      </c>
      <c r="S5" s="172">
        <v>447</v>
      </c>
      <c r="T5" s="172">
        <v>1590</v>
      </c>
      <c r="U5" s="172">
        <v>925</v>
      </c>
      <c r="V5" s="172">
        <v>1894</v>
      </c>
      <c r="Y5" s="9">
        <v>44866</v>
      </c>
      <c r="Z5" s="172">
        <v>0</v>
      </c>
      <c r="AA5" s="172">
        <v>0</v>
      </c>
      <c r="AB5" s="172">
        <v>80</v>
      </c>
      <c r="AC5" s="172">
        <v>178</v>
      </c>
      <c r="AD5" s="172">
        <v>800</v>
      </c>
      <c r="AG5" s="7" t="s">
        <v>12</v>
      </c>
      <c r="AH5" t="s">
        <v>76</v>
      </c>
    </row>
    <row r="6" spans="1:35" x14ac:dyDescent="0.3">
      <c r="A6" s="9">
        <v>44927</v>
      </c>
      <c r="B6" s="172">
        <v>1434</v>
      </c>
      <c r="D6" s="9">
        <v>44927</v>
      </c>
      <c r="E6" s="172">
        <v>3644</v>
      </c>
      <c r="H6" s="48"/>
      <c r="K6" s="9">
        <v>44896</v>
      </c>
      <c r="L6" s="172">
        <v>1894</v>
      </c>
      <c r="Q6" s="9">
        <v>44927</v>
      </c>
      <c r="R6" s="172">
        <v>3644</v>
      </c>
      <c r="S6" s="172">
        <v>354</v>
      </c>
      <c r="T6" s="172">
        <v>1434</v>
      </c>
      <c r="U6" s="172">
        <v>875</v>
      </c>
      <c r="V6" s="172">
        <v>2210</v>
      </c>
      <c r="Y6" s="9">
        <v>44896</v>
      </c>
      <c r="Z6" s="172">
        <v>50</v>
      </c>
      <c r="AA6" s="172">
        <v>0</v>
      </c>
      <c r="AB6" s="172">
        <v>98</v>
      </c>
      <c r="AC6" s="172">
        <v>311</v>
      </c>
      <c r="AD6" s="172">
        <v>850</v>
      </c>
    </row>
    <row r="7" spans="1:35" x14ac:dyDescent="0.3">
      <c r="A7" s="9">
        <v>44958</v>
      </c>
      <c r="B7" s="172">
        <v>1473</v>
      </c>
      <c r="D7" s="9">
        <v>44958</v>
      </c>
      <c r="E7" s="172">
        <v>3484</v>
      </c>
      <c r="H7" s="48"/>
      <c r="K7" s="9">
        <v>44927</v>
      </c>
      <c r="L7" s="172">
        <v>2210</v>
      </c>
      <c r="Q7" s="9">
        <v>44958</v>
      </c>
      <c r="R7" s="172">
        <v>3484</v>
      </c>
      <c r="S7" s="172">
        <v>398</v>
      </c>
      <c r="T7" s="172">
        <v>1473</v>
      </c>
      <c r="U7" s="172">
        <v>875</v>
      </c>
      <c r="V7" s="172">
        <v>2011</v>
      </c>
      <c r="Y7" s="9">
        <v>44927</v>
      </c>
      <c r="Z7" s="172">
        <v>80</v>
      </c>
      <c r="AA7" s="172">
        <v>40</v>
      </c>
      <c r="AB7" s="172">
        <v>95</v>
      </c>
      <c r="AC7" s="172">
        <v>224</v>
      </c>
      <c r="AD7" s="172">
        <v>800</v>
      </c>
      <c r="AG7" t="s">
        <v>77</v>
      </c>
      <c r="AH7" t="s">
        <v>78</v>
      </c>
      <c r="AI7" t="s">
        <v>79</v>
      </c>
    </row>
    <row r="8" spans="1:35" x14ac:dyDescent="0.3">
      <c r="A8" s="9">
        <v>44986</v>
      </c>
      <c r="B8" s="172">
        <v>1520</v>
      </c>
      <c r="D8" s="9">
        <v>44986</v>
      </c>
      <c r="E8" s="172">
        <v>3534</v>
      </c>
      <c r="H8" s="48"/>
      <c r="K8" s="9">
        <v>44958</v>
      </c>
      <c r="L8" s="172">
        <v>2011</v>
      </c>
      <c r="Q8" s="9">
        <v>44986</v>
      </c>
      <c r="R8" s="172">
        <v>3534</v>
      </c>
      <c r="S8" s="172">
        <v>417</v>
      </c>
      <c r="T8" s="172">
        <v>1520</v>
      </c>
      <c r="U8" s="172">
        <v>925</v>
      </c>
      <c r="V8" s="172">
        <v>2014</v>
      </c>
      <c r="Y8" s="9">
        <v>44958</v>
      </c>
      <c r="Z8" s="172">
        <v>88</v>
      </c>
      <c r="AA8" s="172">
        <v>0</v>
      </c>
      <c r="AB8" s="172">
        <v>40</v>
      </c>
      <c r="AC8" s="172">
        <v>190</v>
      </c>
      <c r="AD8" s="172">
        <v>800</v>
      </c>
      <c r="AG8" s="172">
        <v>3093</v>
      </c>
      <c r="AH8" s="172">
        <v>120000</v>
      </c>
      <c r="AI8" s="172">
        <v>13715</v>
      </c>
    </row>
    <row r="9" spans="1:35" x14ac:dyDescent="0.3">
      <c r="A9" s="9">
        <v>45017</v>
      </c>
      <c r="B9" s="172">
        <v>1731</v>
      </c>
      <c r="D9" s="9">
        <v>45017</v>
      </c>
      <c r="E9" s="172">
        <v>3554</v>
      </c>
      <c r="H9" s="48"/>
      <c r="K9" s="9">
        <v>44986</v>
      </c>
      <c r="L9" s="172">
        <v>2014</v>
      </c>
      <c r="Q9" s="9">
        <v>45017</v>
      </c>
      <c r="R9" s="172">
        <v>3554</v>
      </c>
      <c r="S9" s="172">
        <v>436</v>
      </c>
      <c r="T9" s="172">
        <v>1731</v>
      </c>
      <c r="U9" s="172">
        <v>1175</v>
      </c>
      <c r="V9" s="172">
        <v>1823</v>
      </c>
      <c r="Y9" s="9">
        <v>44986</v>
      </c>
      <c r="Z9" s="172">
        <v>88</v>
      </c>
      <c r="AA9" s="172">
        <v>0</v>
      </c>
      <c r="AB9" s="172">
        <v>100</v>
      </c>
      <c r="AC9" s="172">
        <v>230</v>
      </c>
      <c r="AD9" s="172">
        <v>850</v>
      </c>
    </row>
    <row r="10" spans="1:35" x14ac:dyDescent="0.3">
      <c r="A10" s="9">
        <v>45047</v>
      </c>
      <c r="B10" s="172">
        <v>1933</v>
      </c>
      <c r="D10" s="9">
        <v>45047</v>
      </c>
      <c r="E10" s="172">
        <v>3784</v>
      </c>
      <c r="K10" s="9">
        <v>45017</v>
      </c>
      <c r="L10" s="172">
        <v>1823</v>
      </c>
      <c r="Q10" s="9">
        <v>45047</v>
      </c>
      <c r="R10" s="172">
        <v>3784</v>
      </c>
      <c r="S10" s="172">
        <v>548</v>
      </c>
      <c r="T10" s="172">
        <v>1933</v>
      </c>
      <c r="U10" s="172">
        <v>1175</v>
      </c>
      <c r="V10" s="172">
        <v>1851</v>
      </c>
      <c r="Y10" s="9">
        <v>45017</v>
      </c>
      <c r="Z10" s="172">
        <v>88</v>
      </c>
      <c r="AA10" s="172">
        <v>0</v>
      </c>
      <c r="AB10" s="172">
        <v>120</v>
      </c>
      <c r="AC10" s="172">
        <v>238</v>
      </c>
      <c r="AD10" s="172">
        <v>1100</v>
      </c>
    </row>
    <row r="11" spans="1:35" x14ac:dyDescent="0.3">
      <c r="A11" s="9">
        <v>45078</v>
      </c>
      <c r="B11" s="172">
        <v>2040</v>
      </c>
      <c r="D11" s="9">
        <v>45078</v>
      </c>
      <c r="E11" s="172">
        <v>5234</v>
      </c>
      <c r="K11" s="9">
        <v>45047</v>
      </c>
      <c r="L11" s="172">
        <v>1851</v>
      </c>
      <c r="Q11" s="9">
        <v>45078</v>
      </c>
      <c r="R11" s="172">
        <v>5234</v>
      </c>
      <c r="S11" s="172">
        <v>435</v>
      </c>
      <c r="T11" s="172">
        <v>2040</v>
      </c>
      <c r="U11" s="172">
        <v>1175</v>
      </c>
      <c r="V11" s="172">
        <v>3194</v>
      </c>
      <c r="Y11" s="9">
        <v>45047</v>
      </c>
      <c r="Z11" s="172">
        <v>88</v>
      </c>
      <c r="AA11" s="172">
        <v>90</v>
      </c>
      <c r="AB11" s="172">
        <v>120</v>
      </c>
      <c r="AC11" s="172">
        <v>360</v>
      </c>
      <c r="AD11" s="172">
        <v>1100</v>
      </c>
    </row>
    <row r="12" spans="1:35" x14ac:dyDescent="0.3">
      <c r="A12" s="9">
        <v>45108</v>
      </c>
      <c r="B12" s="172">
        <v>2179</v>
      </c>
      <c r="D12" s="9">
        <v>45108</v>
      </c>
      <c r="E12" s="172">
        <v>5144</v>
      </c>
      <c r="K12" s="9">
        <v>45078</v>
      </c>
      <c r="L12" s="172">
        <v>3194</v>
      </c>
      <c r="Q12" s="9">
        <v>45108</v>
      </c>
      <c r="R12" s="172">
        <v>5144</v>
      </c>
      <c r="S12" s="172">
        <v>429</v>
      </c>
      <c r="T12" s="172">
        <v>2179</v>
      </c>
      <c r="U12" s="172">
        <v>1220</v>
      </c>
      <c r="V12" s="172">
        <v>2965</v>
      </c>
      <c r="Y12" s="9">
        <v>45078</v>
      </c>
      <c r="Z12" s="172">
        <v>70</v>
      </c>
      <c r="AA12" s="172">
        <v>180</v>
      </c>
      <c r="AB12" s="172">
        <v>200</v>
      </c>
      <c r="AC12" s="172">
        <v>230</v>
      </c>
      <c r="AD12" s="172">
        <v>1100</v>
      </c>
    </row>
    <row r="13" spans="1:35" x14ac:dyDescent="0.3">
      <c r="A13" s="9">
        <v>45139</v>
      </c>
      <c r="B13" s="172">
        <v>1778</v>
      </c>
      <c r="D13" s="9">
        <v>45139</v>
      </c>
      <c r="E13" s="172">
        <v>4971</v>
      </c>
      <c r="K13" s="9">
        <v>45108</v>
      </c>
      <c r="L13" s="172">
        <v>2965</v>
      </c>
      <c r="Q13" s="9">
        <v>45139</v>
      </c>
      <c r="R13" s="172">
        <v>4971</v>
      </c>
      <c r="S13" s="172">
        <v>441</v>
      </c>
      <c r="T13" s="172">
        <v>1778</v>
      </c>
      <c r="U13" s="172">
        <v>1224</v>
      </c>
      <c r="V13" s="172">
        <v>3193</v>
      </c>
      <c r="Y13" s="9">
        <v>45108</v>
      </c>
      <c r="Z13" s="172">
        <v>120</v>
      </c>
      <c r="AA13" s="172">
        <v>400</v>
      </c>
      <c r="AB13" s="172">
        <v>80</v>
      </c>
      <c r="AC13" s="172">
        <v>239</v>
      </c>
      <c r="AD13" s="172">
        <v>1100</v>
      </c>
    </row>
    <row r="14" spans="1:35" x14ac:dyDescent="0.3">
      <c r="A14" s="9">
        <v>45170</v>
      </c>
      <c r="B14" s="172">
        <v>1660</v>
      </c>
      <c r="D14" s="9">
        <v>45170</v>
      </c>
      <c r="E14" s="172">
        <v>5110</v>
      </c>
      <c r="K14" s="9">
        <v>45139</v>
      </c>
      <c r="L14" s="172">
        <v>3193</v>
      </c>
      <c r="Q14" s="9">
        <v>45170</v>
      </c>
      <c r="R14" s="172">
        <v>5110</v>
      </c>
      <c r="S14" s="172">
        <v>415</v>
      </c>
      <c r="T14" s="172">
        <v>1660</v>
      </c>
      <c r="U14" s="172">
        <v>1175</v>
      </c>
      <c r="V14" s="172">
        <v>3450</v>
      </c>
      <c r="Y14" s="9">
        <v>45139</v>
      </c>
      <c r="Z14" s="172">
        <v>60</v>
      </c>
      <c r="AA14" s="172">
        <v>0</v>
      </c>
      <c r="AB14" s="172">
        <v>90</v>
      </c>
      <c r="AC14" s="172">
        <v>301</v>
      </c>
      <c r="AD14" s="172">
        <v>1100</v>
      </c>
    </row>
    <row r="15" spans="1:35" x14ac:dyDescent="0.3">
      <c r="A15" s="9">
        <v>45200</v>
      </c>
      <c r="B15" s="172">
        <v>1741</v>
      </c>
      <c r="D15" s="9">
        <v>45200</v>
      </c>
      <c r="E15" s="172">
        <v>5135</v>
      </c>
      <c r="K15" s="9">
        <v>45170</v>
      </c>
      <c r="L15" s="172">
        <v>3450</v>
      </c>
      <c r="Q15" s="9">
        <v>45200</v>
      </c>
      <c r="R15" s="172">
        <v>5135</v>
      </c>
      <c r="S15" s="172">
        <v>500</v>
      </c>
      <c r="T15" s="172">
        <v>1741</v>
      </c>
      <c r="U15" s="172">
        <v>1175</v>
      </c>
      <c r="V15" s="172">
        <v>3394</v>
      </c>
      <c r="Y15" s="9">
        <v>45170</v>
      </c>
      <c r="Z15" s="172">
        <v>77</v>
      </c>
      <c r="AA15" s="172">
        <v>0</v>
      </c>
      <c r="AB15" s="172">
        <v>70</v>
      </c>
      <c r="AC15" s="172">
        <v>240</v>
      </c>
      <c r="AD15" s="172">
        <v>1100</v>
      </c>
    </row>
    <row r="16" spans="1:35" x14ac:dyDescent="0.3">
      <c r="A16" s="9">
        <v>45253</v>
      </c>
      <c r="B16" s="172">
        <v>2434</v>
      </c>
      <c r="D16" s="9">
        <v>45253</v>
      </c>
      <c r="E16" s="172">
        <v>4824</v>
      </c>
      <c r="K16" s="9">
        <v>45200</v>
      </c>
      <c r="L16" s="172">
        <v>3394</v>
      </c>
      <c r="Q16" s="9">
        <v>45253</v>
      </c>
      <c r="R16" s="172">
        <v>4824</v>
      </c>
      <c r="S16" s="172">
        <v>421</v>
      </c>
      <c r="T16" s="172">
        <v>2434</v>
      </c>
      <c r="U16" s="172">
        <v>1175</v>
      </c>
      <c r="V16" s="172">
        <v>2390</v>
      </c>
      <c r="Y16" s="9">
        <v>45200</v>
      </c>
      <c r="Z16" s="172">
        <v>77</v>
      </c>
      <c r="AA16" s="172">
        <v>0</v>
      </c>
      <c r="AB16" s="172">
        <v>66</v>
      </c>
      <c r="AC16" s="172">
        <v>309</v>
      </c>
      <c r="AD16" s="172">
        <v>1100</v>
      </c>
    </row>
    <row r="17" spans="1:30" x14ac:dyDescent="0.3">
      <c r="A17" s="9">
        <v>45283</v>
      </c>
      <c r="B17" s="172">
        <v>1710</v>
      </c>
      <c r="D17" s="9">
        <v>45283</v>
      </c>
      <c r="E17" s="172">
        <v>5058</v>
      </c>
      <c r="K17" s="9">
        <v>45253</v>
      </c>
      <c r="L17" s="172">
        <v>2390</v>
      </c>
      <c r="Q17" s="9">
        <v>45283</v>
      </c>
      <c r="R17" s="172">
        <v>5058</v>
      </c>
      <c r="S17" s="172">
        <v>447</v>
      </c>
      <c r="T17" s="172">
        <v>1710</v>
      </c>
      <c r="U17" s="172">
        <v>1175</v>
      </c>
      <c r="V17" s="172">
        <v>3348</v>
      </c>
      <c r="Y17" s="9">
        <v>45253</v>
      </c>
      <c r="Z17" s="172">
        <v>88</v>
      </c>
      <c r="AA17" s="172">
        <v>234</v>
      </c>
      <c r="AB17" s="172">
        <v>59</v>
      </c>
      <c r="AC17" s="172">
        <v>256</v>
      </c>
      <c r="AD17" s="172">
        <v>1100</v>
      </c>
    </row>
    <row r="18" spans="1:30" x14ac:dyDescent="0.3">
      <c r="A18" s="9">
        <v>45315</v>
      </c>
      <c r="B18" s="172">
        <v>1741</v>
      </c>
      <c r="D18" s="9">
        <v>45315</v>
      </c>
      <c r="E18" s="172">
        <v>5135</v>
      </c>
      <c r="K18" s="9">
        <v>45283</v>
      </c>
      <c r="L18" s="172">
        <v>3348</v>
      </c>
      <c r="Q18" s="9">
        <v>45315</v>
      </c>
      <c r="R18" s="172">
        <v>5135</v>
      </c>
      <c r="S18" s="172">
        <v>401</v>
      </c>
      <c r="T18" s="172">
        <v>1741</v>
      </c>
      <c r="U18" s="172">
        <v>1175</v>
      </c>
      <c r="V18" s="172">
        <v>3394</v>
      </c>
      <c r="Y18" s="9">
        <v>45283</v>
      </c>
      <c r="Z18" s="172">
        <v>67</v>
      </c>
      <c r="AA18" s="172">
        <v>0</v>
      </c>
      <c r="AB18" s="172">
        <v>88</v>
      </c>
      <c r="AC18" s="172">
        <v>280</v>
      </c>
      <c r="AD18" s="172">
        <v>1100</v>
      </c>
    </row>
    <row r="19" spans="1:30" x14ac:dyDescent="0.3">
      <c r="A19" s="9">
        <v>45346</v>
      </c>
      <c r="B19" s="172">
        <v>1726</v>
      </c>
      <c r="D19" s="9">
        <v>45346</v>
      </c>
      <c r="E19" s="172">
        <v>5635</v>
      </c>
      <c r="K19" s="9">
        <v>45315</v>
      </c>
      <c r="L19" s="172">
        <v>3394</v>
      </c>
      <c r="Q19" s="9">
        <v>45346</v>
      </c>
      <c r="R19" s="172">
        <v>5635</v>
      </c>
      <c r="S19" s="172">
        <v>427</v>
      </c>
      <c r="T19" s="172">
        <v>1726</v>
      </c>
      <c r="U19" s="172">
        <v>1175</v>
      </c>
      <c r="V19" s="172">
        <v>3909</v>
      </c>
      <c r="Y19" s="9">
        <v>45315</v>
      </c>
      <c r="Z19" s="172">
        <v>67</v>
      </c>
      <c r="AA19" s="172">
        <v>0</v>
      </c>
      <c r="AB19" s="172">
        <v>75</v>
      </c>
      <c r="AC19" s="172">
        <v>230</v>
      </c>
      <c r="AD19" s="172">
        <v>1100</v>
      </c>
    </row>
    <row r="20" spans="1:30" x14ac:dyDescent="0.3">
      <c r="A20" s="9">
        <v>45375</v>
      </c>
      <c r="B20" s="172">
        <v>1680</v>
      </c>
      <c r="D20" s="9">
        <v>45375</v>
      </c>
      <c r="E20" s="172">
        <v>5546</v>
      </c>
      <c r="K20" s="9">
        <v>45346</v>
      </c>
      <c r="L20" s="172">
        <v>3909</v>
      </c>
      <c r="Q20" s="9">
        <v>45375</v>
      </c>
      <c r="R20" s="172">
        <v>5546</v>
      </c>
      <c r="S20" s="172">
        <v>356</v>
      </c>
      <c r="T20" s="172">
        <v>1680</v>
      </c>
      <c r="U20" s="172">
        <v>1175</v>
      </c>
      <c r="V20" s="172">
        <v>3866</v>
      </c>
      <c r="Y20" s="9">
        <v>45346</v>
      </c>
      <c r="Z20" s="172">
        <v>58</v>
      </c>
      <c r="AA20" s="172">
        <v>0</v>
      </c>
      <c r="AB20" s="172">
        <v>40</v>
      </c>
      <c r="AC20" s="172">
        <v>302</v>
      </c>
      <c r="AD20" s="172">
        <v>1100</v>
      </c>
    </row>
    <row r="21" spans="1:30" x14ac:dyDescent="0.3">
      <c r="A21" s="9">
        <v>45406</v>
      </c>
      <c r="B21" s="172">
        <v>1757</v>
      </c>
      <c r="D21" s="9">
        <v>45406</v>
      </c>
      <c r="E21" s="172">
        <v>6040</v>
      </c>
      <c r="K21" s="9">
        <v>45375</v>
      </c>
      <c r="L21" s="172">
        <v>3866</v>
      </c>
      <c r="Q21" s="9">
        <v>45406</v>
      </c>
      <c r="R21" s="172">
        <v>6040</v>
      </c>
      <c r="S21" s="172">
        <v>422</v>
      </c>
      <c r="T21" s="172">
        <v>1757</v>
      </c>
      <c r="U21" s="172">
        <v>1175</v>
      </c>
      <c r="V21" s="172">
        <v>4283</v>
      </c>
      <c r="Y21" s="9">
        <v>45375</v>
      </c>
      <c r="Z21" s="172">
        <v>90</v>
      </c>
      <c r="AA21" s="172">
        <v>40</v>
      </c>
      <c r="AB21" s="172">
        <v>59</v>
      </c>
      <c r="AC21" s="172">
        <v>189</v>
      </c>
      <c r="AD21" s="172">
        <v>1100</v>
      </c>
    </row>
    <row r="22" spans="1:30" x14ac:dyDescent="0.3">
      <c r="A22" s="9">
        <v>45436</v>
      </c>
      <c r="B22" s="172">
        <v>2070</v>
      </c>
      <c r="D22" s="9">
        <v>45436</v>
      </c>
      <c r="E22" s="172">
        <v>6395</v>
      </c>
      <c r="K22" s="9">
        <v>45406</v>
      </c>
      <c r="L22" s="172">
        <v>4283</v>
      </c>
      <c r="Q22" s="9">
        <v>45436</v>
      </c>
      <c r="R22" s="172">
        <v>6395</v>
      </c>
      <c r="S22" s="172">
        <v>476</v>
      </c>
      <c r="T22" s="172">
        <v>2070</v>
      </c>
      <c r="U22" s="172">
        <v>1234</v>
      </c>
      <c r="V22" s="172">
        <v>4325</v>
      </c>
      <c r="Y22" s="9">
        <v>45406</v>
      </c>
      <c r="Z22" s="172">
        <v>100</v>
      </c>
      <c r="AA22" s="172">
        <v>78</v>
      </c>
      <c r="AB22" s="172">
        <v>70</v>
      </c>
      <c r="AC22" s="172">
        <v>209</v>
      </c>
      <c r="AD22" s="172">
        <v>1100</v>
      </c>
    </row>
    <row r="23" spans="1:30" x14ac:dyDescent="0.3">
      <c r="A23" s="9">
        <v>45467</v>
      </c>
      <c r="B23" s="172">
        <v>1975</v>
      </c>
      <c r="D23" s="9">
        <v>45467</v>
      </c>
      <c r="E23" s="172">
        <v>6130</v>
      </c>
      <c r="K23" s="9">
        <v>45436</v>
      </c>
      <c r="L23" s="172">
        <v>4325</v>
      </c>
      <c r="Q23" s="9">
        <v>45467</v>
      </c>
      <c r="R23" s="172">
        <v>6130</v>
      </c>
      <c r="S23" s="172">
        <v>489</v>
      </c>
      <c r="T23" s="172">
        <v>1975</v>
      </c>
      <c r="U23" s="172">
        <v>1175</v>
      </c>
      <c r="V23" s="172">
        <v>4155</v>
      </c>
      <c r="Y23" s="9">
        <v>45436</v>
      </c>
      <c r="Z23" s="172">
        <v>70</v>
      </c>
      <c r="AA23" s="172">
        <v>300</v>
      </c>
      <c r="AB23" s="172">
        <v>60</v>
      </c>
      <c r="AC23" s="172">
        <v>309</v>
      </c>
      <c r="AD23" s="172">
        <v>1100</v>
      </c>
    </row>
    <row r="24" spans="1:30" x14ac:dyDescent="0.3">
      <c r="A24" s="9">
        <v>45497</v>
      </c>
      <c r="B24" s="172">
        <v>1851</v>
      </c>
      <c r="D24" s="9">
        <v>45497</v>
      </c>
      <c r="E24" s="172">
        <v>5942</v>
      </c>
      <c r="K24" s="9">
        <v>45467</v>
      </c>
      <c r="L24" s="172">
        <v>4155</v>
      </c>
      <c r="Q24" s="9">
        <v>45497</v>
      </c>
      <c r="R24" s="172">
        <v>5942</v>
      </c>
      <c r="S24" s="172">
        <v>316</v>
      </c>
      <c r="T24" s="172">
        <v>1851</v>
      </c>
      <c r="U24" s="172">
        <v>1275</v>
      </c>
      <c r="V24" s="172">
        <v>4091</v>
      </c>
      <c r="Y24" s="9">
        <v>45467</v>
      </c>
      <c r="Z24" s="172">
        <v>77</v>
      </c>
      <c r="AA24" s="172">
        <v>211</v>
      </c>
      <c r="AB24" s="172">
        <v>100</v>
      </c>
      <c r="AC24" s="172">
        <v>320</v>
      </c>
      <c r="AD24" s="172">
        <v>1100</v>
      </c>
    </row>
    <row r="25" spans="1:30" x14ac:dyDescent="0.3">
      <c r="A25" s="9">
        <v>45528</v>
      </c>
      <c r="B25" s="172">
        <v>2005</v>
      </c>
      <c r="D25" s="9">
        <v>45528</v>
      </c>
      <c r="E25" s="172">
        <v>6379</v>
      </c>
      <c r="K25" s="9">
        <v>45497</v>
      </c>
      <c r="L25" s="172">
        <v>4091</v>
      </c>
      <c r="Q25" s="9">
        <v>45528</v>
      </c>
      <c r="R25" s="172">
        <v>6379</v>
      </c>
      <c r="S25" s="172">
        <v>484</v>
      </c>
      <c r="T25" s="172">
        <v>2005</v>
      </c>
      <c r="U25" s="172">
        <v>1275</v>
      </c>
      <c r="V25" s="172">
        <v>4374</v>
      </c>
      <c r="Y25" s="9">
        <v>45497</v>
      </c>
      <c r="Z25" s="172">
        <v>70</v>
      </c>
      <c r="AA25" s="172">
        <v>0</v>
      </c>
      <c r="AB25" s="172">
        <v>120</v>
      </c>
      <c r="AC25" s="172">
        <v>190</v>
      </c>
      <c r="AD25" s="172">
        <v>1200</v>
      </c>
    </row>
    <row r="26" spans="1:30" x14ac:dyDescent="0.3">
      <c r="A26" s="9">
        <v>45559</v>
      </c>
      <c r="B26" s="172">
        <v>1810</v>
      </c>
      <c r="D26" s="9">
        <v>45559</v>
      </c>
      <c r="E26" s="172">
        <v>6462</v>
      </c>
      <c r="K26" s="9">
        <v>45528</v>
      </c>
      <c r="L26" s="172">
        <v>4374</v>
      </c>
      <c r="Q26" s="9">
        <v>45559</v>
      </c>
      <c r="R26" s="172">
        <v>6462</v>
      </c>
      <c r="S26" s="172">
        <v>447</v>
      </c>
      <c r="T26" s="172">
        <v>1810</v>
      </c>
      <c r="U26" s="172">
        <v>1275</v>
      </c>
      <c r="V26" s="172">
        <v>4652</v>
      </c>
      <c r="Y26" s="9">
        <v>45528</v>
      </c>
      <c r="Z26" s="172">
        <v>67</v>
      </c>
      <c r="AA26" s="172">
        <v>0</v>
      </c>
      <c r="AB26" s="172">
        <v>56</v>
      </c>
      <c r="AC26" s="172">
        <v>309</v>
      </c>
      <c r="AD26" s="172">
        <v>1200</v>
      </c>
    </row>
    <row r="27" spans="1:30" x14ac:dyDescent="0.3">
      <c r="A27" s="9">
        <v>45589</v>
      </c>
      <c r="B27" s="172">
        <v>1987</v>
      </c>
      <c r="D27" s="9">
        <v>45589</v>
      </c>
      <c r="E27" s="172">
        <v>6562</v>
      </c>
      <c r="K27" s="9">
        <v>45559</v>
      </c>
      <c r="L27" s="172">
        <v>4652</v>
      </c>
      <c r="Q27" s="9">
        <v>45589</v>
      </c>
      <c r="R27" s="172">
        <v>6562</v>
      </c>
      <c r="S27" s="172">
        <v>341</v>
      </c>
      <c r="T27" s="172">
        <v>1987</v>
      </c>
      <c r="U27" s="172">
        <v>1275</v>
      </c>
      <c r="V27" s="172">
        <v>4575</v>
      </c>
      <c r="Y27" s="9">
        <v>45559</v>
      </c>
      <c r="Z27" s="172">
        <v>57</v>
      </c>
      <c r="AA27" s="172">
        <v>0</v>
      </c>
      <c r="AB27" s="172">
        <v>88</v>
      </c>
      <c r="AC27" s="172">
        <v>300</v>
      </c>
      <c r="AD27" s="172">
        <v>1200</v>
      </c>
    </row>
    <row r="28" spans="1:30" x14ac:dyDescent="0.3">
      <c r="A28" s="9">
        <v>45620</v>
      </c>
      <c r="B28" s="172">
        <v>1723</v>
      </c>
      <c r="D28" s="9">
        <v>45620</v>
      </c>
      <c r="E28" s="172">
        <v>6346</v>
      </c>
      <c r="K28" s="9">
        <v>45589</v>
      </c>
      <c r="L28" s="172">
        <v>4575</v>
      </c>
      <c r="Q28" s="9">
        <v>45620</v>
      </c>
      <c r="R28" s="172">
        <v>6346</v>
      </c>
      <c r="S28" s="172">
        <v>347</v>
      </c>
      <c r="T28" s="172">
        <v>1723</v>
      </c>
      <c r="U28" s="172">
        <v>1275</v>
      </c>
      <c r="V28" s="172">
        <v>4623</v>
      </c>
      <c r="Y28" s="9">
        <v>45589</v>
      </c>
      <c r="Z28" s="172">
        <v>67</v>
      </c>
      <c r="AA28" s="172">
        <v>234</v>
      </c>
      <c r="AB28" s="172">
        <v>70</v>
      </c>
      <c r="AC28" s="172">
        <v>209</v>
      </c>
      <c r="AD28" s="172">
        <v>1200</v>
      </c>
    </row>
    <row r="29" spans="1:30" x14ac:dyDescent="0.3">
      <c r="A29" s="9">
        <v>45650</v>
      </c>
      <c r="B29" s="172">
        <v>1913</v>
      </c>
      <c r="D29" s="9">
        <v>45650</v>
      </c>
      <c r="E29" s="172">
        <v>6452</v>
      </c>
      <c r="K29" s="9">
        <v>45620</v>
      </c>
      <c r="L29" s="172">
        <v>4623</v>
      </c>
      <c r="Q29" s="9">
        <v>45650</v>
      </c>
      <c r="R29" s="172">
        <v>6452</v>
      </c>
      <c r="S29" s="172">
        <v>425</v>
      </c>
      <c r="T29" s="172">
        <v>1913</v>
      </c>
      <c r="U29" s="172">
        <v>1275</v>
      </c>
      <c r="V29" s="172">
        <v>4539</v>
      </c>
      <c r="Y29" s="9">
        <v>45620</v>
      </c>
      <c r="Z29" s="172">
        <v>67</v>
      </c>
      <c r="AA29" s="172">
        <v>0</v>
      </c>
      <c r="AB29" s="172">
        <v>79</v>
      </c>
      <c r="AC29" s="172">
        <v>210</v>
      </c>
      <c r="AD29" s="172">
        <v>1200</v>
      </c>
    </row>
    <row r="30" spans="1:30" x14ac:dyDescent="0.3">
      <c r="A30" s="9" t="s">
        <v>23</v>
      </c>
      <c r="B30" s="172">
        <v>48096</v>
      </c>
      <c r="D30" s="9" t="s">
        <v>23</v>
      </c>
      <c r="E30" s="172">
        <v>136808</v>
      </c>
      <c r="K30" s="9">
        <v>45650</v>
      </c>
      <c r="L30" s="172">
        <v>4539</v>
      </c>
      <c r="Q30" s="9" t="s">
        <v>23</v>
      </c>
      <c r="R30" s="172">
        <v>136808</v>
      </c>
      <c r="S30" s="172">
        <v>417.81481481481484</v>
      </c>
      <c r="T30" s="172">
        <v>48096</v>
      </c>
      <c r="U30" s="172">
        <v>1139.9259259259259</v>
      </c>
      <c r="V30" s="172">
        <v>88712</v>
      </c>
      <c r="Y30" s="9">
        <v>45650</v>
      </c>
      <c r="Z30" s="172">
        <v>80</v>
      </c>
      <c r="AA30" s="172">
        <v>123</v>
      </c>
      <c r="AB30" s="172">
        <v>90</v>
      </c>
      <c r="AC30" s="172">
        <v>289</v>
      </c>
      <c r="AD30" s="172">
        <v>1200</v>
      </c>
    </row>
    <row r="31" spans="1:30" x14ac:dyDescent="0.3">
      <c r="K31" s="9" t="s">
        <v>23</v>
      </c>
      <c r="L31" s="172">
        <v>88712</v>
      </c>
      <c r="Y31" s="9" t="s">
        <v>23</v>
      </c>
      <c r="Z31" s="172">
        <v>1961</v>
      </c>
      <c r="AA31" s="172">
        <v>1930</v>
      </c>
      <c r="AB31" s="172">
        <v>2333</v>
      </c>
      <c r="AC31" s="172">
        <v>6886</v>
      </c>
      <c r="AD31" s="172">
        <v>28600</v>
      </c>
    </row>
  </sheetData>
  <mergeCells count="7">
    <mergeCell ref="Y1:AC2"/>
    <mergeCell ref="Q1:T1"/>
    <mergeCell ref="A1:B1"/>
    <mergeCell ref="D1:E1"/>
    <mergeCell ref="K1:L2"/>
    <mergeCell ref="G1:H1"/>
    <mergeCell ref="N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75ABD-A4FA-4F16-A64B-7DC9EB757C1B}">
  <sheetPr codeName="Sheet5"/>
  <dimension ref="G7:AC48"/>
  <sheetViews>
    <sheetView showGridLines="0" zoomScale="55" zoomScaleNormal="55" workbookViewId="0">
      <selection activeCell="AK22" sqref="AK22"/>
    </sheetView>
  </sheetViews>
  <sheetFormatPr defaultRowHeight="14.4" x14ac:dyDescent="0.3"/>
  <cols>
    <col min="1" max="6" width="8.88671875" style="10"/>
    <col min="7" max="8" width="10.5546875" style="10" bestFit="1" customWidth="1"/>
    <col min="9" max="13" width="8.88671875" style="10"/>
    <col min="14" max="14" width="15.21875" style="10" customWidth="1"/>
    <col min="15" max="15" width="22.77734375" style="10" bestFit="1" customWidth="1"/>
    <col min="16" max="16" width="16.109375" style="10" bestFit="1" customWidth="1"/>
    <col min="17" max="17" width="13.44140625" style="10" customWidth="1"/>
    <col min="18" max="18" width="8.88671875" style="10"/>
    <col min="19" max="19" width="8.109375" style="10" customWidth="1"/>
    <col min="20" max="20" width="8.88671875" style="10" customWidth="1"/>
    <col min="21" max="21" width="9.77734375" style="10" customWidth="1"/>
    <col min="22" max="28" width="8.88671875" style="10"/>
    <col min="29" max="29" width="14.21875" style="10" customWidth="1"/>
    <col min="30" max="16384" width="8.88671875" style="10"/>
  </cols>
  <sheetData>
    <row r="7" spans="7:29" ht="13.8" customHeight="1" x14ac:dyDescent="0.3"/>
    <row r="8" spans="7:29" x14ac:dyDescent="0.3">
      <c r="G8" s="11"/>
      <c r="H8" s="11"/>
    </row>
    <row r="9" spans="7:29" ht="31.2" x14ac:dyDescent="0.3">
      <c r="H9" s="11"/>
      <c r="U9" s="163" t="s">
        <v>10</v>
      </c>
      <c r="V9" s="163"/>
      <c r="W9" s="163"/>
      <c r="X9" s="163"/>
      <c r="Y9" s="163"/>
      <c r="Z9" s="163"/>
      <c r="AA9" s="163"/>
      <c r="AB9" s="163"/>
      <c r="AC9" s="163"/>
    </row>
    <row r="10" spans="7:29" x14ac:dyDescent="0.3">
      <c r="U10" s="164" t="s">
        <v>11</v>
      </c>
      <c r="V10" s="164"/>
      <c r="W10" s="164"/>
      <c r="X10" s="164"/>
      <c r="Y10" s="164"/>
      <c r="Z10" s="164"/>
      <c r="AA10" s="164"/>
      <c r="AB10" s="165">
        <f>GETPIVOTDATA("Total income ",'4.Pivot'!$D$2)/GETPIVOTDATA("Total expense",'4.Pivot'!$A$2)</f>
        <v>2.8444777112441781</v>
      </c>
      <c r="AC10" s="165"/>
    </row>
    <row r="11" spans="7:29" x14ac:dyDescent="0.3">
      <c r="U11" s="164"/>
      <c r="V11" s="164"/>
      <c r="W11" s="164"/>
      <c r="X11" s="164"/>
      <c r="Y11" s="164"/>
      <c r="Z11" s="164"/>
      <c r="AA11" s="164"/>
      <c r="AB11" s="165"/>
      <c r="AC11" s="165"/>
    </row>
    <row r="12" spans="7:29" x14ac:dyDescent="0.3">
      <c r="U12" s="164" t="s">
        <v>54</v>
      </c>
      <c r="V12" s="164"/>
      <c r="W12" s="164"/>
      <c r="X12" s="164"/>
      <c r="Y12" s="164"/>
      <c r="Z12" s="164"/>
      <c r="AA12" s="164"/>
      <c r="AB12" s="165">
        <f>GETPIVOTDATA("Sum of Rent",'4.Pivot'!$Y$3)/GETPIVOTDATA("Total income ",'4.Pivot'!$D$2)</f>
        <v>0.20905210221624465</v>
      </c>
      <c r="AC12" s="165"/>
    </row>
    <row r="13" spans="7:29" x14ac:dyDescent="0.3">
      <c r="U13" s="164"/>
      <c r="V13" s="164"/>
      <c r="W13" s="164"/>
      <c r="X13" s="164"/>
      <c r="Y13" s="164"/>
      <c r="Z13" s="164"/>
      <c r="AA13" s="164"/>
      <c r="AB13" s="165"/>
      <c r="AC13" s="165"/>
    </row>
    <row r="14" spans="7:29" x14ac:dyDescent="0.3">
      <c r="U14" s="164" t="s">
        <v>16</v>
      </c>
      <c r="V14" s="164"/>
      <c r="W14" s="164"/>
      <c r="X14" s="164"/>
      <c r="Y14" s="164"/>
      <c r="Z14" s="164"/>
      <c r="AA14" s="164"/>
      <c r="AB14" s="167">
        <f>GETPIVOTDATA("Average of Necessities",'4.Pivot'!$Q$2)+GETPIVOTDATA("Average of Fixed expense",'4.Pivot'!$Q$2)</f>
        <v>1557.7407407407406</v>
      </c>
      <c r="AC14" s="167"/>
    </row>
    <row r="15" spans="7:29" x14ac:dyDescent="0.3">
      <c r="U15" s="164"/>
      <c r="V15" s="164"/>
      <c r="W15" s="164"/>
      <c r="X15" s="164"/>
      <c r="Y15" s="164"/>
      <c r="Z15" s="164"/>
      <c r="AA15" s="164"/>
      <c r="AB15" s="167"/>
      <c r="AC15" s="167"/>
    </row>
    <row r="16" spans="7:29" x14ac:dyDescent="0.3">
      <c r="U16" s="164" t="s">
        <v>17</v>
      </c>
      <c r="V16" s="164"/>
      <c r="W16" s="164"/>
      <c r="X16" s="164"/>
      <c r="Y16" s="164"/>
      <c r="Z16" s="164"/>
      <c r="AA16" s="164"/>
      <c r="AB16" s="167">
        <f>'3.Data'!M32</f>
        <v>1781.3333333333333</v>
      </c>
      <c r="AC16" s="167"/>
    </row>
    <row r="17" spans="13:29" x14ac:dyDescent="0.3">
      <c r="U17" s="164"/>
      <c r="V17" s="164"/>
      <c r="W17" s="164"/>
      <c r="X17" s="164"/>
      <c r="Y17" s="164"/>
      <c r="Z17" s="164"/>
      <c r="AA17" s="164"/>
      <c r="AB17" s="167"/>
      <c r="AC17" s="167"/>
    </row>
    <row r="18" spans="13:29" x14ac:dyDescent="0.3">
      <c r="U18" s="164" t="s">
        <v>18</v>
      </c>
      <c r="V18" s="164"/>
      <c r="W18" s="164"/>
      <c r="X18" s="164"/>
      <c r="Y18" s="164"/>
      <c r="Z18" s="164"/>
      <c r="AA18" s="164"/>
      <c r="AB18" s="166">
        <f>AB14*12*25</f>
        <v>467322.22222222219</v>
      </c>
      <c r="AC18" s="164"/>
    </row>
    <row r="19" spans="13:29" x14ac:dyDescent="0.3">
      <c r="U19" s="164"/>
      <c r="V19" s="164"/>
      <c r="W19" s="164"/>
      <c r="X19" s="164"/>
      <c r="Y19" s="164"/>
      <c r="Z19" s="164"/>
      <c r="AA19" s="164"/>
      <c r="AB19" s="164"/>
      <c r="AC19" s="164"/>
    </row>
    <row r="20" spans="13:29" x14ac:dyDescent="0.3">
      <c r="U20" s="164" t="s">
        <v>19</v>
      </c>
      <c r="V20" s="164"/>
      <c r="W20" s="164"/>
      <c r="X20" s="164"/>
      <c r="Y20" s="164"/>
      <c r="Z20" s="164"/>
      <c r="AA20" s="164"/>
      <c r="AB20" s="166">
        <f>AB16*12*25</f>
        <v>534400</v>
      </c>
      <c r="AC20" s="164"/>
    </row>
    <row r="21" spans="13:29" x14ac:dyDescent="0.3">
      <c r="U21" s="164"/>
      <c r="V21" s="164"/>
      <c r="W21" s="164"/>
      <c r="X21" s="164"/>
      <c r="Y21" s="164"/>
      <c r="Z21" s="164"/>
      <c r="AA21" s="164"/>
      <c r="AB21" s="164"/>
      <c r="AC21" s="164"/>
    </row>
    <row r="22" spans="13:29" ht="23.4" customHeight="1" x14ac:dyDescent="0.3">
      <c r="U22" s="164" t="s">
        <v>45</v>
      </c>
      <c r="V22" s="164"/>
      <c r="W22" s="164"/>
      <c r="X22" s="164"/>
      <c r="Y22" s="164"/>
      <c r="Z22" s="164"/>
      <c r="AA22" s="164"/>
      <c r="AB22" s="167">
        <f>GETPIVOTDATA("Sum of Total income ",'4.Pivot'!$Q$2)</f>
        <v>136808</v>
      </c>
      <c r="AC22" s="167"/>
    </row>
    <row r="23" spans="13:29" ht="23.4" customHeight="1" x14ac:dyDescent="0.3">
      <c r="U23" s="164"/>
      <c r="V23" s="164"/>
      <c r="W23" s="164"/>
      <c r="X23" s="164"/>
      <c r="Y23" s="164"/>
      <c r="Z23" s="164"/>
      <c r="AA23" s="164"/>
      <c r="AB23" s="167"/>
      <c r="AC23" s="167"/>
    </row>
    <row r="24" spans="13:29" ht="23.4" x14ac:dyDescent="0.45">
      <c r="U24" s="50"/>
      <c r="V24" s="164" t="s">
        <v>44</v>
      </c>
      <c r="W24" s="164"/>
      <c r="X24" s="164"/>
      <c r="Y24" s="164"/>
      <c r="Z24" s="164"/>
      <c r="AA24" s="50"/>
      <c r="AB24" s="170">
        <f>GETPIVOTDATA("Sum of Total income ",'4.Pivot'!$Q$2)-GETPIVOTDATA("Sum of Total expense",'4.Pivot'!$Q$2)</f>
        <v>88712</v>
      </c>
      <c r="AC24" s="170"/>
    </row>
    <row r="25" spans="13:29" ht="23.4" x14ac:dyDescent="0.45">
      <c r="U25" s="50"/>
      <c r="V25" s="164"/>
      <c r="W25" s="164"/>
      <c r="X25" s="164"/>
      <c r="Y25" s="164"/>
      <c r="Z25" s="164"/>
      <c r="AA25" s="50"/>
      <c r="AB25" s="170"/>
      <c r="AC25" s="170"/>
    </row>
    <row r="26" spans="13:29" ht="14.4" customHeight="1" x14ac:dyDescent="0.45">
      <c r="N26" s="169"/>
      <c r="O26" s="169"/>
      <c r="P26" s="169"/>
      <c r="Q26" s="169"/>
      <c r="R26" s="169"/>
      <c r="U26" s="50"/>
      <c r="V26" s="50"/>
      <c r="W26" s="50"/>
      <c r="X26" s="50"/>
      <c r="Y26" s="50"/>
      <c r="Z26" s="50"/>
      <c r="AA26" s="50"/>
      <c r="AB26" s="50"/>
      <c r="AC26" s="50"/>
    </row>
    <row r="27" spans="13:29" ht="14.4" customHeight="1" x14ac:dyDescent="0.45">
      <c r="N27" s="169"/>
      <c r="O27" s="169"/>
      <c r="P27" s="169"/>
      <c r="Q27" s="169"/>
      <c r="R27" s="169"/>
      <c r="U27" s="50"/>
      <c r="V27" s="50"/>
      <c r="W27" s="50"/>
      <c r="X27" s="50"/>
      <c r="Y27" s="50"/>
      <c r="Z27" s="50"/>
      <c r="AA27" s="50"/>
      <c r="AB27" s="50"/>
      <c r="AC27" s="50"/>
    </row>
    <row r="28" spans="13:29" ht="28.8" x14ac:dyDescent="0.55000000000000004">
      <c r="M28" s="12"/>
      <c r="O28" s="51"/>
      <c r="P28" s="53"/>
      <c r="Q28" s="52">
        <f t="shared" ref="Q28:Q32" si="0">P28</f>
        <v>0</v>
      </c>
      <c r="R28" s="12"/>
      <c r="U28" s="50"/>
      <c r="V28" s="50"/>
      <c r="W28" s="50"/>
      <c r="X28" s="50"/>
      <c r="Y28" s="50"/>
      <c r="Z28" s="50"/>
      <c r="AA28" s="50"/>
      <c r="AB28" s="50"/>
      <c r="AC28" s="50"/>
    </row>
    <row r="29" spans="13:29" ht="28.8" x14ac:dyDescent="0.55000000000000004">
      <c r="M29" s="12"/>
      <c r="O29" s="51"/>
      <c r="P29" s="53"/>
      <c r="Q29" s="52">
        <f t="shared" si="0"/>
        <v>0</v>
      </c>
      <c r="R29" s="12"/>
      <c r="U29" s="50"/>
      <c r="V29" s="50"/>
      <c r="W29" s="50"/>
      <c r="X29" s="50"/>
      <c r="Y29" s="50"/>
      <c r="Z29" s="50"/>
      <c r="AA29" s="50"/>
      <c r="AB29" s="50"/>
      <c r="AC29" s="50"/>
    </row>
    <row r="30" spans="13:29" ht="28.8" x14ac:dyDescent="0.55000000000000004">
      <c r="M30" s="12"/>
      <c r="O30" s="51"/>
      <c r="P30" s="53"/>
      <c r="Q30" s="52">
        <f t="shared" si="0"/>
        <v>0</v>
      </c>
      <c r="R30" s="12"/>
      <c r="U30" s="50"/>
      <c r="V30" s="50"/>
      <c r="W30" s="50"/>
      <c r="X30" s="50"/>
      <c r="Y30" s="50"/>
      <c r="Z30" s="50"/>
      <c r="AA30" s="50"/>
      <c r="AB30" s="50"/>
      <c r="AC30" s="50"/>
    </row>
    <row r="31" spans="13:29" ht="28.8" x14ac:dyDescent="0.55000000000000004">
      <c r="M31" s="12"/>
      <c r="O31" s="51"/>
      <c r="P31" s="53"/>
      <c r="Q31" s="52">
        <f t="shared" si="0"/>
        <v>0</v>
      </c>
      <c r="R31" s="12"/>
      <c r="U31" s="50"/>
      <c r="V31" s="50"/>
      <c r="W31" s="50"/>
      <c r="X31" s="50"/>
      <c r="Y31" s="50"/>
      <c r="Z31" s="50"/>
      <c r="AA31" s="50"/>
      <c r="AB31" s="50"/>
      <c r="AC31" s="50"/>
    </row>
    <row r="32" spans="13:29" ht="28.8" x14ac:dyDescent="0.55000000000000004">
      <c r="M32" s="12"/>
      <c r="O32" s="51"/>
      <c r="P32" s="53"/>
      <c r="Q32" s="52">
        <f t="shared" si="0"/>
        <v>0</v>
      </c>
      <c r="R32" s="12"/>
      <c r="U32" s="50"/>
      <c r="V32" s="50"/>
      <c r="W32" s="50"/>
      <c r="X32" s="50"/>
      <c r="Y32" s="50"/>
      <c r="Z32" s="50"/>
      <c r="AA32" s="50"/>
      <c r="AB32" s="50"/>
      <c r="AC32" s="50"/>
    </row>
    <row r="33" spans="14:29" ht="23.4" x14ac:dyDescent="0.45">
      <c r="U33" s="50"/>
      <c r="V33" s="50"/>
      <c r="W33" s="50"/>
      <c r="X33" s="50"/>
      <c r="Y33" s="50"/>
      <c r="Z33" s="50"/>
      <c r="AA33" s="50"/>
      <c r="AB33" s="50"/>
      <c r="AC33" s="50"/>
    </row>
    <row r="34" spans="14:29" ht="23.4" x14ac:dyDescent="0.45">
      <c r="U34" s="50"/>
      <c r="V34" s="50"/>
      <c r="W34" s="50"/>
      <c r="X34" s="50"/>
      <c r="Y34" s="50"/>
      <c r="Z34" s="50"/>
      <c r="AA34" s="50"/>
      <c r="AB34" s="50"/>
      <c r="AC34" s="50"/>
    </row>
    <row r="36" spans="14:29" ht="14.4" customHeight="1" x14ac:dyDescent="0.3">
      <c r="N36" s="171" t="s">
        <v>31</v>
      </c>
      <c r="O36" s="171"/>
      <c r="P36" s="171"/>
      <c r="Q36" s="171"/>
      <c r="R36" s="171"/>
      <c r="S36" s="171"/>
      <c r="T36" s="13"/>
    </row>
    <row r="37" spans="14:29" ht="14.4" customHeight="1" x14ac:dyDescent="0.3">
      <c r="N37" s="171"/>
      <c r="O37" s="171"/>
      <c r="P37" s="171"/>
      <c r="Q37" s="171"/>
      <c r="R37" s="171"/>
      <c r="S37" s="171"/>
      <c r="T37" s="13"/>
    </row>
    <row r="38" spans="14:29" ht="18.600000000000001" customHeight="1" x14ac:dyDescent="0.3">
      <c r="P38" s="168"/>
      <c r="S38" s="168"/>
      <c r="T38" s="168"/>
    </row>
    <row r="39" spans="14:29" ht="14.4" customHeight="1" x14ac:dyDescent="0.3">
      <c r="P39" s="168"/>
      <c r="S39" s="168"/>
      <c r="T39" s="168"/>
    </row>
    <row r="40" spans="14:29" ht="18" customHeight="1" x14ac:dyDescent="0.3"/>
    <row r="42" spans="14:29" x14ac:dyDescent="0.3">
      <c r="W42" s="12"/>
      <c r="X42" s="12"/>
      <c r="Y42" s="12"/>
    </row>
    <row r="43" spans="14:29" x14ac:dyDescent="0.3">
      <c r="P43" s="168"/>
      <c r="S43" s="168"/>
      <c r="T43" s="168"/>
      <c r="W43" s="12"/>
      <c r="X43" s="12"/>
      <c r="Y43" s="12"/>
    </row>
    <row r="44" spans="14:29" x14ac:dyDescent="0.3">
      <c r="P44" s="168"/>
      <c r="S44" s="168"/>
      <c r="T44" s="168"/>
      <c r="W44" s="12"/>
      <c r="X44" s="54"/>
      <c r="Y44" s="12"/>
    </row>
    <row r="45" spans="14:29" x14ac:dyDescent="0.3">
      <c r="W45" s="12"/>
      <c r="X45" s="12"/>
      <c r="Y45" s="12"/>
    </row>
    <row r="46" spans="14:29" x14ac:dyDescent="0.3">
      <c r="W46" s="12"/>
      <c r="X46" s="12"/>
      <c r="Y46" s="12"/>
    </row>
    <row r="47" spans="14:29" x14ac:dyDescent="0.3">
      <c r="W47" s="12"/>
      <c r="X47" s="12"/>
      <c r="Y47" s="12"/>
    </row>
    <row r="48" spans="14:29" x14ac:dyDescent="0.3">
      <c r="W48" s="12"/>
      <c r="X48" s="12"/>
      <c r="Y48" s="12"/>
    </row>
  </sheetData>
  <sortState xmlns:xlrd2="http://schemas.microsoft.com/office/spreadsheetml/2017/richdata2" ref="N28:R32">
    <sortCondition sortBy="icon" ref="N28:N32"/>
  </sortState>
  <mergeCells count="23">
    <mergeCell ref="U22:AA23"/>
    <mergeCell ref="AB22:AC23"/>
    <mergeCell ref="P43:P44"/>
    <mergeCell ref="S43:T44"/>
    <mergeCell ref="N26:R27"/>
    <mergeCell ref="V24:Z25"/>
    <mergeCell ref="AB24:AC25"/>
    <mergeCell ref="N36:S37"/>
    <mergeCell ref="P38:P39"/>
    <mergeCell ref="S38:T39"/>
    <mergeCell ref="U9:AC9"/>
    <mergeCell ref="U10:AA11"/>
    <mergeCell ref="AB10:AC11"/>
    <mergeCell ref="AB20:AC21"/>
    <mergeCell ref="U16:AA17"/>
    <mergeCell ref="AB16:AC17"/>
    <mergeCell ref="U12:AA13"/>
    <mergeCell ref="AB12:AC13"/>
    <mergeCell ref="U14:AA15"/>
    <mergeCell ref="AB14:AC15"/>
    <mergeCell ref="U18:AA19"/>
    <mergeCell ref="U20:AA21"/>
    <mergeCell ref="AB18:AC19"/>
  </mergeCells>
  <conditionalFormatting sqref="Q28:Q32">
    <cfRule type="dataBar" priority="2">
      <dataBar showValue="0">
        <cfvo type="min"/>
        <cfvo type="max"/>
        <color rgb="FF008080"/>
      </dataBar>
      <extLst>
        <ext xmlns:x14="http://schemas.microsoft.com/office/spreadsheetml/2009/9/main" uri="{B025F937-C7B1-47D3-B67F-A62EFF666E3E}">
          <x14:id>{B8B61373-4D06-46AB-A6D3-0017546F989A}</x14:id>
        </ext>
      </extLst>
    </cfRule>
  </conditionalFormatting>
  <conditionalFormatting sqref="R28:R32">
    <cfRule type="dataBar" priority="4">
      <dataBar showValue="0">
        <cfvo type="min"/>
        <cfvo type="max"/>
        <color rgb="FF008080"/>
      </dataBar>
      <extLst>
        <ext xmlns:x14="http://schemas.microsoft.com/office/spreadsheetml/2009/9/main" uri="{B025F937-C7B1-47D3-B67F-A62EFF666E3E}">
          <x14:id>{3E98CBC4-EFA9-4A52-B32D-D0F167823755}</x14:id>
        </ext>
      </extLst>
    </cfRule>
  </conditionalFormatting>
  <conditionalFormatting sqref="AB24:AC25">
    <cfRule type="iconSet" priority="1">
      <iconSet iconSet="3Arrows">
        <cfvo type="percent" val="0"/>
        <cfvo type="num" val="0"/>
        <cfvo type="num" val="500"/>
      </iconSe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8B61373-4D06-46AB-A6D3-0017546F989A}">
            <x14:dataBar minLength="0" maxLength="100" gradient="0">
              <x14:cfvo type="autoMin"/>
              <x14:cfvo type="autoMax"/>
              <x14:negativeFillColor rgb="FFFF0000"/>
              <x14:axisColor rgb="FF000000"/>
            </x14:dataBar>
          </x14:cfRule>
          <xm:sqref>Q28:Q32</xm:sqref>
        </x14:conditionalFormatting>
        <x14:conditionalFormatting xmlns:xm="http://schemas.microsoft.com/office/excel/2006/main">
          <x14:cfRule type="dataBar" id="{3E98CBC4-EFA9-4A52-B32D-D0F167823755}">
            <x14:dataBar minLength="0" maxLength="100" gradient="0">
              <x14:cfvo type="autoMin"/>
              <x14:cfvo type="autoMax"/>
              <x14:negativeFillColor rgb="FFFF0000"/>
              <x14:axisColor rgb="FF000000"/>
            </x14:dataBar>
          </x14:cfRule>
          <xm:sqref>R28:R32</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j b V e 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I 2 1 X 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t V 5 X K I p H u A 4 A A A A R A A A A E w A c A E Z v c m 1 1 b G F z L 1 N l Y 3 R p b 2 4 x L m 0 g o h g A K K A U A A A A A A A A A A A A A A A A A A A A A A A A A A A A K 0 5 N L s n M z 1 M I h t C G 1 g B Q S w E C L Q A U A A I A C A C N t V 5 X t K 7 m D q I A A A D 2 A A A A E g A A A A A A A A A A A A A A A A A A A A A A Q 2 9 u Z m l n L 1 B h Y 2 t h Z 2 U u e G 1 s U E s B A i 0 A F A A C A A g A j b V e V w / K 6 a u k A A A A 6 Q A A A B M A A A A A A A A A A A A A A A A A 7 g A A A F t D b 2 5 0 Z W 5 0 X 1 R 5 c G V z X S 5 4 b W x Q S w E C L Q A U A A I A C A C N t V 5 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G x 8 b W W C Y g U 6 G D 0 D D p Y 7 6 N g A A A A A C A A A A A A A Q Z g A A A A E A A C A A A A C c J s w B B Z m I E A O E 0 9 8 p W f p p r Y I w I i 1 a E Z y y T f e V K S g / r w A A A A A O g A A A A A I A A C A A A A A T W 7 q n H q g S y 5 / U e b f p Q s N 8 b 6 X Z M / e F y P a K Y s a w 5 C t E S l A A A A A R w + L O i 0 2 Q A 0 1 2 f K f b P o S 7 8 r 2 2 O R K z n E l 8 J 6 N 1 A / k m r A x U f 2 3 P Y G z y 1 Y H Z H b m J 2 s M J 3 c Q n a J 4 O W M B L D 2 x J S K J L U U y G z J v o w e L W h y t m 7 u K s E E A A A A C k N E t s O O C K 6 N 1 1 / T b J s A p F 1 l 4 H U y x y Z e N r w 6 o 9 L x N v 4 D w z E 3 s w + s d o I Z U a G L k o J T f R O 6 5 g z Q y B 0 G 1 L v b C 4 Q M e 6 < / D a t a M a s h u p > 
</file>

<file path=customXml/itemProps1.xml><?xml version="1.0" encoding="utf-8"?>
<ds:datastoreItem xmlns:ds="http://schemas.openxmlformats.org/officeDocument/2006/customXml" ds:itemID="{4F1A40C3-95DA-41B6-A5DA-960ADB319C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1.Intro</vt:lpstr>
      <vt:lpstr>2.Balance_Sheet</vt:lpstr>
      <vt:lpstr>3.Data</vt:lpstr>
      <vt:lpstr>4.Pivot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dc:creator>
  <cp:lastModifiedBy>Ho Khang</cp:lastModifiedBy>
  <dcterms:created xsi:type="dcterms:W3CDTF">2022-09-28T05:14:52Z</dcterms:created>
  <dcterms:modified xsi:type="dcterms:W3CDTF">2024-08-24T05:09:18Z</dcterms:modified>
</cp:coreProperties>
</file>