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NOVO\OneDrive\Desktop\Data analytics\Portfolio\Excel\"/>
    </mc:Choice>
  </mc:AlternateContent>
  <xr:revisionPtr revIDLastSave="0" documentId="13_ncr:1_{5A494849-F5FC-461D-AB14-207D93A0C4DE}" xr6:coauthVersionLast="47" xr6:coauthVersionMax="47" xr10:uidLastSave="{00000000-0000-0000-0000-000000000000}"/>
  <bookViews>
    <workbookView xWindow="-108" yWindow="-108" windowWidth="23256" windowHeight="12456" tabRatio="767" xr2:uid="{C3E30618-D12D-402E-A730-7C8CF64F4D84}"/>
  </bookViews>
  <sheets>
    <sheet name="T_Tests" sheetId="1" r:id="rId1"/>
    <sheet name="Z_Test" sheetId="2" r:id="rId2"/>
    <sheet name="ANOVA" sheetId="3" r:id="rId3"/>
    <sheet name="Goodness_Chi_Square" sheetId="4" r:id="rId4"/>
    <sheet name="Non_Paramatric" sheetId="5" r:id="rId5"/>
  </sheets>
  <definedNames>
    <definedName name="_xlchart.v1.0" hidden="1">T_Tests!$AD$10:$AD$97</definedName>
    <definedName name="_xlchart.v1.1" hidden="1">T_Tests!$O$8</definedName>
    <definedName name="_xlchart.v1.10" hidden="1">ANOVA!$D$11</definedName>
    <definedName name="_xlchart.v1.11" hidden="1">ANOVA!$D$12:$D$41</definedName>
    <definedName name="_xlchart.v1.2" hidden="1">T_Tests!$O$9:$O$306</definedName>
    <definedName name="_xlchart.v1.3" hidden="1">T_Tests!$N$9:$N$162</definedName>
    <definedName name="_xlchart.v1.4" hidden="1">T_Tests!$C$10</definedName>
    <definedName name="_xlchart.v1.5" hidden="1">T_Tests!$C$11:$C$60</definedName>
    <definedName name="_xlchart.v1.6" hidden="1">ANOVA!$B$11</definedName>
    <definedName name="_xlchart.v1.7" hidden="1">ANOVA!$B$12:$B$41</definedName>
    <definedName name="_xlchart.v1.8" hidden="1">ANOVA!$C$11</definedName>
    <definedName name="_xlchart.v1.9" hidden="1">ANOVA!$C$12:$C$41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2" l="1"/>
  <c r="AG60" i="1"/>
  <c r="R53" i="5"/>
  <c r="R45" i="5"/>
  <c r="R52" i="5" s="1"/>
  <c r="Q19" i="5"/>
  <c r="Q20" i="5"/>
  <c r="Q21" i="5"/>
  <c r="Q22" i="5"/>
  <c r="Q23" i="5"/>
  <c r="Q24" i="5"/>
  <c r="Q25" i="5"/>
  <c r="Q31" i="5" s="1"/>
  <c r="Q26" i="5"/>
  <c r="Q27" i="5"/>
  <c r="Q18" i="5"/>
  <c r="R49" i="5"/>
  <c r="R48" i="5"/>
  <c r="Q37" i="5"/>
  <c r="G35" i="5" l="1"/>
  <c r="G36" i="5"/>
  <c r="G37" i="5"/>
  <c r="G38" i="5"/>
  <c r="G34" i="5"/>
  <c r="E35" i="5"/>
  <c r="E36" i="5"/>
  <c r="E37" i="5"/>
  <c r="E38" i="5"/>
  <c r="E34" i="5"/>
  <c r="E45" i="5" s="1"/>
  <c r="E46" i="5" s="1"/>
  <c r="E47" i="5" s="1"/>
  <c r="C35" i="5"/>
  <c r="C36" i="5"/>
  <c r="C37" i="5"/>
  <c r="C38" i="5"/>
  <c r="C34" i="5"/>
  <c r="C44" i="5"/>
  <c r="C42" i="5"/>
  <c r="C28" i="5"/>
  <c r="D26" i="5"/>
  <c r="G45" i="5" l="1"/>
  <c r="G46" i="5" s="1"/>
  <c r="G47" i="5" s="1"/>
  <c r="C45" i="5"/>
  <c r="C46" i="5" s="1"/>
  <c r="C47" i="5" s="1"/>
  <c r="C41" i="5"/>
  <c r="C43" i="5" s="1"/>
  <c r="C50" i="5" l="1"/>
  <c r="C52" i="5" s="1"/>
  <c r="C53" i="5" s="1"/>
  <c r="W47" i="4" l="1"/>
  <c r="W43" i="4"/>
  <c r="W44" i="4"/>
  <c r="V30" i="4"/>
  <c r="W30" i="4"/>
  <c r="X30" i="4"/>
  <c r="Y30" i="4"/>
  <c r="Z30" i="4"/>
  <c r="V31" i="4"/>
  <c r="W31" i="4"/>
  <c r="X31" i="4"/>
  <c r="Y31" i="4"/>
  <c r="Z31" i="4"/>
  <c r="V32" i="4"/>
  <c r="W32" i="4"/>
  <c r="X32" i="4"/>
  <c r="Y32" i="4"/>
  <c r="Z32" i="4"/>
  <c r="W29" i="4"/>
  <c r="X29" i="4"/>
  <c r="Y29" i="4"/>
  <c r="Z29" i="4"/>
  <c r="V29" i="4"/>
  <c r="V18" i="4"/>
  <c r="W18" i="4"/>
  <c r="X18" i="4"/>
  <c r="Y18" i="4"/>
  <c r="Z18" i="4"/>
  <c r="V19" i="4"/>
  <c r="W19" i="4"/>
  <c r="X19" i="4"/>
  <c r="Y19" i="4"/>
  <c r="Z19" i="4"/>
  <c r="V20" i="4"/>
  <c r="W20" i="4"/>
  <c r="X20" i="4"/>
  <c r="Y20" i="4"/>
  <c r="Z20" i="4"/>
  <c r="W17" i="4"/>
  <c r="X17" i="4"/>
  <c r="Y17" i="4"/>
  <c r="Z17" i="4"/>
  <c r="V17" i="4"/>
  <c r="G35" i="4"/>
  <c r="G36" i="4" s="1"/>
  <c r="F13" i="4"/>
  <c r="G13" i="4" s="1"/>
  <c r="F17" i="4"/>
  <c r="G17" i="4" s="1"/>
  <c r="F16" i="4"/>
  <c r="G16" i="4" s="1"/>
  <c r="F15" i="4"/>
  <c r="G15" i="4" s="1"/>
  <c r="F14" i="4"/>
  <c r="G14" i="4" s="1"/>
  <c r="G40" i="4" s="1"/>
  <c r="G41" i="4" s="1"/>
  <c r="C19" i="4"/>
  <c r="J73" i="3" l="1"/>
  <c r="J74" i="3"/>
  <c r="J72" i="3"/>
  <c r="I73" i="3"/>
  <c r="I74" i="3"/>
  <c r="I72" i="3"/>
  <c r="H73" i="3"/>
  <c r="H74" i="3"/>
  <c r="H72" i="3"/>
  <c r="G74" i="3"/>
  <c r="G73" i="3"/>
  <c r="G72" i="3"/>
  <c r="E74" i="3"/>
  <c r="E73" i="3"/>
  <c r="F73" i="3"/>
  <c r="F74" i="3"/>
  <c r="F72" i="3"/>
  <c r="E72" i="3"/>
  <c r="I28" i="3" l="1"/>
  <c r="I27" i="3"/>
  <c r="I26" i="3"/>
  <c r="X77" i="3" l="1"/>
  <c r="X75" i="3"/>
  <c r="X65" i="3"/>
  <c r="X64" i="3"/>
  <c r="X66" i="3" s="1"/>
  <c r="X63" i="3"/>
  <c r="X69" i="3" l="1"/>
  <c r="X68" i="3"/>
  <c r="X76" i="3"/>
  <c r="X78" i="3" s="1"/>
  <c r="X80" i="3" l="1"/>
  <c r="X81" i="3"/>
  <c r="H40" i="2" l="1"/>
  <c r="I15" i="2"/>
  <c r="J15" i="2" s="1"/>
  <c r="I14" i="2"/>
  <c r="H36" i="2" s="1"/>
  <c r="C180" i="2"/>
  <c r="D180" i="2"/>
  <c r="D181" i="2" s="1"/>
  <c r="H15" i="2"/>
  <c r="H14" i="2"/>
  <c r="J14" i="2" l="1"/>
  <c r="H38" i="2" s="1"/>
  <c r="H41" i="2" s="1"/>
  <c r="AG65" i="1"/>
  <c r="AG64" i="1"/>
  <c r="AG62" i="1"/>
  <c r="AG61" i="1"/>
  <c r="AG59" i="1"/>
  <c r="AD19" i="1" l="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11" i="1"/>
  <c r="AD12" i="1"/>
  <c r="AD13" i="1"/>
  <c r="AD14" i="1"/>
  <c r="AD15" i="1"/>
  <c r="AD16" i="1"/>
  <c r="AD17" i="1"/>
  <c r="AD18" i="1"/>
  <c r="AD10" i="1"/>
  <c r="T29" i="1"/>
  <c r="T28" i="1"/>
  <c r="F57" i="1"/>
  <c r="F58" i="1" s="1"/>
  <c r="F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D9" authorId="0" shapeId="0" xr:uid="{5697D931-B5BD-431E-B73F-A4C9D01B6BF1}">
      <text>
        <r>
          <rPr>
            <sz val="9"/>
            <color indexed="81"/>
            <rFont val="Tahoma"/>
            <family val="2"/>
          </rPr>
          <t xml:space="preserve">Diff_processing_time = Post-Implement - Pre_implement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A41" authorId="0" shapeId="0" xr:uid="{7B303664-CFC7-47B6-A4EF-55CF404B2692}">
      <text>
        <r>
          <rPr>
            <b/>
            <sz val="9"/>
            <color indexed="81"/>
            <rFont val="Tahoma"/>
            <family val="2"/>
          </rPr>
          <t>Kelvin:</t>
        </r>
        <r>
          <rPr>
            <sz val="9"/>
            <color indexed="81"/>
            <rFont val="Tahoma"/>
            <family val="2"/>
          </rPr>
          <t xml:space="preserve">
This is for the Plant variety hypotheses</t>
        </r>
      </text>
    </comment>
    <comment ref="AA42" authorId="0" shapeId="0" xr:uid="{5C0813D0-5BBE-4EDB-A1BE-D6FE3928840D}">
      <text>
        <r>
          <rPr>
            <b/>
            <sz val="9"/>
            <color indexed="81"/>
            <rFont val="Tahoma"/>
            <family val="2"/>
          </rPr>
          <t>Kelvin:</t>
        </r>
        <r>
          <rPr>
            <sz val="9"/>
            <color indexed="81"/>
            <rFont val="Tahoma"/>
            <family val="2"/>
          </rPr>
          <t xml:space="preserve">
This is for the Fertilizer hypotheses
</t>
        </r>
      </text>
    </comment>
  </commentList>
</comments>
</file>

<file path=xl/sharedStrings.xml><?xml version="1.0" encoding="utf-8"?>
<sst xmlns="http://schemas.openxmlformats.org/spreadsheetml/2006/main" count="787" uniqueCount="332">
  <si>
    <t>Car Name</t>
  </si>
  <si>
    <t>MPG</t>
  </si>
  <si>
    <t>Car Model A1</t>
  </si>
  <si>
    <t>Car Model A2</t>
  </si>
  <si>
    <t>Car Model A3</t>
  </si>
  <si>
    <t>Car Model A4</t>
  </si>
  <si>
    <t>Car Model A5</t>
  </si>
  <si>
    <t>Car Model A6</t>
  </si>
  <si>
    <t>Car Model A7</t>
  </si>
  <si>
    <t>Car Model A8</t>
  </si>
  <si>
    <t>Car Model A9</t>
  </si>
  <si>
    <t>Car Model A10</t>
  </si>
  <si>
    <t>Car Model B1</t>
  </si>
  <si>
    <t>Car Model B2</t>
  </si>
  <si>
    <t>Car Model B3</t>
  </si>
  <si>
    <t>Car Model B4</t>
  </si>
  <si>
    <t>Car Model B5</t>
  </si>
  <si>
    <t>Car Model B6</t>
  </si>
  <si>
    <t>Car Model B7</t>
  </si>
  <si>
    <t>Car Model B8</t>
  </si>
  <si>
    <t>Car Model B9</t>
  </si>
  <si>
    <t>Car Model B10</t>
  </si>
  <si>
    <t>Car Model C1</t>
  </si>
  <si>
    <t>Car Model C2</t>
  </si>
  <si>
    <t>Car Model C3</t>
  </si>
  <si>
    <t>Car Model C4</t>
  </si>
  <si>
    <t>Car Model C5</t>
  </si>
  <si>
    <t>Car Model C6</t>
  </si>
  <si>
    <t>Car Model C7</t>
  </si>
  <si>
    <t>Car Model C8</t>
  </si>
  <si>
    <t>Car Model C9</t>
  </si>
  <si>
    <t>Car Model C10</t>
  </si>
  <si>
    <t>Car Model D1</t>
  </si>
  <si>
    <t>Car Model D2</t>
  </si>
  <si>
    <t>Car Model D3</t>
  </si>
  <si>
    <t>Car Model D4</t>
  </si>
  <si>
    <t>Car Model D5</t>
  </si>
  <si>
    <t>Car Model D6</t>
  </si>
  <si>
    <t>Car Model D7</t>
  </si>
  <si>
    <t>Car Model D8</t>
  </si>
  <si>
    <t>Car Model D9</t>
  </si>
  <si>
    <t>Car Model D10</t>
  </si>
  <si>
    <t>Car Model E1</t>
  </si>
  <si>
    <t>Car Model E2</t>
  </si>
  <si>
    <t>Car Model E3</t>
  </si>
  <si>
    <t>Car Model E4</t>
  </si>
  <si>
    <t>Car Model E5</t>
  </si>
  <si>
    <t>Car Model E6</t>
  </si>
  <si>
    <t>Car Model E7</t>
  </si>
  <si>
    <t>Car Model E8</t>
  </si>
  <si>
    <t>Car Model E9</t>
  </si>
  <si>
    <t>Car Model E10</t>
  </si>
  <si>
    <t xml:space="preserve">1. Hypotheses </t>
  </si>
  <si>
    <t>Mean</t>
  </si>
  <si>
    <t>Standard Error</t>
  </si>
  <si>
    <t>Median</t>
  </si>
  <si>
    <t>Mode</t>
  </si>
  <si>
    <t>Standard Deviation</t>
  </si>
  <si>
    <t>Sample Variance</t>
  </si>
  <si>
    <t>Kurtosis</t>
  </si>
  <si>
    <t>Skewness</t>
  </si>
  <si>
    <t>Range</t>
  </si>
  <si>
    <t>Minimum</t>
  </si>
  <si>
    <t>Maximum</t>
  </si>
  <si>
    <t>Sum</t>
  </si>
  <si>
    <t>Count</t>
  </si>
  <si>
    <t xml:space="preserve">3. Statistics </t>
  </si>
  <si>
    <t>2. Alpha level</t>
  </si>
  <si>
    <t xml:space="preserve">T Critical value </t>
  </si>
  <si>
    <t>T Statistics</t>
  </si>
  <si>
    <t xml:space="preserve">P value </t>
  </si>
  <si>
    <t xml:space="preserve">4. Decision rule: Reject null hypotheses (Ho) if T Stat &gt;  T Critical Value </t>
  </si>
  <si>
    <t>5. Conclusion</t>
  </si>
  <si>
    <t xml:space="preserve">Normal distribution assumption is satisfied </t>
  </si>
  <si>
    <r>
      <t>Ho: mean fuel efficiency =</t>
    </r>
    <r>
      <rPr>
        <sz val="11"/>
        <color theme="1"/>
        <rFont val="Calibri"/>
        <family val="2"/>
      </rPr>
      <t xml:space="preserve"> 25</t>
    </r>
  </si>
  <si>
    <t>H1: mean fuel efficiency ≠ 25</t>
  </si>
  <si>
    <t>We fail to reject the null hypotheses (Ho) because T Stat 1.35 &lt; Tcv 2</t>
  </si>
  <si>
    <t>The P value is &gt; 0.05, we don’t have enough evidence to conclude that the mean fuel efficiency of the new car model is different from 25 MPG</t>
  </si>
  <si>
    <t>Smoking</t>
  </si>
  <si>
    <t>Non-smoking</t>
  </si>
  <si>
    <t xml:space="preserve">The data populations roughly represents normality; however, two data samples are large so I proceed the T test </t>
  </si>
  <si>
    <t xml:space="preserve">Smoking varriance </t>
  </si>
  <si>
    <t xml:space="preserve">Non-smoking variance </t>
  </si>
  <si>
    <t>1. Calculate variances</t>
  </si>
  <si>
    <t>2. F test to compare variances</t>
  </si>
  <si>
    <t>F-Test Two-Sample for Variances</t>
  </si>
  <si>
    <t>Variance</t>
  </si>
  <si>
    <t>Observations</t>
  </si>
  <si>
    <t>df</t>
  </si>
  <si>
    <t>F</t>
  </si>
  <si>
    <t>P(F&lt;=f) one-tail</t>
  </si>
  <si>
    <t>F Critical one-tail</t>
  </si>
  <si>
    <t>F test conclusion: both population have uneuqual variances, I proceed with T test (unequal variances)</t>
  </si>
  <si>
    <t>t-Test: Two-Sample Assuming Unequal Variances</t>
  </si>
  <si>
    <t>Hypothesized Mean Difference</t>
  </si>
  <si>
    <t>t Stat</t>
  </si>
  <si>
    <t>P(T&lt;=t) one-tail</t>
  </si>
  <si>
    <t>t Critical one-tail</t>
  </si>
  <si>
    <t>P(T&lt;=t) two-tail</t>
  </si>
  <si>
    <t>t Critical two-tail</t>
  </si>
  <si>
    <t>3. Hypotheses</t>
  </si>
  <si>
    <t>Ho: mean sleep latency (smoke) &lt;= mean sleep latency (non-smoke)</t>
  </si>
  <si>
    <t>H1: mean sleep latency (smoke) &gt; mean sleep latency (non-smoke)</t>
  </si>
  <si>
    <t xml:space="preserve">4. T test </t>
  </si>
  <si>
    <t xml:space="preserve">Decision rule: reject the null hypotheses (Ho) if the T stat &gt; T Critical value </t>
  </si>
  <si>
    <t>5.Conclusion</t>
  </si>
  <si>
    <t>I reject the null hypotheses (Ho) because the calculated t statistic (5.42) exceeds the critical value</t>
  </si>
  <si>
    <t>(1.65) at a significance level of 0.05, and the p-value is significantly smaller than the significance level. This suggests</t>
  </si>
  <si>
    <t>that there is strong evidence to conclude that the mean sleep latency for smokers is greater than the mean sleep</t>
  </si>
  <si>
    <t>latency for non-smokers. Therefore, we support the alternative hypothesis, indicating that smoking may be</t>
  </si>
  <si>
    <t>associated with longer sleep latency compared to non-smokers.</t>
  </si>
  <si>
    <t>OrderId</t>
  </si>
  <si>
    <t>Pre_implement</t>
  </si>
  <si>
    <t>Post-implement</t>
  </si>
  <si>
    <t>Diff_Processing_time</t>
  </si>
  <si>
    <t xml:space="preserve">H1: mean diff in processing time &lt; 0 </t>
  </si>
  <si>
    <t>Ho: mean diff in processing time &gt;= 0</t>
  </si>
  <si>
    <t>1. Hypotheses</t>
  </si>
  <si>
    <t xml:space="preserve">The normal distribution condition for mean difference is met </t>
  </si>
  <si>
    <t xml:space="preserve">Data are independent from each other </t>
  </si>
  <si>
    <t xml:space="preserve">Random sampling </t>
  </si>
  <si>
    <t xml:space="preserve">Check Assumptions </t>
  </si>
  <si>
    <t>3. T stat</t>
  </si>
  <si>
    <t>t-Test: Paired Two Sample for Means</t>
  </si>
  <si>
    <t>Pearson Correlation</t>
  </si>
  <si>
    <t>mean diff = mean post - mean pre</t>
  </si>
  <si>
    <t>4. Conclusion</t>
  </si>
  <si>
    <t xml:space="preserve">The data suggessts that the new software helps reduce order processing time </t>
  </si>
  <si>
    <t xml:space="preserve">5. Interval estimation </t>
  </si>
  <si>
    <t>mean diff</t>
  </si>
  <si>
    <t>T critical 5%</t>
  </si>
  <si>
    <t>Standard deviation diff</t>
  </si>
  <si>
    <t>n diff</t>
  </si>
  <si>
    <t xml:space="preserve">Lower interval </t>
  </si>
  <si>
    <t xml:space="preserve">Upper interval </t>
  </si>
  <si>
    <t>The intervals agree with the conclusion that processing time is reduced (-0.463, -0.77)</t>
  </si>
  <si>
    <t>Customer ID</t>
  </si>
  <si>
    <t>Segment</t>
  </si>
  <si>
    <t>Clicked (Yes/No)</t>
  </si>
  <si>
    <t>Existing Customer</t>
  </si>
  <si>
    <t>Yes</t>
  </si>
  <si>
    <t>No</t>
  </si>
  <si>
    <t>New Customer</t>
  </si>
  <si>
    <t xml:space="preserve">1. I will aggregate the data </t>
  </si>
  <si>
    <t xml:space="preserve">Segment </t>
  </si>
  <si>
    <t>Sample size</t>
  </si>
  <si>
    <t>Clicked</t>
  </si>
  <si>
    <t>Existing customer</t>
  </si>
  <si>
    <t>New customer</t>
  </si>
  <si>
    <t>Total</t>
  </si>
  <si>
    <t>Proportions</t>
  </si>
  <si>
    <t>2. Hypotheses</t>
  </si>
  <si>
    <t>H0​: p1=p2 ​ (The click-through rates for both segments are the same)</t>
  </si>
  <si>
    <t>H1​: p1≠p2(The click-through rates for both segments are different)</t>
  </si>
  <si>
    <t>3. Calculate statistics</t>
  </si>
  <si>
    <t xml:space="preserve">The formulars that I will use </t>
  </si>
  <si>
    <t>Pooled proportion</t>
  </si>
  <si>
    <t>Standard error</t>
  </si>
  <si>
    <t>Z Stat</t>
  </si>
  <si>
    <t>Z critical value (95%)</t>
  </si>
  <si>
    <t xml:space="preserve">Decision rule: reject the null hypotheses (Ho) if the Z Stat &gt; Z Critical value </t>
  </si>
  <si>
    <t>P value</t>
  </si>
  <si>
    <t xml:space="preserve"> Fail to reject the null hypotheses because Z stat (1.22) &lt; Z Critical value (1.96), P value &gt; 0.05</t>
  </si>
  <si>
    <t>There is not enough evidence to suggest that the click-through rates for existing customers and new customers are significantly different. The test results indicate that the difference in click-through rates observed (0.56 for existing customers and 0.46 for new customers) could be due to random variation rather than a true difference in the underlying proportions.</t>
  </si>
  <si>
    <t>In other words, this means that the marketing campaign's effectiveness in generating clicks does not appear to differ significantly between existing customers and new customers based on the data I have analyzed.</t>
  </si>
  <si>
    <t>Height of Plants Treated with Fertilizer (cm)</t>
  </si>
  <si>
    <t>No Fertilizer (Control)</t>
  </si>
  <si>
    <t>Brand X</t>
  </si>
  <si>
    <t>Brand Y</t>
  </si>
  <si>
    <t>Beefsteak</t>
  </si>
  <si>
    <t>Campari</t>
  </si>
  <si>
    <t>Pear</t>
  </si>
  <si>
    <t>Plum</t>
  </si>
  <si>
    <t>Grape</t>
  </si>
  <si>
    <t>Cherry</t>
  </si>
  <si>
    <t>Heirloom</t>
  </si>
  <si>
    <t>1st Hypotheses</t>
  </si>
  <si>
    <t>H1: At least one of the means of fertilizer is different</t>
  </si>
  <si>
    <t>2nd Hypotheses</t>
  </si>
  <si>
    <t>H1: One of the mean height of variety is different</t>
  </si>
  <si>
    <t>Calculations</t>
  </si>
  <si>
    <t>Anova: Two-Factor Without Replication</t>
  </si>
  <si>
    <t>SUMMARY</t>
  </si>
  <si>
    <t>Average</t>
  </si>
  <si>
    <t>ANOVA</t>
  </si>
  <si>
    <t>Source of Variation</t>
  </si>
  <si>
    <t>SS</t>
  </si>
  <si>
    <t>MS</t>
  </si>
  <si>
    <t>P-value</t>
  </si>
  <si>
    <t>F crit</t>
  </si>
  <si>
    <t>Rows</t>
  </si>
  <si>
    <t>Columns</t>
  </si>
  <si>
    <t>Error</t>
  </si>
  <si>
    <t>Rejection decision: reject if F &gt; F cv</t>
  </si>
  <si>
    <t>Conclusion</t>
  </si>
  <si>
    <t>Given our F stat and F cv, we dint have enough evidence to reject both Ho at our 5% alpha</t>
  </si>
  <si>
    <t xml:space="preserve">Our evidence is weak against the null </t>
  </si>
  <si>
    <t>Construct CI to see the diff</t>
  </si>
  <si>
    <t>95% CI for mean diff u(nf) and u(x)</t>
  </si>
  <si>
    <t>Point estimate</t>
  </si>
  <si>
    <t>t cv</t>
  </si>
  <si>
    <t>Moe</t>
  </si>
  <si>
    <t>LCL</t>
  </si>
  <si>
    <t>UCL</t>
  </si>
  <si>
    <t>we can see that there is no significant evidemce of diff between fertilizer and non fertilier</t>
  </si>
  <si>
    <t>95% CI for mean diff u(Grape) and u(heirloom)</t>
  </si>
  <si>
    <t xml:space="preserve">We can see that variety of plant have no differnces in height </t>
  </si>
  <si>
    <t>Ho: mean(nf) = mean(x) = mean(y)</t>
  </si>
  <si>
    <t>Ho: mean(beefstake) = mean(cam) =…=mean(heir)</t>
  </si>
  <si>
    <t>For this test we will have 2 hypothese</t>
  </si>
  <si>
    <t>Variety</t>
  </si>
  <si>
    <t>Vancouver</t>
  </si>
  <si>
    <t>Toronto</t>
  </si>
  <si>
    <t>Victoria</t>
  </si>
  <si>
    <t>Check for assumptions</t>
  </si>
  <si>
    <t>Variances for Vancouver</t>
  </si>
  <si>
    <t>Variances for Toronto</t>
  </si>
  <si>
    <t>Variances for Victoria</t>
  </si>
  <si>
    <t xml:space="preserve">Populations are normally distributed and Toronto and Victoria has nearly identical variances, Vancouver has </t>
  </si>
  <si>
    <t>the highest variance.</t>
  </si>
  <si>
    <t>Ho: The mean customer satisfaction scores are equal across all three cities.</t>
  </si>
  <si>
    <t>H1: At least one city has a different mean customer satisfaction score.</t>
  </si>
  <si>
    <t xml:space="preserve">2. Alpha </t>
  </si>
  <si>
    <t xml:space="preserve">3. ANOVA output </t>
  </si>
  <si>
    <t>Anova: Single Factor</t>
  </si>
  <si>
    <t>Groups</t>
  </si>
  <si>
    <t>Between Groups</t>
  </si>
  <si>
    <t>Within Groups</t>
  </si>
  <si>
    <t xml:space="preserve">Decision rule: Reject the null hypotheses (Ho) if the F stat &gt; F critical value </t>
  </si>
  <si>
    <t>I reject the null hypotheses because F stat (63.2) is greater than F critical value (3.1)</t>
  </si>
  <si>
    <t>The P value is significantly lesser than our 5% alpha, his indicates that there is a statistically significant difference in the mean customer satisfaction scores across the three cities.</t>
  </si>
  <si>
    <t>4. Conlcusion</t>
  </si>
  <si>
    <t xml:space="preserve">5. To Identify which one is different </t>
  </si>
  <si>
    <t>Pairs of mean</t>
  </si>
  <si>
    <t>u(Vancouver) -u(Totonto)</t>
  </si>
  <si>
    <t>u(Vancouver) -u(Victoria)</t>
  </si>
  <si>
    <t>u(Toronto)-u(Victoria)</t>
  </si>
  <si>
    <t>T critical</t>
  </si>
  <si>
    <t>Margin of error</t>
  </si>
  <si>
    <t>Lower level</t>
  </si>
  <si>
    <t>Upper level</t>
  </si>
  <si>
    <t>Victoria has the highest ratings</t>
  </si>
  <si>
    <t>Rating (/5)</t>
  </si>
  <si>
    <t>Number of Participants
(Observed Frequencies)</t>
  </si>
  <si>
    <t>Expected Number of Participants
(Expected Frequencies)</t>
  </si>
  <si>
    <t>Loved It! (5)</t>
  </si>
  <si>
    <t>Liked it (4)</t>
  </si>
  <si>
    <t>Neutral (3)</t>
  </si>
  <si>
    <t>Disliked it (2)</t>
  </si>
  <si>
    <t>Hated it! (1)</t>
  </si>
  <si>
    <t>1. Formulate the expected frequency</t>
  </si>
  <si>
    <t>Ho: The proportion of people in each category is the same</t>
  </si>
  <si>
    <t>H1: The proportion of people in each category is not the same</t>
  </si>
  <si>
    <t>dof (k-1)</t>
  </si>
  <si>
    <t xml:space="preserve">   Reject the Ho if sample test stat &gt; 7.78</t>
  </si>
  <si>
    <t xml:space="preserve">   Do not reject Ho, there is not significant evidence at 10% that these categoeis are not the same</t>
  </si>
  <si>
    <t>3. Alpha</t>
  </si>
  <si>
    <t>4. Chi-Square CV</t>
  </si>
  <si>
    <t>5. Sample test stat</t>
  </si>
  <si>
    <t>6. Conclusion</t>
  </si>
  <si>
    <t>Chi square statistics</t>
  </si>
  <si>
    <t xml:space="preserve">Critical value </t>
  </si>
  <si>
    <t>Observed Frequencies</t>
  </si>
  <si>
    <t>Participant's Enjoyment</t>
  </si>
  <si>
    <t>Participant's Gender</t>
  </si>
  <si>
    <t>Male</t>
  </si>
  <si>
    <t>Female</t>
  </si>
  <si>
    <t>Other</t>
  </si>
  <si>
    <t>Prefer not to disclose</t>
  </si>
  <si>
    <t xml:space="preserve">Ho: no relationship between gender and the ejoyment </t>
  </si>
  <si>
    <t xml:space="preserve">H1: there is  relationship between gender and the ejoyment </t>
  </si>
  <si>
    <t>Sample test stat</t>
  </si>
  <si>
    <t>Reject H0 if test stat &gt; 21</t>
  </si>
  <si>
    <t xml:space="preserve">We can reject at almost any significance level, strength of evidence is very strong </t>
  </si>
  <si>
    <t>Expected frequency</t>
  </si>
  <si>
    <t>1. I calculate the expected frequency</t>
  </si>
  <si>
    <t>2. Calculate the statistics</t>
  </si>
  <si>
    <t xml:space="preserve">4. Calculate statistics </t>
  </si>
  <si>
    <t xml:space="preserve"> there is some relationship about gender and the enjoyment level. </t>
  </si>
  <si>
    <t>5. Conlcusion</t>
  </si>
  <si>
    <t xml:space="preserve">Df = k (#groups) - 1 </t>
  </si>
  <si>
    <t>Reject the null hypothese if sample H stat &gt; 4.6</t>
  </si>
  <si>
    <t>3. Critical value</t>
  </si>
  <si>
    <t>1. Rank using avg, just do first column and copy paste to others</t>
  </si>
  <si>
    <t>2. Calculations</t>
  </si>
  <si>
    <t>n</t>
  </si>
  <si>
    <t>n+1</t>
  </si>
  <si>
    <t>12/(n(n+1))</t>
  </si>
  <si>
    <t>3(n+1)</t>
  </si>
  <si>
    <t>Sum rank</t>
  </si>
  <si>
    <t>Sqr sum rank</t>
  </si>
  <si>
    <t>Sqr sum rank/n</t>
  </si>
  <si>
    <t>Sum (R^2/n)</t>
  </si>
  <si>
    <t xml:space="preserve">H stat </t>
  </si>
  <si>
    <t xml:space="preserve">4. Conclusion </t>
  </si>
  <si>
    <t xml:space="preserve">Sample P value </t>
  </si>
  <si>
    <t>Rank Victoria</t>
  </si>
  <si>
    <t>Rank Vancouver</t>
  </si>
  <si>
    <t>4. Calculate H Statistics</t>
  </si>
  <si>
    <t>Rank Toronto</t>
  </si>
  <si>
    <t>Critical value</t>
  </si>
  <si>
    <t>I reject the null hypotheses Ho because H Stat (5.955) is greater than the critical value 4. 6</t>
  </si>
  <si>
    <t xml:space="preserve">However, our sample P value is more than our 5%. We could reject at 10% alpha level </t>
  </si>
  <si>
    <t xml:space="preserve">Ho: The average nuumber of transactions for all three branches are the same </t>
  </si>
  <si>
    <t>H1: At least one branch has different average number of transactions</t>
  </si>
  <si>
    <t>Online</t>
  </si>
  <si>
    <r>
      <t>H</t>
    </r>
    <r>
      <rPr>
        <vertAlign val="subscript"/>
        <sz val="11"/>
        <color theme="1"/>
        <rFont val="Book Antiqua"/>
        <family val="1"/>
      </rPr>
      <t>0</t>
    </r>
    <r>
      <rPr>
        <sz val="11"/>
        <color theme="1"/>
        <rFont val="Book Antiqua"/>
        <family val="1"/>
      </rPr>
      <t>:</t>
    </r>
  </si>
  <si>
    <r>
      <t>H</t>
    </r>
    <r>
      <rPr>
        <vertAlign val="subscript"/>
        <sz val="11"/>
        <color theme="1"/>
        <rFont val="Book Antiqua"/>
        <family val="1"/>
      </rPr>
      <t>1</t>
    </r>
    <r>
      <rPr>
        <sz val="11"/>
        <color theme="1"/>
        <rFont val="Book Antiqua"/>
        <family val="1"/>
      </rPr>
      <t>:</t>
    </r>
  </si>
  <si>
    <t>n1*n2</t>
  </si>
  <si>
    <t>n1+n2+1</t>
  </si>
  <si>
    <t>Office</t>
  </si>
  <si>
    <t>u(Office) &gt;= u(online)</t>
  </si>
  <si>
    <t>u(office)  &lt; u(online)</t>
  </si>
  <si>
    <t>2. I will rank the data</t>
  </si>
  <si>
    <t>Sample Data</t>
  </si>
  <si>
    <t>Rank(office)</t>
  </si>
  <si>
    <t>sum rank</t>
  </si>
  <si>
    <t xml:space="preserve">3. Calculate statistics </t>
  </si>
  <si>
    <t>Alpha</t>
  </si>
  <si>
    <t>This formular is used to calculate Z stat</t>
  </si>
  <si>
    <t>n1</t>
  </si>
  <si>
    <t>n2</t>
  </si>
  <si>
    <t xml:space="preserve">Z sample Statistics </t>
  </si>
  <si>
    <t xml:space="preserve">reject Ho if Z stat &lt; Z critical value </t>
  </si>
  <si>
    <t xml:space="preserve"> I reject the null hypotheses Ho because Z sample stat (-2.93) is lesser than Z critical value (-1.64), P value &lt; 0.05</t>
  </si>
  <si>
    <t>We have strong evidence against the null hypotheses, suggesting that employees</t>
  </si>
  <si>
    <t xml:space="preserve">are more satisfied working online </t>
  </si>
  <si>
    <t>Based on the confidence intervals, we could see that Vancouver has higher satisfaction rates than Toronto,</t>
  </si>
  <si>
    <t xml:space="preserve">Decision rule: reject the null hypotheses if T stat &lt; T critical value </t>
  </si>
  <si>
    <t>We reject the null hypotheses because T stat &lt; T critical value (-6.6 &lt; -1.66) and P value &lt; 0.05</t>
  </si>
  <si>
    <t>left tail</t>
  </si>
  <si>
    <t>W (sum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</si>
</sst>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00%"/>
    <numFmt numFmtId="166" formatCode="0.00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color rgb="FFFF0000"/>
      <name val="Calibri"/>
      <family val="2"/>
      <scheme val="minor"/>
    </font>
    <font>
      <sz val="9"/>
      <color indexed="81"/>
      <name val="Tahoma"/>
      <family val="2"/>
    </font>
    <font>
      <b/>
      <i/>
      <sz val="11"/>
      <color theme="1"/>
      <name val="Calibri"/>
      <family val="2"/>
      <scheme val="minor"/>
    </font>
    <font>
      <b/>
      <sz val="11"/>
      <color theme="0"/>
      <name val="Calibri"/>
      <family val="2"/>
      <scheme val="minor"/>
    </font>
    <font>
      <b/>
      <i/>
      <sz val="11"/>
      <color rgb="FFFF0000"/>
      <name val="Calibri"/>
      <family val="2"/>
      <scheme val="minor"/>
    </font>
    <font>
      <b/>
      <sz val="9"/>
      <color indexed="81"/>
      <name val="Tahoma"/>
      <family val="2"/>
    </font>
    <font>
      <sz val="11"/>
      <name val="Calibri"/>
      <family val="2"/>
      <scheme val="minor"/>
    </font>
    <font>
      <sz val="11"/>
      <color theme="2"/>
      <name val="Calibri"/>
      <family val="2"/>
      <scheme val="minor"/>
    </font>
    <font>
      <sz val="11"/>
      <color theme="1"/>
      <name val="Book Antiqua"/>
      <family val="1"/>
    </font>
    <font>
      <b/>
      <sz val="11"/>
      <color theme="1"/>
      <name val="Book Antiqua"/>
      <family val="1"/>
    </font>
    <font>
      <vertAlign val="subscript"/>
      <sz val="11"/>
      <color theme="1"/>
      <name val="Book Antiqua"/>
      <family val="1"/>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9" tint="0.59999389629810485"/>
        <bgColor indexed="64"/>
      </patternFill>
    </fill>
  </fills>
  <borders count="29">
    <border>
      <left/>
      <right/>
      <top/>
      <bottom/>
      <diagonal/>
    </border>
    <border>
      <left/>
      <right/>
      <top/>
      <bottom style="medium">
        <color indexed="64"/>
      </bottom>
      <diagonal/>
    </border>
    <border>
      <left/>
      <right/>
      <top style="medium">
        <color indexed="64"/>
      </top>
      <bottom style="thin">
        <color indexed="64"/>
      </bottom>
      <diagonal/>
    </border>
    <border>
      <left style="thick">
        <color auto="1"/>
      </left>
      <right/>
      <top/>
      <bottom/>
      <diagonal/>
    </border>
    <border>
      <left/>
      <right/>
      <top style="double">
        <color theme="4"/>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double">
        <color theme="4"/>
      </top>
      <bottom/>
      <diagonal/>
    </border>
    <border>
      <left style="thin">
        <color theme="4" tint="0.39997558519241921"/>
      </left>
      <right/>
      <top style="double">
        <color theme="4"/>
      </top>
      <bottom/>
      <diagonal/>
    </border>
    <border>
      <left/>
      <right style="thin">
        <color theme="4" tint="0.39997558519241921"/>
      </right>
      <top style="double">
        <color theme="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ck">
        <color auto="1"/>
      </right>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9" fontId="0" fillId="0" borderId="0" xfId="0" applyNumberFormat="1"/>
    <xf numFmtId="0" fontId="2" fillId="0" borderId="0" xfId="0" applyFont="1"/>
    <xf numFmtId="0" fontId="5" fillId="0" borderId="0" xfId="0" applyFont="1"/>
    <xf numFmtId="9" fontId="0" fillId="0" borderId="0" xfId="1" applyFont="1"/>
    <xf numFmtId="0" fontId="0" fillId="0" borderId="3" xfId="0" applyBorder="1"/>
    <xf numFmtId="164" fontId="0" fillId="0" borderId="0" xfId="1" applyNumberFormat="1" applyFont="1" applyFill="1" applyBorder="1" applyAlignment="1"/>
    <xf numFmtId="165" fontId="0" fillId="0" borderId="0" xfId="1" applyNumberFormat="1" applyFont="1" applyFill="1" applyBorder="1" applyAlignment="1"/>
    <xf numFmtId="0" fontId="7" fillId="0" borderId="0" xfId="0" applyFont="1"/>
    <xf numFmtId="166" fontId="0" fillId="0" borderId="0" xfId="1" applyNumberFormat="1" applyFont="1" applyFill="1" applyBorder="1" applyAlignment="1"/>
    <xf numFmtId="0" fontId="2" fillId="0" borderId="4" xfId="0" applyFont="1" applyBorder="1"/>
    <xf numFmtId="0" fontId="2" fillId="0" borderId="6" xfId="0" applyFont="1" applyBorder="1"/>
    <xf numFmtId="0" fontId="2" fillId="0" borderId="5" xfId="0" applyFont="1" applyBorder="1"/>
    <xf numFmtId="0" fontId="8" fillId="2" borderId="7" xfId="0" applyFont="1" applyFill="1" applyBorder="1"/>
    <xf numFmtId="0" fontId="8" fillId="2" borderId="8" xfId="0" applyFont="1" applyFill="1" applyBorder="1"/>
    <xf numFmtId="0" fontId="8" fillId="2" borderId="9" xfId="0" applyFont="1" applyFill="1" applyBorder="1"/>
    <xf numFmtId="0" fontId="0" fillId="3" borderId="7" xfId="0" applyFill="1" applyBorder="1"/>
    <xf numFmtId="0" fontId="0" fillId="3" borderId="8" xfId="0" applyFill="1" applyBorder="1"/>
    <xf numFmtId="0" fontId="0" fillId="3" borderId="9" xfId="0" applyFill="1" applyBorder="1"/>
    <xf numFmtId="0" fontId="0" fillId="0" borderId="7" xfId="0" applyBorder="1"/>
    <xf numFmtId="0" fontId="0" fillId="0" borderId="8" xfId="0" applyBorder="1"/>
    <xf numFmtId="0" fontId="0" fillId="0" borderId="9" xfId="0" applyBorder="1"/>
    <xf numFmtId="0" fontId="2" fillId="3" borderId="11" xfId="0" applyFont="1" applyFill="1" applyBorder="1"/>
    <xf numFmtId="0" fontId="2" fillId="3" borderId="10" xfId="0" applyFont="1" applyFill="1" applyBorder="1"/>
    <xf numFmtId="0" fontId="2" fillId="3" borderId="12" xfId="0" applyFont="1" applyFill="1" applyBorder="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xf>
    <xf numFmtId="0" fontId="0" fillId="0" borderId="0" xfId="0" applyAlignment="1">
      <alignment horizontal="left"/>
    </xf>
    <xf numFmtId="0" fontId="9" fillId="0" borderId="0" xfId="0" applyFont="1" applyAlignment="1">
      <alignment horizontal="left"/>
    </xf>
    <xf numFmtId="0" fontId="7" fillId="0" borderId="0" xfId="0" applyFont="1" applyAlignment="1">
      <alignment horizontal="left"/>
    </xf>
    <xf numFmtId="12" fontId="0" fillId="0" borderId="3" xfId="0" applyNumberFormat="1" applyBorder="1"/>
    <xf numFmtId="0" fontId="2" fillId="0" borderId="13" xfId="0" applyFont="1" applyBorder="1" applyAlignment="1">
      <alignment horizontal="center" vertical="center"/>
    </xf>
    <xf numFmtId="0" fontId="2" fillId="0" borderId="14" xfId="0" applyFont="1" applyBorder="1" applyAlignment="1">
      <alignment horizontal="center" vertical="center" wrapText="1"/>
    </xf>
    <xf numFmtId="0" fontId="2" fillId="4" borderId="14" xfId="0" applyFont="1" applyFill="1" applyBorder="1" applyAlignment="1">
      <alignment horizontal="center" vertical="center" wrapText="1"/>
    </xf>
    <xf numFmtId="0" fontId="2" fillId="5" borderId="15"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4" borderId="17" xfId="0" applyFill="1" applyBorder="1" applyAlignment="1">
      <alignment horizontal="center" vertical="center"/>
    </xf>
    <xf numFmtId="0" fontId="0" fillId="5" borderId="18" xfId="0" applyFill="1" applyBorder="1" applyAlignment="1">
      <alignment horizontal="center" vertical="center"/>
    </xf>
    <xf numFmtId="0" fontId="0" fillId="6" borderId="19" xfId="0" applyFill="1" applyBorder="1"/>
    <xf numFmtId="0" fontId="0" fillId="6" borderId="0" xfId="0" applyFill="1"/>
    <xf numFmtId="0" fontId="2" fillId="0" borderId="21" xfId="0" applyFont="1" applyBorder="1" applyAlignment="1">
      <alignment horizontal="center"/>
    </xf>
    <xf numFmtId="0" fontId="0" fillId="0" borderId="22" xfId="0" applyBorder="1" applyAlignment="1">
      <alignment horizontal="center"/>
    </xf>
    <xf numFmtId="0" fontId="11" fillId="0" borderId="0" xfId="0" applyFont="1"/>
    <xf numFmtId="0" fontId="0" fillId="7" borderId="24" xfId="0" applyFill="1" applyBorder="1"/>
    <xf numFmtId="0" fontId="0" fillId="7" borderId="25" xfId="0" applyFill="1" applyBorder="1"/>
    <xf numFmtId="0" fontId="0" fillId="7" borderId="26" xfId="0" applyFill="1" applyBorder="1"/>
    <xf numFmtId="0" fontId="0" fillId="7" borderId="19" xfId="0" applyFill="1" applyBorder="1"/>
    <xf numFmtId="0" fontId="2" fillId="0" borderId="17" xfId="0" applyFont="1" applyBorder="1" applyAlignment="1">
      <alignment horizontal="center" vertical="center"/>
    </xf>
    <xf numFmtId="0" fontId="11" fillId="8" borderId="0" xfId="0" applyFont="1" applyFill="1"/>
    <xf numFmtId="0" fontId="2" fillId="0" borderId="18" xfId="0" applyFont="1" applyBorder="1" applyAlignment="1">
      <alignment horizontal="center" vertical="center"/>
    </xf>
    <xf numFmtId="0" fontId="0" fillId="0" borderId="18" xfId="0" applyBorder="1" applyAlignment="1">
      <alignment horizontal="center" vertical="center"/>
    </xf>
    <xf numFmtId="0" fontId="12" fillId="8" borderId="0" xfId="0" applyFont="1" applyFill="1"/>
    <xf numFmtId="0" fontId="11" fillId="8" borderId="0" xfId="0" applyFont="1" applyFill="1" applyAlignment="1">
      <alignment horizontal="center" vertical="center"/>
    </xf>
    <xf numFmtId="0" fontId="11" fillId="8" borderId="20" xfId="0" applyFont="1" applyFill="1" applyBorder="1" applyAlignment="1">
      <alignment horizontal="center" vertical="center"/>
    </xf>
    <xf numFmtId="0" fontId="0" fillId="7" borderId="27" xfId="0" applyFill="1" applyBorder="1"/>
    <xf numFmtId="0" fontId="0" fillId="7" borderId="1" xfId="0" applyFill="1" applyBorder="1"/>
    <xf numFmtId="0" fontId="0" fillId="7" borderId="23" xfId="0" applyFill="1" applyBorder="1"/>
    <xf numFmtId="0" fontId="0" fillId="0" borderId="0" xfId="0" applyAlignment="1">
      <alignment vertical="center"/>
    </xf>
    <xf numFmtId="166" fontId="0" fillId="0" borderId="0" xfId="1" applyNumberFormat="1" applyFont="1"/>
    <xf numFmtId="0" fontId="0" fillId="0" borderId="0" xfId="0" applyAlignment="1">
      <alignment horizontal="center" vertical="center"/>
    </xf>
    <xf numFmtId="0" fontId="4" fillId="0" borderId="0" xfId="0" applyFont="1"/>
    <xf numFmtId="0" fontId="0" fillId="9" borderId="0" xfId="0" applyFill="1" applyAlignment="1">
      <alignment horizontal="center"/>
    </xf>
    <xf numFmtId="0" fontId="0" fillId="0" borderId="0" xfId="0" applyAlignment="1">
      <alignment horizontal="center"/>
    </xf>
    <xf numFmtId="0" fontId="0" fillId="0" borderId="28" xfId="0" applyBorder="1"/>
    <xf numFmtId="0" fontId="13" fillId="0" borderId="0" xfId="0" applyFont="1"/>
    <xf numFmtId="0" fontId="14" fillId="0" borderId="0" xfId="0" applyFont="1" applyAlignment="1">
      <alignment horizontal="center"/>
    </xf>
    <xf numFmtId="0" fontId="13" fillId="0" borderId="0" xfId="0" applyFont="1" applyAlignment="1">
      <alignment horizontal="center"/>
    </xf>
    <xf numFmtId="0" fontId="0" fillId="0" borderId="17" xfId="0" applyBorder="1"/>
    <xf numFmtId="2" fontId="0" fillId="0" borderId="17" xfId="0" applyNumberFormat="1" applyBorder="1"/>
    <xf numFmtId="0" fontId="0" fillId="0" borderId="0" xfId="0" applyAlignment="1">
      <alignment horizontal="center" wrapText="1"/>
    </xf>
    <xf numFmtId="0" fontId="0" fillId="0" borderId="0" xfId="0" applyAlignment="1">
      <alignment horizontal="left" vertical="center" wrapText="1"/>
    </xf>
    <xf numFmtId="0" fontId="2" fillId="0" borderId="19" xfId="0" applyFont="1" applyBorder="1" applyAlignment="1">
      <alignment horizontal="center" vertical="center" textRotation="90" wrapText="1"/>
    </xf>
    <xf numFmtId="0" fontId="2" fillId="0" borderId="1" xfId="0" applyFont="1" applyBorder="1" applyAlignment="1">
      <alignment horizontal="center"/>
    </xf>
    <xf numFmtId="0" fontId="0" fillId="0" borderId="1" xfId="0" applyBorder="1" applyAlignment="1">
      <alignment horizontal="center"/>
    </xf>
    <xf numFmtId="0" fontId="2" fillId="0" borderId="25"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Normal Distribution chart of MPG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Normal Distribution chart of MPG</a:t>
          </a:r>
        </a:p>
      </cx:txPr>
    </cx:title>
    <cx:plotArea>
      <cx:plotAreaRegion>
        <cx:series layoutId="clusteredColumn" uniqueId="{FF8BD7C4-8DAF-4507-853D-FDAD29457735}">
          <cx:tx>
            <cx:txData>
              <cx:f>_xlchart.v1.4</cx:f>
              <cx:v>MPG</cx:v>
            </cx:txData>
          </cx:tx>
          <cx:dataId val="0"/>
          <cx:layoutPr>
            <cx:binning intervalClosed="r">
              <cx:binCount val="14"/>
            </cx:binning>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Distribution of mins (Smoke)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mins (Smoke) </a:t>
          </a:r>
        </a:p>
      </cx:txPr>
    </cx:title>
    <cx:plotArea>
      <cx:plotAreaRegion>
        <cx:series layoutId="clusteredColumn" uniqueId="{CC0FFFB1-8064-45AA-B36F-CD6F140C42CF}">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Distribution of mins (Non-smoke)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mins </a:t>
          </a:r>
          <a:br>
            <a:rPr lang="en-US" sz="1400" b="0" i="0" u="none" strike="noStrike" baseline="0">
              <a:solidFill>
                <a:sysClr val="windowText" lastClr="000000">
                  <a:lumMod val="65000"/>
                  <a:lumOff val="35000"/>
                </a:sysClr>
              </a:solidFill>
              <a:latin typeface="Calibri" panose="020F0502020204030204"/>
            </a:rPr>
          </a:br>
          <a:r>
            <a:rPr lang="en-US" sz="1400" b="0" i="0" u="none" strike="noStrike" baseline="0">
              <a:solidFill>
                <a:sysClr val="windowText" lastClr="000000">
                  <a:lumMod val="65000"/>
                  <a:lumOff val="35000"/>
                </a:sysClr>
              </a:solidFill>
              <a:latin typeface="Calibri" panose="020F0502020204030204"/>
            </a:rPr>
            <a:t>(Non-smoke)</a:t>
          </a:r>
        </a:p>
      </cx:txPr>
    </cx:title>
    <cx:plotArea>
      <cx:plotAreaRegion>
        <cx:series layoutId="clusteredColumn" uniqueId="{6E52866B-F216-4F16-944A-5714B7EB5115}">
          <cx:tx>
            <cx:txData>
              <cx:f>_xlchart.v1.1</cx:f>
              <cx:v>Non-smoking</cx:v>
            </cx:txData>
          </cx:tx>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 of difference in processing time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difference in processing time </a:t>
          </a:r>
        </a:p>
      </cx:txPr>
    </cx:title>
    <cx:plotArea>
      <cx:plotAreaRegion>
        <cx:series layoutId="clusteredColumn" uniqueId="{B25F6D62-0C2E-4A6D-8EB4-E9BFB9C57C9A}">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Distribution for Vancouver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Vancouver</a:t>
          </a:r>
        </a:p>
      </cx:txPr>
    </cx:title>
    <cx:plotArea>
      <cx:plotAreaRegion>
        <cx:series layoutId="clusteredColumn" uniqueId="{80C98477-C6BF-4362-9DCB-E2A930B7870C}">
          <cx:tx>
            <cx:txData>
              <cx:f>_xlchart.v1.6</cx:f>
              <cx:v>Vancouver</cx:v>
            </cx:txData>
          </cx:tx>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Distribution for Toronto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Toronto</a:t>
          </a:r>
        </a:p>
      </cx:txPr>
    </cx:title>
    <cx:plotArea>
      <cx:plotAreaRegion>
        <cx:series layoutId="clusteredColumn" uniqueId="{861030F4-5972-4C3F-9F7B-08FF9A932F4A}">
          <cx:tx>
            <cx:txData>
              <cx:f>_xlchart.v1.8</cx:f>
              <cx:v>Toronto</cx:v>
            </cx:txData>
          </cx:tx>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Distribution for Victoria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Victoria</a:t>
          </a:r>
        </a:p>
      </cx:txPr>
    </cx:title>
    <cx:plotArea>
      <cx:plotAreaRegion>
        <cx:series layoutId="clusteredColumn" uniqueId="{50DF5176-2A64-4F38-BF1C-297CBE8F429C}">
          <cx:tx>
            <cx:txData>
              <cx:f>_xlchart.v1.10</cx:f>
              <cx:v>Victoria</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openxmlformats.org/officeDocument/2006/relationships/image" Target="../media/image2.png"/><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243840</xdr:colOff>
      <xdr:row>0</xdr:row>
      <xdr:rowOff>129540</xdr:rowOff>
    </xdr:from>
    <xdr:to>
      <xdr:col>7</xdr:col>
      <xdr:colOff>388620</xdr:colOff>
      <xdr:row>7</xdr:row>
      <xdr:rowOff>38100</xdr:rowOff>
    </xdr:to>
    <xdr:sp macro="" textlink="">
      <xdr:nvSpPr>
        <xdr:cNvPr id="2" name="TextBox 1">
          <a:extLst>
            <a:ext uri="{FF2B5EF4-FFF2-40B4-BE49-F238E27FC236}">
              <a16:creationId xmlns:a16="http://schemas.microsoft.com/office/drawing/2014/main" id="{F30E9D58-0E46-FFB9-C805-D16285E2E545}"/>
            </a:ext>
          </a:extLst>
        </xdr:cNvPr>
        <xdr:cNvSpPr txBox="1"/>
      </xdr:nvSpPr>
      <xdr:spPr>
        <a:xfrm>
          <a:off x="243840" y="129540"/>
          <a:ext cx="4411980"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a:t>The product manager wants to verify if the mean fuel efficiency of the new car model is indeed 25 MPG. I have collected a sample of 50 cars from the new model and recorded their fuel efficiency (MPG). My task is to perform a 1-sample T-test to determine if the mean fuel efficiency of the new model is significantly different from the claimed 25 MPG.</a:t>
          </a:r>
        </a:p>
      </xdr:txBody>
    </xdr:sp>
    <xdr:clientData/>
  </xdr:twoCellAnchor>
  <xdr:twoCellAnchor>
    <xdr:from>
      <xdr:col>4</xdr:col>
      <xdr:colOff>4481</xdr:colOff>
      <xdr:row>8</xdr:row>
      <xdr:rowOff>107578</xdr:rowOff>
    </xdr:from>
    <xdr:to>
      <xdr:col>9</xdr:col>
      <xdr:colOff>425823</xdr:colOff>
      <xdr:row>23</xdr:row>
      <xdr:rowOff>152401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DC623-94A4-F4C7-EF7D-07FAB904D9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11461" y="1570618"/>
              <a:ext cx="4574242" cy="27880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224118</xdr:colOff>
      <xdr:row>0</xdr:row>
      <xdr:rowOff>26894</xdr:rowOff>
    </xdr:from>
    <xdr:to>
      <xdr:col>21</xdr:col>
      <xdr:colOff>376518</xdr:colOff>
      <xdr:row>6</xdr:row>
      <xdr:rowOff>152400</xdr:rowOff>
    </xdr:to>
    <xdr:sp macro="" textlink="">
      <xdr:nvSpPr>
        <xdr:cNvPr id="4" name="TextBox 3">
          <a:extLst>
            <a:ext uri="{FF2B5EF4-FFF2-40B4-BE49-F238E27FC236}">
              <a16:creationId xmlns:a16="http://schemas.microsoft.com/office/drawing/2014/main" id="{F462FE97-72B4-F8DF-CE05-B02206F811C8}"/>
            </a:ext>
          </a:extLst>
        </xdr:cNvPr>
        <xdr:cNvSpPr txBox="1"/>
      </xdr:nvSpPr>
      <xdr:spPr>
        <a:xfrm>
          <a:off x="8713694" y="26894"/>
          <a:ext cx="5638800" cy="1201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Problem Statement: </a:t>
          </a:r>
          <a:r>
            <a:rPr lang="en-US" sz="1100"/>
            <a:t>A</a:t>
          </a:r>
          <a:r>
            <a:rPr lang="en-US" sz="1100" baseline="0"/>
            <a:t> healthcare organization wants to offer specilized healthcare to patients who smoke to enhance their sleep quality. But first, the organization wants to verify whether people who smoke spend more time trying to sleep than non-smokers. Sample data from patients and represents the number of minutes it takes for them to sleep. (also known as Sleep latency).</a:t>
          </a:r>
          <a:endParaRPr lang="en-US" sz="1100"/>
        </a:p>
      </xdr:txBody>
    </xdr:sp>
    <xdr:clientData/>
  </xdr:twoCellAnchor>
  <xdr:twoCellAnchor>
    <xdr:from>
      <xdr:col>16</xdr:col>
      <xdr:colOff>7620</xdr:colOff>
      <xdr:row>7</xdr:row>
      <xdr:rowOff>160020</xdr:rowOff>
    </xdr:from>
    <xdr:to>
      <xdr:col>19</xdr:col>
      <xdr:colOff>190500</xdr:colOff>
      <xdr:row>22</xdr:row>
      <xdr:rowOff>167640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D7BEB6C-D11B-4E26-82A8-62B3477D89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934700" y="1440180"/>
              <a:ext cx="3733800" cy="2750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396240</xdr:colOff>
      <xdr:row>7</xdr:row>
      <xdr:rowOff>175260</xdr:rowOff>
    </xdr:from>
    <xdr:to>
      <xdr:col>23</xdr:col>
      <xdr:colOff>533400</xdr:colOff>
      <xdr:row>22</xdr:row>
      <xdr:rowOff>175260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1FD660E-673E-4E12-8E61-FF1B8ECC0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874240" y="1455420"/>
              <a:ext cx="25755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251460</xdr:colOff>
      <xdr:row>0</xdr:row>
      <xdr:rowOff>137160</xdr:rowOff>
    </xdr:from>
    <xdr:to>
      <xdr:col>34</xdr:col>
      <xdr:colOff>381000</xdr:colOff>
      <xdr:row>5</xdr:row>
      <xdr:rowOff>137160</xdr:rowOff>
    </xdr:to>
    <xdr:sp macro="" textlink="">
      <xdr:nvSpPr>
        <xdr:cNvPr id="9" name="TextBox 8">
          <a:extLst>
            <a:ext uri="{FF2B5EF4-FFF2-40B4-BE49-F238E27FC236}">
              <a16:creationId xmlns:a16="http://schemas.microsoft.com/office/drawing/2014/main" id="{852BBB50-F192-A443-5797-3475DBAF7A6E}"/>
            </a:ext>
          </a:extLst>
        </xdr:cNvPr>
        <xdr:cNvSpPr txBox="1"/>
      </xdr:nvSpPr>
      <xdr:spPr>
        <a:xfrm>
          <a:off x="17777460" y="137160"/>
          <a:ext cx="622554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a:t>As a data analyst in a supply chain company, I have been tasked with evaluating the effectiveness of a new logistics software implementation on order processing times. The goal is to determine if there's a significant improvement in order processing times after implementing the new software. Data are collected</a:t>
          </a:r>
          <a:r>
            <a:rPr lang="en-US" baseline="0"/>
            <a:t> before and after the implementation of processing time in minutes.</a:t>
          </a:r>
          <a:endParaRPr lang="en-US" sz="1100"/>
        </a:p>
      </xdr:txBody>
    </xdr:sp>
    <xdr:clientData/>
  </xdr:twoCellAnchor>
  <xdr:twoCellAnchor>
    <xdr:from>
      <xdr:col>30</xdr:col>
      <xdr:colOff>495300</xdr:colOff>
      <xdr:row>7</xdr:row>
      <xdr:rowOff>0</xdr:rowOff>
    </xdr:from>
    <xdr:to>
      <xdr:col>37</xdr:col>
      <xdr:colOff>220980</xdr:colOff>
      <xdr:row>16</xdr:row>
      <xdr:rowOff>49530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BB66C40-0921-BB5D-777D-FA1FA1D505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241000" y="1280160"/>
              <a:ext cx="5547360" cy="1695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53340</xdr:rowOff>
    </xdr:from>
    <xdr:to>
      <xdr:col>9</xdr:col>
      <xdr:colOff>38100</xdr:colOff>
      <xdr:row>5</xdr:row>
      <xdr:rowOff>167640</xdr:rowOff>
    </xdr:to>
    <xdr:sp macro="" textlink="">
      <xdr:nvSpPr>
        <xdr:cNvPr id="2" name="TextBox 1">
          <a:extLst>
            <a:ext uri="{FF2B5EF4-FFF2-40B4-BE49-F238E27FC236}">
              <a16:creationId xmlns:a16="http://schemas.microsoft.com/office/drawing/2014/main" id="{1543AEC4-9123-B8B0-2866-9BAB4BE30EBD}"/>
            </a:ext>
          </a:extLst>
        </xdr:cNvPr>
        <xdr:cNvSpPr txBox="1"/>
      </xdr:nvSpPr>
      <xdr:spPr>
        <a:xfrm>
          <a:off x="137160" y="53340"/>
          <a:ext cx="645414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b="1" baseline="0"/>
            <a:t> Statement: </a:t>
          </a:r>
          <a:r>
            <a:rPr lang="en-US"/>
            <a:t>The marketing team recently ran an email marketing campaign targeting two different customer segments: existing customers and new customers. The goal of the campaign was to increase the click-through rate (CTR) of the email links, which leads to the company's website. I want to determine if the email campaign was equally effective for both segments or if one segment had a significantly higher CTR than the other.</a:t>
          </a:r>
          <a:endParaRPr lang="en-US" sz="1100"/>
        </a:p>
      </xdr:txBody>
    </xdr:sp>
    <xdr:clientData/>
  </xdr:twoCellAnchor>
  <xdr:twoCellAnchor editAs="oneCell">
    <xdr:from>
      <xdr:col>5</xdr:col>
      <xdr:colOff>563880</xdr:colOff>
      <xdr:row>25</xdr:row>
      <xdr:rowOff>52280</xdr:rowOff>
    </xdr:from>
    <xdr:to>
      <xdr:col>12</xdr:col>
      <xdr:colOff>100106</xdr:colOff>
      <xdr:row>32</xdr:row>
      <xdr:rowOff>139306</xdr:rowOff>
    </xdr:to>
    <xdr:pic>
      <xdr:nvPicPr>
        <xdr:cNvPr id="3" name="Picture 2">
          <a:extLst>
            <a:ext uri="{FF2B5EF4-FFF2-40B4-BE49-F238E27FC236}">
              <a16:creationId xmlns:a16="http://schemas.microsoft.com/office/drawing/2014/main" id="{16E363A6-4C3A-00A4-7D0E-DB097AB7DFDB}"/>
            </a:ext>
          </a:extLst>
        </xdr:cNvPr>
        <xdr:cNvPicPr>
          <a:picLocks noChangeAspect="1"/>
        </xdr:cNvPicPr>
      </xdr:nvPicPr>
      <xdr:blipFill>
        <a:blip xmlns:r="http://schemas.openxmlformats.org/officeDocument/2006/relationships" r:embed="rId1"/>
        <a:stretch>
          <a:fillRect/>
        </a:stretch>
      </xdr:blipFill>
      <xdr:spPr>
        <a:xfrm>
          <a:off x="4907280" y="4624280"/>
          <a:ext cx="4668072" cy="13671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144780</xdr:rowOff>
    </xdr:from>
    <xdr:to>
      <xdr:col>24</xdr:col>
      <xdr:colOff>22860</xdr:colOff>
      <xdr:row>6</xdr:row>
      <xdr:rowOff>30480</xdr:rowOff>
    </xdr:to>
    <xdr:sp macro="" textlink="">
      <xdr:nvSpPr>
        <xdr:cNvPr id="2" name="TextBox 1">
          <a:extLst>
            <a:ext uri="{FF2B5EF4-FFF2-40B4-BE49-F238E27FC236}">
              <a16:creationId xmlns:a16="http://schemas.microsoft.com/office/drawing/2014/main" id="{C7682D49-8E14-5163-FAEB-B412307CFD60}"/>
            </a:ext>
          </a:extLst>
        </xdr:cNvPr>
        <xdr:cNvSpPr txBox="1"/>
      </xdr:nvSpPr>
      <xdr:spPr>
        <a:xfrm>
          <a:off x="0" y="144780"/>
          <a:ext cx="489966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sz="1100" baseline="0"/>
            <a:t>A bio chemical company wants to test whether means height of plant are different from each other based on their plant types and fertilizer use. In this scenario, I choose 2 factor ANOVA test to verify the differences. Data are assumed to be normal and </a:t>
          </a:r>
          <a:r>
            <a:rPr lang="en-US" sz="1100" b="0" i="0">
              <a:solidFill>
                <a:schemeClr val="dk1"/>
              </a:solidFill>
              <a:effectLst/>
              <a:latin typeface="+mn-lt"/>
              <a:ea typeface="+mn-ea"/>
              <a:cs typeface="+mn-cs"/>
            </a:rPr>
            <a:t>homoscedastic</a:t>
          </a:r>
          <a:r>
            <a:rPr lang="en-US" sz="1100" b="0" i="0" baseline="0">
              <a:solidFill>
                <a:schemeClr val="dk1"/>
              </a:solidFill>
              <a:effectLst/>
              <a:latin typeface="+mn-lt"/>
              <a:ea typeface="+mn-ea"/>
              <a:cs typeface="+mn-cs"/>
            </a:rPr>
            <a:t> (equal variances)</a:t>
          </a:r>
          <a:br>
            <a:rPr lang="en-US"/>
          </a:br>
          <a:endParaRPr lang="en-US" sz="1100"/>
        </a:p>
      </xdr:txBody>
    </xdr:sp>
    <xdr:clientData/>
  </xdr:twoCellAnchor>
  <xdr:twoCellAnchor editAs="oneCell">
    <xdr:from>
      <xdr:col>22</xdr:col>
      <xdr:colOff>0</xdr:colOff>
      <xdr:row>55</xdr:row>
      <xdr:rowOff>0</xdr:rowOff>
    </xdr:from>
    <xdr:to>
      <xdr:col>30</xdr:col>
      <xdr:colOff>533012</xdr:colOff>
      <xdr:row>59</xdr:row>
      <xdr:rowOff>45191</xdr:rowOff>
    </xdr:to>
    <xdr:pic>
      <xdr:nvPicPr>
        <xdr:cNvPr id="3" name="Picture 2">
          <a:extLst>
            <a:ext uri="{FF2B5EF4-FFF2-40B4-BE49-F238E27FC236}">
              <a16:creationId xmlns:a16="http://schemas.microsoft.com/office/drawing/2014/main" id="{E3EE63E5-D67C-4ED1-84D7-4E85459EFA25}"/>
            </a:ext>
          </a:extLst>
        </xdr:cNvPr>
        <xdr:cNvPicPr>
          <a:picLocks noChangeAspect="1"/>
        </xdr:cNvPicPr>
      </xdr:nvPicPr>
      <xdr:blipFill>
        <a:blip xmlns:r="http://schemas.openxmlformats.org/officeDocument/2006/relationships" r:embed="rId1"/>
        <a:stretch>
          <a:fillRect/>
        </a:stretch>
      </xdr:blipFill>
      <xdr:spPr>
        <a:xfrm>
          <a:off x="4962525" y="8362950"/>
          <a:ext cx="5406390" cy="784486"/>
        </a:xfrm>
        <a:prstGeom prst="rect">
          <a:avLst/>
        </a:prstGeom>
      </xdr:spPr>
    </xdr:pic>
    <xdr:clientData/>
  </xdr:twoCellAnchor>
  <xdr:twoCellAnchor>
    <xdr:from>
      <xdr:col>0</xdr:col>
      <xdr:colOff>69980</xdr:colOff>
      <xdr:row>0</xdr:row>
      <xdr:rowOff>163286</xdr:rowOff>
    </xdr:from>
    <xdr:to>
      <xdr:col>8</xdr:col>
      <xdr:colOff>202163</xdr:colOff>
      <xdr:row>6</xdr:row>
      <xdr:rowOff>101082</xdr:rowOff>
    </xdr:to>
    <xdr:sp macro="" textlink="">
      <xdr:nvSpPr>
        <xdr:cNvPr id="4" name="TextBox 3">
          <a:extLst>
            <a:ext uri="{FF2B5EF4-FFF2-40B4-BE49-F238E27FC236}">
              <a16:creationId xmlns:a16="http://schemas.microsoft.com/office/drawing/2014/main" id="{766DF3CC-8B91-2C1A-EDFA-2DB02164C64B}"/>
            </a:ext>
          </a:extLst>
        </xdr:cNvPr>
        <xdr:cNvSpPr txBox="1"/>
      </xdr:nvSpPr>
      <xdr:spPr>
        <a:xfrm>
          <a:off x="69980" y="163286"/>
          <a:ext cx="6197081" cy="1057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Problem Statement:</a:t>
          </a:r>
          <a:r>
            <a:rPr lang="en-US" b="1" baseline="0"/>
            <a:t> </a:t>
          </a:r>
          <a:r>
            <a:rPr lang="en-US"/>
            <a:t>A telecommunications company wants to evaluate customer satisfaction across its three main service centers located in different cities: Vancouver, Toronto, Victoria. Customers rate their satisfaction on a scale from 1 to 100 after receiving service. The company wants to know if there is a significant difference in customer satisfaction scores among the three service centers.</a:t>
          </a:r>
          <a:endParaRPr lang="en-US" sz="1100"/>
        </a:p>
      </xdr:txBody>
    </xdr:sp>
    <xdr:clientData/>
  </xdr:twoCellAnchor>
  <xdr:twoCellAnchor>
    <xdr:from>
      <xdr:col>5</xdr:col>
      <xdr:colOff>567614</xdr:colOff>
      <xdr:row>10</xdr:row>
      <xdr:rowOff>163286</xdr:rowOff>
    </xdr:from>
    <xdr:to>
      <xdr:col>6</xdr:col>
      <xdr:colOff>1337389</xdr:colOff>
      <xdr:row>24</xdr:row>
      <xdr:rowOff>7776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D919E8F-1D53-3F5B-8CEC-801942DDA1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1494" y="2129246"/>
              <a:ext cx="1379375" cy="24124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85531</xdr:colOff>
      <xdr:row>10</xdr:row>
      <xdr:rowOff>164064</xdr:rowOff>
    </xdr:from>
    <xdr:to>
      <xdr:col>9</xdr:col>
      <xdr:colOff>590938</xdr:colOff>
      <xdr:row>24</xdr:row>
      <xdr:rowOff>7776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1EB63D5-AEAA-4F7B-2223-20827AC37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55851" y="2130024"/>
              <a:ext cx="2349447" cy="24116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155510</xdr:colOff>
      <xdr:row>10</xdr:row>
      <xdr:rowOff>86308</xdr:rowOff>
    </xdr:from>
    <xdr:to>
      <xdr:col>11</xdr:col>
      <xdr:colOff>583164</xdr:colOff>
      <xdr:row>24</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8D34A8F-C7E8-36EE-77C0-E3AEA9B548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979470" y="2052268"/>
              <a:ext cx="1037254" cy="24816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213360</xdr:colOff>
      <xdr:row>0</xdr:row>
      <xdr:rowOff>106680</xdr:rowOff>
    </xdr:from>
    <xdr:to>
      <xdr:col>6</xdr:col>
      <xdr:colOff>586740</xdr:colOff>
      <xdr:row>8</xdr:row>
      <xdr:rowOff>152400</xdr:rowOff>
    </xdr:to>
    <xdr:sp macro="" textlink="">
      <xdr:nvSpPr>
        <xdr:cNvPr id="2" name="TextBox 1">
          <a:extLst>
            <a:ext uri="{FF2B5EF4-FFF2-40B4-BE49-F238E27FC236}">
              <a16:creationId xmlns:a16="http://schemas.microsoft.com/office/drawing/2014/main" id="{B964F6B0-5B7A-645B-467A-36510180B83A}"/>
            </a:ext>
          </a:extLst>
        </xdr:cNvPr>
        <xdr:cNvSpPr txBox="1"/>
      </xdr:nvSpPr>
      <xdr:spPr>
        <a:xfrm>
          <a:off x="213360" y="106680"/>
          <a:ext cx="5250180" cy="1508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baseline="0">
              <a:solidFill>
                <a:schemeClr val="dk1"/>
              </a:solidFill>
              <a:effectLst/>
              <a:latin typeface="+mn-lt"/>
              <a:ea typeface="+mn-ea"/>
              <a:cs typeface="+mn-cs"/>
            </a:rPr>
            <a:t>To investigate people's attitudes toward power pose training, a sample of 70 people completed the training course. This time, they were instructed to report how much they enjoyed the course. </a:t>
          </a:r>
          <a:endParaRPr lang="en-US">
            <a:effectLst/>
          </a:endParaRPr>
        </a:p>
        <a:p>
          <a:r>
            <a:rPr lang="en-US" sz="1100" baseline="0">
              <a:solidFill>
                <a:schemeClr val="dk1"/>
              </a:solidFill>
              <a:effectLst/>
              <a:latin typeface="+mn-lt"/>
              <a:ea typeface="+mn-ea"/>
              <a:cs typeface="+mn-cs"/>
            </a:rPr>
            <a:t>Afterwards, the participants were instructed to express their satisfaction on a scale from 1 to 5, with 1 corresponding to "hated it", 3 to "neutral", and 5 meaning "loved it".</a:t>
          </a:r>
          <a:endParaRPr lang="en-US">
            <a:effectLst/>
          </a:endParaRPr>
        </a:p>
        <a:p>
          <a:r>
            <a:rPr lang="en-US" sz="1100" baseline="0">
              <a:solidFill>
                <a:schemeClr val="dk1"/>
              </a:solidFill>
              <a:effectLst/>
              <a:latin typeface="+mn-lt"/>
              <a:ea typeface="+mn-ea"/>
              <a:cs typeface="+mn-cs"/>
            </a:rPr>
            <a:t>Perform a goodness of fit test to determine whether the sample distribution is consistent with a claim that participants are uniformly distributed accross the categories.</a:t>
          </a:r>
          <a:endParaRPr lang="en-US">
            <a:effectLst/>
          </a:endParaRPr>
        </a:p>
        <a:p>
          <a:endParaRPr lang="en-US" sz="1100"/>
        </a:p>
      </xdr:txBody>
    </xdr:sp>
    <xdr:clientData/>
  </xdr:twoCellAnchor>
  <xdr:twoCellAnchor editAs="oneCell">
    <xdr:from>
      <xdr:col>5</xdr:col>
      <xdr:colOff>46383</xdr:colOff>
      <xdr:row>29</xdr:row>
      <xdr:rowOff>19879</xdr:rowOff>
    </xdr:from>
    <xdr:to>
      <xdr:col>5</xdr:col>
      <xdr:colOff>1588770</xdr:colOff>
      <xdr:row>32</xdr:row>
      <xdr:rowOff>16618</xdr:rowOff>
    </xdr:to>
    <xdr:pic>
      <xdr:nvPicPr>
        <xdr:cNvPr id="3" name="Picture 2">
          <a:extLst>
            <a:ext uri="{FF2B5EF4-FFF2-40B4-BE49-F238E27FC236}">
              <a16:creationId xmlns:a16="http://schemas.microsoft.com/office/drawing/2014/main" id="{D522761F-9E5A-45EC-9362-0255024D0CFB}"/>
            </a:ext>
          </a:extLst>
        </xdr:cNvPr>
        <xdr:cNvPicPr>
          <a:picLocks noChangeAspect="1"/>
        </xdr:cNvPicPr>
      </xdr:nvPicPr>
      <xdr:blipFill>
        <a:blip xmlns:r="http://schemas.openxmlformats.org/officeDocument/2006/relationships" r:embed="rId1"/>
        <a:stretch>
          <a:fillRect/>
        </a:stretch>
      </xdr:blipFill>
      <xdr:spPr>
        <a:xfrm>
          <a:off x="1115088" y="3997519"/>
          <a:ext cx="1542387" cy="545379"/>
        </a:xfrm>
        <a:prstGeom prst="rect">
          <a:avLst/>
        </a:prstGeom>
      </xdr:spPr>
    </xdr:pic>
    <xdr:clientData/>
  </xdr:twoCellAnchor>
  <xdr:twoCellAnchor>
    <xdr:from>
      <xdr:col>13</xdr:col>
      <xdr:colOff>0</xdr:colOff>
      <xdr:row>2</xdr:row>
      <xdr:rowOff>0</xdr:rowOff>
    </xdr:from>
    <xdr:to>
      <xdr:col>17</xdr:col>
      <xdr:colOff>152399</xdr:colOff>
      <xdr:row>23</xdr:row>
      <xdr:rowOff>123825</xdr:rowOff>
    </xdr:to>
    <xdr:sp macro="" textlink="">
      <xdr:nvSpPr>
        <xdr:cNvPr id="4" name="TextBox 3">
          <a:extLst>
            <a:ext uri="{FF2B5EF4-FFF2-40B4-BE49-F238E27FC236}">
              <a16:creationId xmlns:a16="http://schemas.microsoft.com/office/drawing/2014/main" id="{EBEACEB5-CAFC-498F-887F-FA4852BEC17A}"/>
            </a:ext>
          </a:extLst>
        </xdr:cNvPr>
        <xdr:cNvSpPr txBox="1"/>
      </xdr:nvSpPr>
      <xdr:spPr>
        <a:xfrm>
          <a:off x="8220075" y="190500"/>
          <a:ext cx="3038474" cy="3945255"/>
        </a:xfrm>
        <a:prstGeom prst="rect">
          <a:avLst/>
        </a:prstGeom>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b="1" u="sng" baseline="0"/>
            <a:t>Problem statement</a:t>
          </a:r>
        </a:p>
        <a:p>
          <a:pPr algn="ctr"/>
          <a:r>
            <a:rPr lang="en-US" sz="1100" baseline="0">
              <a:solidFill>
                <a:schemeClr val="dk1"/>
              </a:solidFill>
              <a:effectLst/>
              <a:latin typeface="+mn-lt"/>
              <a:ea typeface="+mn-ea"/>
              <a:cs typeface="+mn-cs"/>
            </a:rPr>
            <a:t>In the 2010s, "Power Posing" theory was a popular topic of discussion among those interested in self-help. To </a:t>
          </a:r>
          <a:r>
            <a:rPr lang="en-US" sz="1100" baseline="0"/>
            <a:t>investigate people's attitudes toward power pose training, a sample of 175 people completed a training course. They were instructed to report how much they enjoyed the course. </a:t>
          </a:r>
        </a:p>
        <a:p>
          <a:pPr algn="ctr"/>
          <a:endParaRPr lang="en-US" sz="1100" baseline="0"/>
        </a:p>
        <a:p>
          <a:pPr algn="ctr"/>
          <a:r>
            <a:rPr lang="en-US" sz="1100" baseline="0"/>
            <a:t>Afterwards, the participants were instructed to express their satisfaction on a scale from 1 to 5, with 1 corresponding to "hated it", 3 to "neutral", and 5 meaning "loved it".</a:t>
          </a:r>
        </a:p>
        <a:p>
          <a:pPr algn="ctr"/>
          <a:endParaRPr lang="en-US" sz="1100" baseline="0"/>
        </a:p>
        <a:p>
          <a:pPr algn="ctr"/>
          <a:r>
            <a:rPr lang="en-US" sz="1100" baseline="0"/>
            <a:t>Each participant was also asked to report their gender, if they were comfortable doing so.</a:t>
          </a:r>
        </a:p>
        <a:p>
          <a:pPr algn="ctr"/>
          <a:endParaRPr lang="en-US" sz="1100" baseline="0"/>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Perform</a:t>
          </a:r>
          <a:r>
            <a:rPr lang="en-US" sz="1100" baseline="0">
              <a:solidFill>
                <a:schemeClr val="dk1"/>
              </a:solidFill>
              <a:effectLst/>
              <a:latin typeface="+mn-lt"/>
              <a:ea typeface="+mn-ea"/>
              <a:cs typeface="+mn-cs"/>
            </a:rPr>
            <a:t> a Goodness of Fit Test to determine if there is a relationship between Gender and Enjoyment of Power Pose Training. </a:t>
          </a:r>
          <a:endParaRPr lang="en-US"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175260</xdr:colOff>
      <xdr:row>0</xdr:row>
      <xdr:rowOff>137160</xdr:rowOff>
    </xdr:from>
    <xdr:to>
      <xdr:col>6</xdr:col>
      <xdr:colOff>510540</xdr:colOff>
      <xdr:row>7</xdr:row>
      <xdr:rowOff>7620</xdr:rowOff>
    </xdr:to>
    <xdr:sp macro="" textlink="">
      <xdr:nvSpPr>
        <xdr:cNvPr id="2" name="TextBox 1">
          <a:extLst>
            <a:ext uri="{FF2B5EF4-FFF2-40B4-BE49-F238E27FC236}">
              <a16:creationId xmlns:a16="http://schemas.microsoft.com/office/drawing/2014/main" id="{0E0F8801-F807-5234-9D4E-DFB89149895E}"/>
            </a:ext>
          </a:extLst>
        </xdr:cNvPr>
        <xdr:cNvSpPr txBox="1"/>
      </xdr:nvSpPr>
      <xdr:spPr>
        <a:xfrm>
          <a:off x="175260" y="137160"/>
          <a:ext cx="3992880" cy="1150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a:t>an analyst</a:t>
          </a:r>
          <a:r>
            <a:rPr lang="en-US" sz="1100" baseline="0"/>
            <a:t> at TD bank have records about number of transactions in a month for 5 customers at three different branches. Data are small and it is believed to be non normal. I perform a </a:t>
          </a:r>
          <a:r>
            <a:rPr lang="en-CA" sz="1100" b="0" baseline="0">
              <a:solidFill>
                <a:schemeClr val="dk1"/>
              </a:solidFill>
              <a:effectLst/>
              <a:latin typeface="+mn-lt"/>
              <a:ea typeface="+mn-ea"/>
              <a:cs typeface="+mn-cs"/>
            </a:rPr>
            <a:t>Kruskal-Wallis (KW) test to determine if all three TD branches have similar average number of transactions. </a:t>
          </a:r>
          <a:endParaRPr lang="en-US" sz="1100"/>
        </a:p>
      </xdr:txBody>
    </xdr:sp>
    <xdr:clientData/>
  </xdr:twoCellAnchor>
  <xdr:twoCellAnchor>
    <xdr:from>
      <xdr:col>9</xdr:col>
      <xdr:colOff>198120</xdr:colOff>
      <xdr:row>0</xdr:row>
      <xdr:rowOff>152400</xdr:rowOff>
    </xdr:from>
    <xdr:to>
      <xdr:col>17</xdr:col>
      <xdr:colOff>327660</xdr:colOff>
      <xdr:row>6</xdr:row>
      <xdr:rowOff>144780</xdr:rowOff>
    </xdr:to>
    <xdr:sp macro="" textlink="">
      <xdr:nvSpPr>
        <xdr:cNvPr id="3" name="TextBox 2">
          <a:extLst>
            <a:ext uri="{FF2B5EF4-FFF2-40B4-BE49-F238E27FC236}">
              <a16:creationId xmlns:a16="http://schemas.microsoft.com/office/drawing/2014/main" id="{6A34C19D-3C44-349A-A1F2-26F4CC5BD329}"/>
            </a:ext>
          </a:extLst>
        </xdr:cNvPr>
        <xdr:cNvSpPr txBox="1"/>
      </xdr:nvSpPr>
      <xdr:spPr>
        <a:xfrm>
          <a:off x="6606540" y="152400"/>
          <a:ext cx="500634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sz="1100" baseline="0"/>
            <a:t>An analyst wants to know whether employees satisfaction rate are different between office and online working environment. Data are from scale from 1 being unsatisfied to 10 being very satisfied. However, the data are small size and non-normal. In this case, I perform </a:t>
          </a:r>
          <a:r>
            <a:rPr lang="en-US"/>
            <a:t>Mann-Whitney U Test to test whether working</a:t>
          </a:r>
          <a:r>
            <a:rPr lang="en-US" baseline="0"/>
            <a:t> online is more satisfied than in the office.</a:t>
          </a:r>
          <a:endParaRPr lang="en-US" sz="1100"/>
        </a:p>
      </xdr:txBody>
    </xdr:sp>
    <xdr:clientData/>
  </xdr:twoCellAnchor>
  <xdr:twoCellAnchor editAs="oneCell">
    <xdr:from>
      <xdr:col>13</xdr:col>
      <xdr:colOff>601980</xdr:colOff>
      <xdr:row>39</xdr:row>
      <xdr:rowOff>90098</xdr:rowOff>
    </xdr:from>
    <xdr:to>
      <xdr:col>16</xdr:col>
      <xdr:colOff>577660</xdr:colOff>
      <xdr:row>43</xdr:row>
      <xdr:rowOff>21119</xdr:rowOff>
    </xdr:to>
    <xdr:pic>
      <xdr:nvPicPr>
        <xdr:cNvPr id="4" name="Picture 3">
          <a:extLst>
            <a:ext uri="{FF2B5EF4-FFF2-40B4-BE49-F238E27FC236}">
              <a16:creationId xmlns:a16="http://schemas.microsoft.com/office/drawing/2014/main" id="{FFF26FD1-49B9-438A-AA76-BB31C5B7C19E}"/>
            </a:ext>
          </a:extLst>
        </xdr:cNvPr>
        <xdr:cNvPicPr>
          <a:picLocks noChangeAspect="1"/>
        </xdr:cNvPicPr>
      </xdr:nvPicPr>
      <xdr:blipFill>
        <a:blip xmlns:r="http://schemas.openxmlformats.org/officeDocument/2006/relationships" r:embed="rId1"/>
        <a:stretch>
          <a:fillRect/>
        </a:stretch>
      </xdr:blipFill>
      <xdr:spPr>
        <a:xfrm>
          <a:off x="9448800" y="7252898"/>
          <a:ext cx="1804480" cy="6625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97891-48D5-4F05-B702-368E56A7DA16}">
  <dimension ref="B8:AI306"/>
  <sheetViews>
    <sheetView showGridLines="0" tabSelected="1" zoomScaleNormal="100" workbookViewId="0">
      <selection activeCell="AH69" sqref="AH69"/>
    </sheetView>
  </sheetViews>
  <sheetFormatPr defaultRowHeight="14.4" x14ac:dyDescent="0.3"/>
  <cols>
    <col min="2" max="2" width="13.6640625" customWidth="1"/>
    <col min="3" max="3" width="5.109375" bestFit="1" customWidth="1"/>
    <col min="5" max="5" width="25" bestFit="1" customWidth="1"/>
    <col min="13" max="13" width="8.88671875" style="10"/>
    <col min="17" max="17" width="27.44140625" customWidth="1"/>
    <col min="18" max="18" width="12" bestFit="1" customWidth="1"/>
    <col min="19" max="19" width="12.33203125" bestFit="1" customWidth="1"/>
    <col min="25" max="25" width="8.88671875" style="10"/>
    <col min="27" max="27" width="17" customWidth="1"/>
    <col min="28" max="28" width="14" bestFit="1" customWidth="1"/>
    <col min="30" max="30" width="18.44140625" bestFit="1" customWidth="1"/>
    <col min="32" max="32" width="20.6640625" customWidth="1"/>
    <col min="33" max="33" width="14.109375" bestFit="1" customWidth="1"/>
    <col min="34" max="34" width="14.5546875" bestFit="1" customWidth="1"/>
  </cols>
  <sheetData>
    <row r="8" spans="2:30" x14ac:dyDescent="0.3">
      <c r="N8" t="s">
        <v>78</v>
      </c>
      <c r="O8" t="s">
        <v>79</v>
      </c>
    </row>
    <row r="9" spans="2:30" x14ac:dyDescent="0.3">
      <c r="N9">
        <v>43.2</v>
      </c>
      <c r="O9">
        <v>52.8</v>
      </c>
      <c r="Z9" t="s">
        <v>111</v>
      </c>
      <c r="AA9" t="s">
        <v>112</v>
      </c>
      <c r="AB9" t="s">
        <v>113</v>
      </c>
      <c r="AD9" t="s">
        <v>114</v>
      </c>
    </row>
    <row r="10" spans="2:30" x14ac:dyDescent="0.3">
      <c r="B10" s="1" t="s">
        <v>0</v>
      </c>
      <c r="C10" s="1" t="s">
        <v>1</v>
      </c>
      <c r="N10">
        <v>142.80000000000001</v>
      </c>
      <c r="O10">
        <v>115.2</v>
      </c>
      <c r="Z10">
        <v>1</v>
      </c>
      <c r="AA10">
        <v>8.5</v>
      </c>
      <c r="AB10">
        <v>7.8</v>
      </c>
      <c r="AD10">
        <f>AB10-AA10</f>
        <v>-0.70000000000000018</v>
      </c>
    </row>
    <row r="11" spans="2:30" x14ac:dyDescent="0.3">
      <c r="B11" s="2" t="s">
        <v>2</v>
      </c>
      <c r="C11" s="2">
        <v>24.2</v>
      </c>
      <c r="N11">
        <v>176.4</v>
      </c>
      <c r="O11">
        <v>45</v>
      </c>
      <c r="Z11">
        <v>2</v>
      </c>
      <c r="AA11">
        <v>7.2</v>
      </c>
      <c r="AB11">
        <v>6.9</v>
      </c>
      <c r="AD11">
        <f t="shared" ref="AD11:AD74" si="0">AB11-AA11</f>
        <v>-0.29999999999999982</v>
      </c>
    </row>
    <row r="12" spans="2:30" x14ac:dyDescent="0.3">
      <c r="B12" s="2" t="s">
        <v>3</v>
      </c>
      <c r="C12" s="2">
        <v>27.5</v>
      </c>
      <c r="N12">
        <v>165.6</v>
      </c>
      <c r="O12">
        <v>75.599999999999994</v>
      </c>
      <c r="Z12">
        <v>3</v>
      </c>
      <c r="AA12">
        <v>9.8000000000000007</v>
      </c>
      <c r="AB12">
        <v>8.1999999999999993</v>
      </c>
      <c r="AD12">
        <f t="shared" si="0"/>
        <v>-1.6000000000000014</v>
      </c>
    </row>
    <row r="13" spans="2:30" x14ac:dyDescent="0.3">
      <c r="B13" s="2" t="s">
        <v>4</v>
      </c>
      <c r="C13" s="2">
        <v>23.1</v>
      </c>
      <c r="N13">
        <v>60</v>
      </c>
      <c r="O13">
        <v>243</v>
      </c>
      <c r="Z13">
        <v>4</v>
      </c>
      <c r="AA13">
        <v>6.5</v>
      </c>
      <c r="AB13">
        <v>6.3</v>
      </c>
      <c r="AD13">
        <f t="shared" si="0"/>
        <v>-0.20000000000000018</v>
      </c>
    </row>
    <row r="14" spans="2:30" x14ac:dyDescent="0.3">
      <c r="B14" s="2" t="s">
        <v>5</v>
      </c>
      <c r="C14" s="2">
        <v>26.3</v>
      </c>
      <c r="N14">
        <v>38.4</v>
      </c>
      <c r="O14">
        <v>31.5</v>
      </c>
      <c r="Z14">
        <v>5</v>
      </c>
      <c r="AA14">
        <v>7.9</v>
      </c>
      <c r="AB14">
        <v>7.1</v>
      </c>
      <c r="AD14">
        <f t="shared" si="0"/>
        <v>-0.80000000000000071</v>
      </c>
    </row>
    <row r="15" spans="2:30" x14ac:dyDescent="0.3">
      <c r="B15" s="2" t="s">
        <v>6</v>
      </c>
      <c r="C15" s="2">
        <v>28.9</v>
      </c>
      <c r="N15">
        <v>234.6</v>
      </c>
      <c r="O15">
        <v>37.799999999999898</v>
      </c>
      <c r="Z15">
        <v>6</v>
      </c>
      <c r="AA15">
        <v>8.3000000000000007</v>
      </c>
      <c r="AB15">
        <v>7.9</v>
      </c>
      <c r="AD15">
        <f t="shared" si="0"/>
        <v>-0.40000000000000036</v>
      </c>
    </row>
    <row r="16" spans="2:30" x14ac:dyDescent="0.3">
      <c r="B16" s="2" t="s">
        <v>7</v>
      </c>
      <c r="C16" s="2">
        <v>21.8</v>
      </c>
      <c r="N16">
        <v>193.2</v>
      </c>
      <c r="O16">
        <v>183.6</v>
      </c>
      <c r="Z16">
        <v>7</v>
      </c>
      <c r="AA16">
        <v>7.1</v>
      </c>
      <c r="AB16">
        <v>6</v>
      </c>
      <c r="AD16">
        <f t="shared" si="0"/>
        <v>-1.0999999999999996</v>
      </c>
    </row>
    <row r="17" spans="2:33" x14ac:dyDescent="0.3">
      <c r="B17" s="2" t="s">
        <v>8</v>
      </c>
      <c r="C17" s="2">
        <v>25.7</v>
      </c>
      <c r="N17">
        <v>225</v>
      </c>
      <c r="O17">
        <v>36</v>
      </c>
      <c r="Z17">
        <v>8</v>
      </c>
      <c r="AA17">
        <v>8.6999999999999993</v>
      </c>
      <c r="AB17">
        <v>8.5</v>
      </c>
      <c r="AD17">
        <f t="shared" si="0"/>
        <v>-0.19999999999999929</v>
      </c>
    </row>
    <row r="18" spans="2:33" x14ac:dyDescent="0.3">
      <c r="B18" s="2" t="s">
        <v>9</v>
      </c>
      <c r="C18" s="2">
        <v>22.4</v>
      </c>
      <c r="N18">
        <v>46.2</v>
      </c>
      <c r="O18">
        <v>10.8</v>
      </c>
      <c r="Z18">
        <v>9</v>
      </c>
      <c r="AA18">
        <v>6.9</v>
      </c>
      <c r="AB18">
        <v>6.7</v>
      </c>
      <c r="AD18">
        <f t="shared" si="0"/>
        <v>-0.20000000000000018</v>
      </c>
      <c r="AF18" s="13" t="s">
        <v>121</v>
      </c>
    </row>
    <row r="19" spans="2:33" x14ac:dyDescent="0.3">
      <c r="B19" s="2" t="s">
        <v>10</v>
      </c>
      <c r="C19" s="2">
        <v>29.1</v>
      </c>
      <c r="N19">
        <v>67.2</v>
      </c>
      <c r="O19">
        <v>81.599999999999994</v>
      </c>
      <c r="Z19">
        <v>10</v>
      </c>
      <c r="AA19">
        <v>8.1999999999999993</v>
      </c>
      <c r="AB19">
        <v>7.8</v>
      </c>
      <c r="AD19">
        <f t="shared" si="0"/>
        <v>-0.39999999999999947</v>
      </c>
      <c r="AF19" t="s">
        <v>118</v>
      </c>
    </row>
    <row r="20" spans="2:33" x14ac:dyDescent="0.3">
      <c r="B20" s="2" t="s">
        <v>11</v>
      </c>
      <c r="C20" s="2">
        <v>24.8</v>
      </c>
      <c r="N20">
        <v>180.6</v>
      </c>
      <c r="O20">
        <v>130.5</v>
      </c>
      <c r="Z20">
        <v>11</v>
      </c>
      <c r="AA20">
        <v>7.6</v>
      </c>
      <c r="AB20">
        <v>6</v>
      </c>
      <c r="AD20">
        <f t="shared" si="0"/>
        <v>-1.5999999999999996</v>
      </c>
      <c r="AF20" t="s">
        <v>119</v>
      </c>
    </row>
    <row r="21" spans="2:33" x14ac:dyDescent="0.3">
      <c r="B21" s="2" t="s">
        <v>12</v>
      </c>
      <c r="C21" s="2">
        <v>26.5</v>
      </c>
      <c r="N21">
        <v>189</v>
      </c>
      <c r="O21">
        <v>76.8</v>
      </c>
      <c r="Z21">
        <v>12</v>
      </c>
      <c r="AA21">
        <v>9.1</v>
      </c>
      <c r="AB21">
        <v>6.8</v>
      </c>
      <c r="AD21">
        <f t="shared" si="0"/>
        <v>-2.2999999999999998</v>
      </c>
      <c r="AF21" t="s">
        <v>120</v>
      </c>
    </row>
    <row r="22" spans="2:33" x14ac:dyDescent="0.3">
      <c r="B22" s="2" t="s">
        <v>13</v>
      </c>
      <c r="C22" s="2">
        <v>23.9</v>
      </c>
      <c r="N22">
        <v>42</v>
      </c>
      <c r="O22">
        <v>9.6000000000000103</v>
      </c>
      <c r="Z22">
        <v>13</v>
      </c>
      <c r="AA22">
        <v>7.8</v>
      </c>
      <c r="AB22">
        <v>7.5</v>
      </c>
      <c r="AD22">
        <f t="shared" si="0"/>
        <v>-0.29999999999999982</v>
      </c>
    </row>
    <row r="23" spans="2:33" x14ac:dyDescent="0.3">
      <c r="B23" s="2" t="s">
        <v>14</v>
      </c>
      <c r="C23" s="2">
        <v>27</v>
      </c>
      <c r="N23">
        <v>54.6</v>
      </c>
      <c r="O23">
        <v>50.4</v>
      </c>
      <c r="Z23">
        <v>14</v>
      </c>
      <c r="AA23">
        <v>8.4</v>
      </c>
      <c r="AB23">
        <v>8.1</v>
      </c>
      <c r="AD23">
        <f t="shared" si="0"/>
        <v>-0.30000000000000071</v>
      </c>
      <c r="AF23" s="8" t="s">
        <v>117</v>
      </c>
    </row>
    <row r="24" spans="2:33" x14ac:dyDescent="0.3">
      <c r="B24" s="2" t="s">
        <v>15</v>
      </c>
      <c r="C24" s="2">
        <v>25.3</v>
      </c>
      <c r="N24">
        <v>58.5</v>
      </c>
      <c r="O24">
        <v>32.4</v>
      </c>
      <c r="Z24">
        <v>15</v>
      </c>
      <c r="AA24">
        <v>8.9</v>
      </c>
      <c r="AB24">
        <v>7.3</v>
      </c>
      <c r="AD24">
        <f t="shared" si="0"/>
        <v>-1.6000000000000005</v>
      </c>
      <c r="AF24" t="s">
        <v>116</v>
      </c>
    </row>
    <row r="25" spans="2:33" x14ac:dyDescent="0.3">
      <c r="B25" s="2" t="s">
        <v>16</v>
      </c>
      <c r="C25" s="2">
        <v>22.7</v>
      </c>
      <c r="N25">
        <v>61.2</v>
      </c>
      <c r="O25">
        <v>21</v>
      </c>
      <c r="Q25" t="s">
        <v>80</v>
      </c>
      <c r="Z25">
        <v>16</v>
      </c>
      <c r="AA25">
        <v>7.3</v>
      </c>
      <c r="AB25">
        <v>5.6</v>
      </c>
      <c r="AD25">
        <f t="shared" si="0"/>
        <v>-1.7000000000000002</v>
      </c>
      <c r="AF25" t="s">
        <v>115</v>
      </c>
    </row>
    <row r="26" spans="2:33" x14ac:dyDescent="0.3">
      <c r="B26" s="2" t="s">
        <v>17</v>
      </c>
      <c r="C26" s="2">
        <v>28.1</v>
      </c>
      <c r="E26" t="s">
        <v>73</v>
      </c>
      <c r="N26">
        <v>246</v>
      </c>
      <c r="O26">
        <v>189</v>
      </c>
      <c r="Z26">
        <v>17</v>
      </c>
      <c r="AA26">
        <v>8</v>
      </c>
      <c r="AB26">
        <v>6.6</v>
      </c>
      <c r="AD26">
        <f t="shared" si="0"/>
        <v>-1.4000000000000004</v>
      </c>
    </row>
    <row r="27" spans="2:33" x14ac:dyDescent="0.3">
      <c r="B27" s="2" t="s">
        <v>18</v>
      </c>
      <c r="C27" s="2">
        <v>23.5</v>
      </c>
      <c r="N27">
        <v>130.5</v>
      </c>
      <c r="O27">
        <v>37.799999999999997</v>
      </c>
      <c r="Q27" s="8" t="s">
        <v>83</v>
      </c>
      <c r="Z27">
        <v>18</v>
      </c>
      <c r="AA27">
        <v>6.7</v>
      </c>
      <c r="AB27">
        <v>5</v>
      </c>
      <c r="AD27">
        <f t="shared" si="0"/>
        <v>-1.7000000000000002</v>
      </c>
      <c r="AF27" t="s">
        <v>125</v>
      </c>
    </row>
    <row r="28" spans="2:33" x14ac:dyDescent="0.3">
      <c r="B28" s="2" t="s">
        <v>19</v>
      </c>
      <c r="C28" s="2">
        <v>26.8</v>
      </c>
      <c r="N28">
        <v>40.5</v>
      </c>
      <c r="O28">
        <v>153.6</v>
      </c>
      <c r="Q28" t="s">
        <v>81</v>
      </c>
      <c r="T28">
        <f>_xlfn.VAR.S(N9:N162)</f>
        <v>5348.3844919786115</v>
      </c>
      <c r="Z28">
        <v>19</v>
      </c>
      <c r="AA28">
        <v>8.6</v>
      </c>
      <c r="AB28">
        <v>8.3000000000000007</v>
      </c>
      <c r="AD28">
        <f t="shared" si="0"/>
        <v>-0.29999999999999893</v>
      </c>
      <c r="AF28" s="8" t="s">
        <v>67</v>
      </c>
      <c r="AG28" s="6">
        <v>0.05</v>
      </c>
    </row>
    <row r="29" spans="2:33" x14ac:dyDescent="0.3">
      <c r="B29" s="2" t="s">
        <v>20</v>
      </c>
      <c r="C29" s="2">
        <v>25</v>
      </c>
      <c r="E29" s="8" t="s">
        <v>52</v>
      </c>
      <c r="N29">
        <v>172.8</v>
      </c>
      <c r="O29">
        <v>27</v>
      </c>
      <c r="Q29" t="s">
        <v>82</v>
      </c>
      <c r="T29">
        <f>_xlfn.VAR.S(O9:O306)</f>
        <v>2702.3898647549336</v>
      </c>
      <c r="Z29">
        <v>20</v>
      </c>
      <c r="AA29">
        <v>7.5</v>
      </c>
      <c r="AB29">
        <v>7</v>
      </c>
      <c r="AD29">
        <f t="shared" si="0"/>
        <v>-0.5</v>
      </c>
    </row>
    <row r="30" spans="2:33" x14ac:dyDescent="0.3">
      <c r="B30" s="2" t="s">
        <v>21</v>
      </c>
      <c r="C30" s="2">
        <v>24.6</v>
      </c>
      <c r="E30" t="s">
        <v>74</v>
      </c>
      <c r="N30">
        <v>207</v>
      </c>
      <c r="O30">
        <v>151.19999999999999</v>
      </c>
      <c r="Z30">
        <v>21</v>
      </c>
      <c r="AA30">
        <v>8.1</v>
      </c>
      <c r="AB30">
        <v>7</v>
      </c>
      <c r="AD30">
        <f t="shared" si="0"/>
        <v>-1.0999999999999996</v>
      </c>
    </row>
    <row r="31" spans="2:33" x14ac:dyDescent="0.3">
      <c r="B31" s="2" t="s">
        <v>22</v>
      </c>
      <c r="C31" s="2">
        <v>25.4</v>
      </c>
      <c r="E31" t="s">
        <v>75</v>
      </c>
      <c r="N31">
        <v>129.6</v>
      </c>
      <c r="O31">
        <v>97.2</v>
      </c>
      <c r="Q31" s="8" t="s">
        <v>84</v>
      </c>
      <c r="Z31">
        <v>22</v>
      </c>
      <c r="AA31">
        <v>6.8</v>
      </c>
      <c r="AB31">
        <v>6.2</v>
      </c>
      <c r="AD31">
        <f t="shared" si="0"/>
        <v>-0.59999999999999964</v>
      </c>
      <c r="AF31" s="8" t="s">
        <v>122</v>
      </c>
    </row>
    <row r="32" spans="2:33" x14ac:dyDescent="0.3">
      <c r="B32" s="2" t="s">
        <v>23</v>
      </c>
      <c r="C32" s="2">
        <v>26.1</v>
      </c>
      <c r="N32">
        <v>58.5</v>
      </c>
      <c r="O32">
        <v>155.4</v>
      </c>
      <c r="Z32">
        <v>23</v>
      </c>
      <c r="AA32">
        <v>7.4</v>
      </c>
      <c r="AB32">
        <v>5</v>
      </c>
      <c r="AD32">
        <f t="shared" si="0"/>
        <v>-2.4000000000000004</v>
      </c>
    </row>
    <row r="33" spans="2:35" x14ac:dyDescent="0.3">
      <c r="B33" s="2" t="s">
        <v>24</v>
      </c>
      <c r="C33" s="2">
        <v>23.3</v>
      </c>
      <c r="N33">
        <v>163.19999999999999</v>
      </c>
      <c r="O33">
        <v>61.2</v>
      </c>
      <c r="Q33" t="s">
        <v>85</v>
      </c>
      <c r="Z33">
        <v>24</v>
      </c>
      <c r="AA33">
        <v>9.1999999999999993</v>
      </c>
      <c r="AB33">
        <v>6.7</v>
      </c>
      <c r="AD33">
        <f t="shared" si="0"/>
        <v>-2.4999999999999991</v>
      </c>
      <c r="AF33" t="s">
        <v>123</v>
      </c>
    </row>
    <row r="34" spans="2:35" ht="15" thickBot="1" x14ac:dyDescent="0.35">
      <c r="B34" s="2" t="s">
        <v>25</v>
      </c>
      <c r="C34" s="2">
        <v>27.6</v>
      </c>
      <c r="E34" s="8" t="s">
        <v>67</v>
      </c>
      <c r="F34" s="6">
        <v>0.05</v>
      </c>
      <c r="N34">
        <v>162</v>
      </c>
      <c r="O34">
        <v>58.5</v>
      </c>
      <c r="Z34">
        <v>25</v>
      </c>
      <c r="AA34">
        <v>8.8000000000000007</v>
      </c>
      <c r="AB34">
        <v>8.1999999999999993</v>
      </c>
      <c r="AD34">
        <f t="shared" si="0"/>
        <v>-0.60000000000000142</v>
      </c>
    </row>
    <row r="35" spans="2:35" x14ac:dyDescent="0.3">
      <c r="B35" s="2" t="s">
        <v>26</v>
      </c>
      <c r="C35" s="2">
        <v>24.4</v>
      </c>
      <c r="N35">
        <v>103.5</v>
      </c>
      <c r="O35">
        <v>110.4</v>
      </c>
      <c r="Q35" s="4"/>
      <c r="R35" s="4" t="s">
        <v>78</v>
      </c>
      <c r="S35" s="4" t="s">
        <v>79</v>
      </c>
      <c r="Z35">
        <v>26</v>
      </c>
      <c r="AA35">
        <v>7</v>
      </c>
      <c r="AB35">
        <v>6.9</v>
      </c>
      <c r="AD35">
        <f t="shared" si="0"/>
        <v>-9.9999999999999645E-2</v>
      </c>
      <c r="AF35" s="4"/>
      <c r="AG35" s="4" t="s">
        <v>113</v>
      </c>
      <c r="AH35" s="4" t="s">
        <v>112</v>
      </c>
    </row>
    <row r="36" spans="2:35" x14ac:dyDescent="0.3">
      <c r="B36" s="2" t="s">
        <v>27</v>
      </c>
      <c r="C36" s="2">
        <v>22.9</v>
      </c>
      <c r="N36">
        <v>71.400000000000006</v>
      </c>
      <c r="O36">
        <v>58.8</v>
      </c>
      <c r="Q36" t="s">
        <v>53</v>
      </c>
      <c r="R36">
        <v>118.39090909090908</v>
      </c>
      <c r="S36">
        <v>82.52718120805369</v>
      </c>
      <c r="Z36">
        <v>27</v>
      </c>
      <c r="AA36">
        <v>8.3000000000000007</v>
      </c>
      <c r="AB36">
        <v>8</v>
      </c>
      <c r="AD36">
        <f t="shared" si="0"/>
        <v>-0.30000000000000071</v>
      </c>
      <c r="AF36" t="s">
        <v>53</v>
      </c>
      <c r="AG36">
        <v>7.286363636363637</v>
      </c>
      <c r="AH36">
        <v>7.9056818181818196</v>
      </c>
    </row>
    <row r="37" spans="2:35" x14ac:dyDescent="0.3">
      <c r="B37" s="2" t="s">
        <v>28</v>
      </c>
      <c r="C37" s="2">
        <v>27.9</v>
      </c>
      <c r="N37">
        <v>54</v>
      </c>
      <c r="O37">
        <v>43.2</v>
      </c>
      <c r="Q37" t="s">
        <v>86</v>
      </c>
      <c r="R37">
        <v>5348.3844919786115</v>
      </c>
      <c r="S37">
        <v>2702.3898647549336</v>
      </c>
      <c r="Z37">
        <v>28</v>
      </c>
      <c r="AA37">
        <v>7.7</v>
      </c>
      <c r="AB37">
        <v>7</v>
      </c>
      <c r="AD37">
        <f t="shared" si="0"/>
        <v>-0.70000000000000018</v>
      </c>
      <c r="AF37" t="s">
        <v>86</v>
      </c>
      <c r="AG37">
        <v>0.83314524555904401</v>
      </c>
      <c r="AH37">
        <v>0.44353056426332305</v>
      </c>
    </row>
    <row r="38" spans="2:35" x14ac:dyDescent="0.3">
      <c r="B38" s="2" t="s">
        <v>29</v>
      </c>
      <c r="C38" s="2">
        <v>23.7</v>
      </c>
      <c r="E38" s="8" t="s">
        <v>66</v>
      </c>
      <c r="N38">
        <v>13.5</v>
      </c>
      <c r="O38">
        <v>91.2</v>
      </c>
      <c r="Q38" t="s">
        <v>87</v>
      </c>
      <c r="R38">
        <v>154</v>
      </c>
      <c r="S38">
        <v>298</v>
      </c>
      <c r="Z38">
        <v>29</v>
      </c>
      <c r="AA38">
        <v>6.6</v>
      </c>
      <c r="AB38">
        <v>8</v>
      </c>
      <c r="AD38">
        <f t="shared" si="0"/>
        <v>1.4000000000000004</v>
      </c>
      <c r="AF38" t="s">
        <v>87</v>
      </c>
      <c r="AG38">
        <v>88</v>
      </c>
      <c r="AH38">
        <v>88</v>
      </c>
    </row>
    <row r="39" spans="2:35" ht="15" thickBot="1" x14ac:dyDescent="0.35">
      <c r="B39" s="2" t="s">
        <v>30</v>
      </c>
      <c r="C39" s="2">
        <v>26.2</v>
      </c>
      <c r="N39">
        <v>60</v>
      </c>
      <c r="O39">
        <v>79.8</v>
      </c>
      <c r="Q39" t="s">
        <v>88</v>
      </c>
      <c r="R39">
        <v>153</v>
      </c>
      <c r="S39">
        <v>297</v>
      </c>
      <c r="Z39">
        <v>30</v>
      </c>
      <c r="AA39">
        <v>7.2</v>
      </c>
      <c r="AB39">
        <v>7.5</v>
      </c>
      <c r="AD39">
        <f t="shared" si="0"/>
        <v>0.29999999999999982</v>
      </c>
      <c r="AF39" t="s">
        <v>124</v>
      </c>
      <c r="AG39">
        <v>0.40987756324962288</v>
      </c>
    </row>
    <row r="40" spans="2:35" x14ac:dyDescent="0.3">
      <c r="B40" s="2" t="s">
        <v>31</v>
      </c>
      <c r="C40" s="2">
        <v>25.1</v>
      </c>
      <c r="E40" s="5" t="s">
        <v>1</v>
      </c>
      <c r="F40" s="5"/>
      <c r="N40">
        <v>201.6</v>
      </c>
      <c r="O40">
        <v>121.8</v>
      </c>
      <c r="Q40" t="s">
        <v>89</v>
      </c>
      <c r="R40">
        <v>1.9791313465659517</v>
      </c>
      <c r="Z40">
        <v>31</v>
      </c>
      <c r="AA40">
        <v>8.4</v>
      </c>
      <c r="AB40">
        <v>8.3000000000000007</v>
      </c>
      <c r="AD40">
        <f t="shared" si="0"/>
        <v>-9.9999999999999645E-2</v>
      </c>
      <c r="AF40" t="s">
        <v>94</v>
      </c>
      <c r="AG40">
        <v>0</v>
      </c>
    </row>
    <row r="41" spans="2:35" x14ac:dyDescent="0.3">
      <c r="B41" s="2" t="s">
        <v>32</v>
      </c>
      <c r="C41" s="2">
        <v>24</v>
      </c>
      <c r="N41">
        <v>113.4</v>
      </c>
      <c r="O41">
        <v>130.5</v>
      </c>
      <c r="Q41" t="s">
        <v>90</v>
      </c>
      <c r="R41" s="11">
        <v>2.9309056108736696E-7</v>
      </c>
      <c r="Z41">
        <v>32</v>
      </c>
      <c r="AA41">
        <v>6.9</v>
      </c>
      <c r="AB41">
        <v>7.1</v>
      </c>
      <c r="AD41">
        <f t="shared" si="0"/>
        <v>0.19999999999999929</v>
      </c>
      <c r="AF41" t="s">
        <v>88</v>
      </c>
      <c r="AG41">
        <v>87</v>
      </c>
    </row>
    <row r="42" spans="2:35" ht="15" thickBot="1" x14ac:dyDescent="0.35">
      <c r="B42" s="2" t="s">
        <v>33</v>
      </c>
      <c r="C42" s="2">
        <v>28.5</v>
      </c>
      <c r="E42" t="s">
        <v>53</v>
      </c>
      <c r="F42">
        <v>25.358000000000001</v>
      </c>
      <c r="N42">
        <v>61.2</v>
      </c>
      <c r="O42">
        <v>244.8</v>
      </c>
      <c r="Q42" s="3" t="s">
        <v>91</v>
      </c>
      <c r="R42" s="3">
        <v>1.2549371273007981</v>
      </c>
      <c r="S42" s="3"/>
      <c r="Z42">
        <v>33</v>
      </c>
      <c r="AA42">
        <v>7.5</v>
      </c>
      <c r="AB42">
        <v>6</v>
      </c>
      <c r="AD42">
        <f t="shared" si="0"/>
        <v>-1.5</v>
      </c>
      <c r="AF42" t="s">
        <v>95</v>
      </c>
      <c r="AG42">
        <v>-6.5851462925126567</v>
      </c>
    </row>
    <row r="43" spans="2:35" x14ac:dyDescent="0.3">
      <c r="B43" s="2" t="s">
        <v>34</v>
      </c>
      <c r="C43" s="2">
        <v>23.2</v>
      </c>
      <c r="E43" t="s">
        <v>54</v>
      </c>
      <c r="F43">
        <v>0.26469990709542479</v>
      </c>
      <c r="N43">
        <v>27</v>
      </c>
      <c r="O43">
        <v>178.5</v>
      </c>
      <c r="Z43">
        <v>34</v>
      </c>
      <c r="AA43">
        <v>8.1</v>
      </c>
      <c r="AB43">
        <v>7.9</v>
      </c>
      <c r="AD43">
        <f t="shared" si="0"/>
        <v>-0.19999999999999929</v>
      </c>
      <c r="AF43" t="s">
        <v>96</v>
      </c>
      <c r="AG43" s="14">
        <v>1.6569911390690378E-9</v>
      </c>
    </row>
    <row r="44" spans="2:35" x14ac:dyDescent="0.3">
      <c r="B44" s="2" t="s">
        <v>35</v>
      </c>
      <c r="C44" s="2">
        <v>26.9</v>
      </c>
      <c r="E44" t="s">
        <v>55</v>
      </c>
      <c r="F44">
        <v>25.25</v>
      </c>
      <c r="N44">
        <v>27</v>
      </c>
      <c r="O44">
        <v>72</v>
      </c>
      <c r="Q44" t="s">
        <v>92</v>
      </c>
      <c r="Z44">
        <v>35</v>
      </c>
      <c r="AA44">
        <v>7.3</v>
      </c>
      <c r="AB44">
        <v>8.1999999999999993</v>
      </c>
      <c r="AD44">
        <f t="shared" si="0"/>
        <v>0.89999999999999947</v>
      </c>
      <c r="AF44" t="s">
        <v>97</v>
      </c>
      <c r="AG44">
        <v>1.662557349412876</v>
      </c>
      <c r="AH44">
        <v>-1.66255</v>
      </c>
      <c r="AI44" t="s">
        <v>330</v>
      </c>
    </row>
    <row r="45" spans="2:35" x14ac:dyDescent="0.3">
      <c r="B45" s="2" t="s">
        <v>36</v>
      </c>
      <c r="C45" s="2">
        <v>25.2</v>
      </c>
      <c r="E45" t="s">
        <v>56</v>
      </c>
      <c r="F45" t="e">
        <v>#N/A</v>
      </c>
      <c r="N45">
        <v>54</v>
      </c>
      <c r="O45">
        <v>86.4</v>
      </c>
      <c r="Z45">
        <v>36</v>
      </c>
      <c r="AA45">
        <v>9</v>
      </c>
      <c r="AB45">
        <v>7.4</v>
      </c>
      <c r="AD45">
        <f t="shared" si="0"/>
        <v>-1.5999999999999996</v>
      </c>
      <c r="AF45" t="s">
        <v>98</v>
      </c>
      <c r="AG45">
        <v>3.3139822781380756E-9</v>
      </c>
    </row>
    <row r="46" spans="2:35" ht="15" thickBot="1" x14ac:dyDescent="0.35">
      <c r="B46" s="2" t="s">
        <v>37</v>
      </c>
      <c r="C46" s="2">
        <v>22.5</v>
      </c>
      <c r="E46" t="s">
        <v>57</v>
      </c>
      <c r="F46">
        <v>1.8717109928662399</v>
      </c>
      <c r="N46">
        <v>56.1</v>
      </c>
      <c r="O46">
        <v>4.8</v>
      </c>
      <c r="Q46" s="8" t="s">
        <v>100</v>
      </c>
      <c r="Z46">
        <v>37</v>
      </c>
      <c r="AA46">
        <v>8.5</v>
      </c>
      <c r="AB46">
        <v>6.4</v>
      </c>
      <c r="AD46">
        <f t="shared" si="0"/>
        <v>-2.0999999999999996</v>
      </c>
      <c r="AF46" s="3" t="s">
        <v>99</v>
      </c>
      <c r="AG46" s="3">
        <v>1.9876082815890745</v>
      </c>
      <c r="AH46" s="3"/>
    </row>
    <row r="47" spans="2:35" x14ac:dyDescent="0.3">
      <c r="B47" s="2" t="s">
        <v>38</v>
      </c>
      <c r="C47" s="2">
        <v>27.4</v>
      </c>
      <c r="E47" t="s">
        <v>58</v>
      </c>
      <c r="F47">
        <v>3.5033020408163256</v>
      </c>
      <c r="N47">
        <v>197.4</v>
      </c>
      <c r="O47">
        <v>121.8</v>
      </c>
      <c r="Q47" t="s">
        <v>101</v>
      </c>
      <c r="Z47">
        <v>38</v>
      </c>
      <c r="AA47">
        <v>7.8</v>
      </c>
      <c r="AB47">
        <v>6.8</v>
      </c>
      <c r="AD47">
        <f t="shared" si="0"/>
        <v>-1</v>
      </c>
    </row>
    <row r="48" spans="2:35" x14ac:dyDescent="0.3">
      <c r="B48" s="2" t="s">
        <v>39</v>
      </c>
      <c r="C48" s="2">
        <v>24.7</v>
      </c>
      <c r="E48" t="s">
        <v>59</v>
      </c>
      <c r="F48">
        <v>-0.85810751514713157</v>
      </c>
      <c r="N48">
        <v>62.4</v>
      </c>
      <c r="O48">
        <v>90</v>
      </c>
      <c r="Q48" t="s">
        <v>102</v>
      </c>
      <c r="Z48">
        <v>39</v>
      </c>
      <c r="AA48">
        <v>8.1999999999999993</v>
      </c>
      <c r="AB48">
        <v>7.3</v>
      </c>
      <c r="AD48">
        <f t="shared" si="0"/>
        <v>-0.89999999999999947</v>
      </c>
      <c r="AF48" s="7" t="s">
        <v>328</v>
      </c>
    </row>
    <row r="49" spans="2:33" x14ac:dyDescent="0.3">
      <c r="B49" s="2" t="s">
        <v>40</v>
      </c>
      <c r="C49" s="2">
        <v>26</v>
      </c>
      <c r="E49" t="s">
        <v>60</v>
      </c>
      <c r="F49">
        <v>0.15680406033721075</v>
      </c>
      <c r="N49">
        <v>240</v>
      </c>
      <c r="O49">
        <v>22.5</v>
      </c>
      <c r="Z49">
        <v>40</v>
      </c>
      <c r="AA49">
        <v>7.6</v>
      </c>
      <c r="AB49">
        <v>4.9000000000000004</v>
      </c>
      <c r="AD49">
        <f t="shared" si="0"/>
        <v>-2.6999999999999993</v>
      </c>
    </row>
    <row r="50" spans="2:33" x14ac:dyDescent="0.3">
      <c r="B50" s="2" t="s">
        <v>41</v>
      </c>
      <c r="C50" s="2">
        <v>23.8</v>
      </c>
      <c r="E50" t="s">
        <v>61</v>
      </c>
      <c r="F50">
        <v>7.3000000000000007</v>
      </c>
      <c r="N50">
        <v>45.9</v>
      </c>
      <c r="O50">
        <v>37.799999999999997</v>
      </c>
      <c r="Z50">
        <v>41</v>
      </c>
      <c r="AA50">
        <v>9.3000000000000007</v>
      </c>
      <c r="AB50">
        <v>7</v>
      </c>
      <c r="AD50">
        <f t="shared" si="0"/>
        <v>-2.3000000000000007</v>
      </c>
    </row>
    <row r="51" spans="2:33" x14ac:dyDescent="0.3">
      <c r="B51" s="2" t="s">
        <v>42</v>
      </c>
      <c r="C51" s="2">
        <v>25.5</v>
      </c>
      <c r="E51" t="s">
        <v>62</v>
      </c>
      <c r="F51">
        <v>21.8</v>
      </c>
      <c r="N51">
        <v>155.4</v>
      </c>
      <c r="O51">
        <v>91.2</v>
      </c>
      <c r="Q51" s="8" t="s">
        <v>103</v>
      </c>
      <c r="Z51">
        <v>42</v>
      </c>
      <c r="AA51">
        <v>7.1</v>
      </c>
      <c r="AB51">
        <v>8.5</v>
      </c>
      <c r="AD51">
        <f t="shared" si="0"/>
        <v>1.4000000000000004</v>
      </c>
      <c r="AF51" s="8" t="s">
        <v>126</v>
      </c>
    </row>
    <row r="52" spans="2:33" x14ac:dyDescent="0.3">
      <c r="B52" s="2" t="s">
        <v>43</v>
      </c>
      <c r="C52" s="2">
        <v>24.3</v>
      </c>
      <c r="E52" t="s">
        <v>63</v>
      </c>
      <c r="F52">
        <v>29.1</v>
      </c>
      <c r="N52">
        <v>205.8</v>
      </c>
      <c r="O52">
        <v>31.5</v>
      </c>
      <c r="Q52" t="s">
        <v>93</v>
      </c>
      <c r="Z52">
        <v>43</v>
      </c>
      <c r="AA52">
        <v>8</v>
      </c>
      <c r="AB52">
        <v>7.2</v>
      </c>
      <c r="AD52">
        <f t="shared" si="0"/>
        <v>-0.79999999999999982</v>
      </c>
      <c r="AF52" t="s">
        <v>329</v>
      </c>
    </row>
    <row r="53" spans="2:33" ht="15" thickBot="1" x14ac:dyDescent="0.35">
      <c r="B53" s="2" t="s">
        <v>44</v>
      </c>
      <c r="C53" s="2">
        <v>27.2</v>
      </c>
      <c r="E53" t="s">
        <v>64</v>
      </c>
      <c r="F53">
        <v>1267.9000000000001</v>
      </c>
      <c r="N53">
        <v>216</v>
      </c>
      <c r="O53">
        <v>67.5</v>
      </c>
      <c r="Z53">
        <v>44</v>
      </c>
      <c r="AA53">
        <v>7.6</v>
      </c>
      <c r="AB53">
        <v>8.6999999999999993</v>
      </c>
      <c r="AD53">
        <f t="shared" si="0"/>
        <v>1.0999999999999996</v>
      </c>
      <c r="AF53" t="s">
        <v>127</v>
      </c>
    </row>
    <row r="54" spans="2:33" ht="15" thickBot="1" x14ac:dyDescent="0.35">
      <c r="B54" s="2" t="s">
        <v>45</v>
      </c>
      <c r="C54" s="2">
        <v>23.4</v>
      </c>
      <c r="E54" s="3" t="s">
        <v>65</v>
      </c>
      <c r="F54" s="3">
        <v>50</v>
      </c>
      <c r="N54">
        <v>81.599999999999994</v>
      </c>
      <c r="O54">
        <v>110.4</v>
      </c>
      <c r="Q54" s="4"/>
      <c r="R54" s="4" t="s">
        <v>78</v>
      </c>
      <c r="S54" s="4" t="s">
        <v>79</v>
      </c>
      <c r="Z54">
        <v>45</v>
      </c>
      <c r="AA54">
        <v>8.4</v>
      </c>
      <c r="AB54">
        <v>7.9</v>
      </c>
      <c r="AD54">
        <f t="shared" si="0"/>
        <v>-0.5</v>
      </c>
    </row>
    <row r="55" spans="2:33" x14ac:dyDescent="0.3">
      <c r="B55" s="2" t="s">
        <v>46</v>
      </c>
      <c r="C55" s="2">
        <v>26.7</v>
      </c>
      <c r="N55">
        <v>172.2</v>
      </c>
      <c r="O55">
        <v>67.2</v>
      </c>
      <c r="Q55" t="s">
        <v>53</v>
      </c>
      <c r="R55">
        <v>118.39090909090908</v>
      </c>
      <c r="S55">
        <v>82.52718120805369</v>
      </c>
      <c r="Z55">
        <v>46</v>
      </c>
      <c r="AA55">
        <v>7.2</v>
      </c>
      <c r="AB55">
        <v>4.7</v>
      </c>
      <c r="AD55">
        <f t="shared" si="0"/>
        <v>-2.5</v>
      </c>
    </row>
    <row r="56" spans="2:33" x14ac:dyDescent="0.3">
      <c r="B56" s="2" t="s">
        <v>47</v>
      </c>
      <c r="C56" s="2">
        <v>25.6</v>
      </c>
      <c r="E56" t="s">
        <v>68</v>
      </c>
      <c r="F56">
        <f>_xlfn.T.INV.2T(F34, F54-1)</f>
        <v>2.0095752371292388</v>
      </c>
      <c r="N56">
        <v>42</v>
      </c>
      <c r="O56">
        <v>58.5</v>
      </c>
      <c r="Q56" t="s">
        <v>86</v>
      </c>
      <c r="R56">
        <v>5348.3844919786115</v>
      </c>
      <c r="S56">
        <v>2702.3898647549336</v>
      </c>
      <c r="Z56">
        <v>47</v>
      </c>
      <c r="AA56">
        <v>7.9</v>
      </c>
      <c r="AB56">
        <v>7.6</v>
      </c>
      <c r="AD56">
        <f t="shared" si="0"/>
        <v>-0.30000000000000071</v>
      </c>
    </row>
    <row r="57" spans="2:33" x14ac:dyDescent="0.3">
      <c r="B57" s="2" t="s">
        <v>48</v>
      </c>
      <c r="C57" s="2">
        <v>24.9</v>
      </c>
      <c r="E57" t="s">
        <v>69</v>
      </c>
      <c r="F57">
        <f>(F42-25)/(F46/SQRT(F54))</f>
        <v>1.3524749741258537</v>
      </c>
      <c r="N57">
        <v>96.6</v>
      </c>
      <c r="O57">
        <v>84</v>
      </c>
      <c r="Q57" t="s">
        <v>87</v>
      </c>
      <c r="R57">
        <v>154</v>
      </c>
      <c r="S57">
        <v>298</v>
      </c>
      <c r="Z57">
        <v>48</v>
      </c>
      <c r="AA57">
        <v>8.6999999999999993</v>
      </c>
      <c r="AB57">
        <v>8</v>
      </c>
      <c r="AD57">
        <f t="shared" si="0"/>
        <v>-0.69999999999999929</v>
      </c>
      <c r="AF57" s="8" t="s">
        <v>128</v>
      </c>
    </row>
    <row r="58" spans="2:33" x14ac:dyDescent="0.3">
      <c r="B58" s="2" t="s">
        <v>49</v>
      </c>
      <c r="C58" s="2">
        <v>28.3</v>
      </c>
      <c r="E58" t="s">
        <v>70</v>
      </c>
      <c r="F58" s="9">
        <f>_xlfn.T.DIST.2T(F57,F54-1)</f>
        <v>0.18243223387938373</v>
      </c>
      <c r="N58">
        <v>234.6</v>
      </c>
      <c r="O58">
        <v>50.4</v>
      </c>
      <c r="Q58" t="s">
        <v>94</v>
      </c>
      <c r="R58">
        <v>0</v>
      </c>
      <c r="Z58">
        <v>49</v>
      </c>
      <c r="AA58">
        <v>7.4</v>
      </c>
      <c r="AB58">
        <v>6.9</v>
      </c>
      <c r="AD58">
        <f t="shared" si="0"/>
        <v>-0.5</v>
      </c>
    </row>
    <row r="59" spans="2:33" x14ac:dyDescent="0.3">
      <c r="B59" s="2" t="s">
        <v>50</v>
      </c>
      <c r="C59" s="2">
        <v>23.6</v>
      </c>
      <c r="E59" s="8" t="s">
        <v>71</v>
      </c>
      <c r="N59">
        <v>176.4</v>
      </c>
      <c r="O59">
        <v>96.6</v>
      </c>
      <c r="Q59" t="s">
        <v>88</v>
      </c>
      <c r="R59">
        <v>235</v>
      </c>
      <c r="Z59">
        <v>50</v>
      </c>
      <c r="AA59">
        <v>8.1999999999999993</v>
      </c>
      <c r="AB59">
        <v>5.8</v>
      </c>
      <c r="AD59">
        <f t="shared" si="0"/>
        <v>-2.3999999999999995</v>
      </c>
      <c r="AF59" t="s">
        <v>129</v>
      </c>
      <c r="AG59">
        <f>AVERAGE(AD10:AD97)</f>
        <v>-0.61931818181818199</v>
      </c>
    </row>
    <row r="60" spans="2:33" x14ac:dyDescent="0.3">
      <c r="B60" s="2" t="s">
        <v>51</v>
      </c>
      <c r="C60" s="2">
        <v>26.4</v>
      </c>
      <c r="N60">
        <v>105</v>
      </c>
      <c r="O60">
        <v>25.2</v>
      </c>
      <c r="Q60" t="s">
        <v>95</v>
      </c>
      <c r="R60">
        <v>5.4191021823316499</v>
      </c>
      <c r="Z60">
        <v>51</v>
      </c>
      <c r="AA60">
        <v>7.5</v>
      </c>
      <c r="AB60">
        <v>7.8</v>
      </c>
      <c r="AD60">
        <f t="shared" si="0"/>
        <v>0.29999999999999982</v>
      </c>
      <c r="AF60" t="s">
        <v>130</v>
      </c>
      <c r="AG60">
        <f>_xlfn.T.INV(5%, (AG38+AH38-2))</f>
        <v>-1.6536580165162231</v>
      </c>
    </row>
    <row r="61" spans="2:33" x14ac:dyDescent="0.3">
      <c r="E61" s="8" t="s">
        <v>72</v>
      </c>
      <c r="N61">
        <v>180.6</v>
      </c>
      <c r="O61">
        <v>88.2</v>
      </c>
      <c r="Q61" t="s">
        <v>96</v>
      </c>
      <c r="R61" s="12">
        <v>7.4075508129248277E-8</v>
      </c>
      <c r="Z61">
        <v>52</v>
      </c>
      <c r="AA61">
        <v>8.9</v>
      </c>
      <c r="AB61">
        <v>8.6</v>
      </c>
      <c r="AD61">
        <f t="shared" si="0"/>
        <v>-0.30000000000000071</v>
      </c>
      <c r="AF61" t="s">
        <v>131</v>
      </c>
      <c r="AG61">
        <f>_xlfn.STDEV.S(AD10:AD97)</f>
        <v>0.88224608271741278</v>
      </c>
    </row>
    <row r="62" spans="2:33" x14ac:dyDescent="0.3">
      <c r="E62" t="s">
        <v>76</v>
      </c>
      <c r="N62">
        <v>201.6</v>
      </c>
      <c r="O62">
        <v>85.5</v>
      </c>
      <c r="Q62" t="s">
        <v>97</v>
      </c>
      <c r="R62">
        <v>1.6513635435385146</v>
      </c>
      <c r="Z62">
        <v>53</v>
      </c>
      <c r="AA62">
        <v>7.3</v>
      </c>
      <c r="AB62">
        <v>7</v>
      </c>
      <c r="AD62">
        <f t="shared" si="0"/>
        <v>-0.29999999999999982</v>
      </c>
      <c r="AF62" t="s">
        <v>132</v>
      </c>
      <c r="AG62">
        <f>COUNT(AD10:AD97)</f>
        <v>88</v>
      </c>
    </row>
    <row r="63" spans="2:33" x14ac:dyDescent="0.3">
      <c r="E63" s="76" t="s">
        <v>77</v>
      </c>
      <c r="F63" s="76"/>
      <c r="G63" s="76"/>
      <c r="H63" s="76"/>
      <c r="I63" s="76"/>
      <c r="N63">
        <v>239.7</v>
      </c>
      <c r="O63">
        <v>105.6</v>
      </c>
      <c r="Q63" t="s">
        <v>98</v>
      </c>
      <c r="R63" s="11">
        <v>1.4815101625849655E-7</v>
      </c>
      <c r="Z63">
        <v>54</v>
      </c>
      <c r="AA63">
        <v>8.1</v>
      </c>
      <c r="AB63">
        <v>8.3000000000000007</v>
      </c>
      <c r="AD63">
        <f t="shared" si="0"/>
        <v>0.20000000000000107</v>
      </c>
    </row>
    <row r="64" spans="2:33" ht="15" thickBot="1" x14ac:dyDescent="0.35">
      <c r="E64" s="76"/>
      <c r="F64" s="76"/>
      <c r="G64" s="76"/>
      <c r="H64" s="76"/>
      <c r="I64" s="76"/>
      <c r="N64">
        <v>117</v>
      </c>
      <c r="O64">
        <v>129.6</v>
      </c>
      <c r="Q64" s="3" t="s">
        <v>99</v>
      </c>
      <c r="R64" s="3">
        <v>1.9701100622681054</v>
      </c>
      <c r="S64" s="3"/>
      <c r="Z64">
        <v>55</v>
      </c>
      <c r="AA64">
        <v>7.7</v>
      </c>
      <c r="AB64">
        <v>7.5</v>
      </c>
      <c r="AD64">
        <f t="shared" si="0"/>
        <v>-0.20000000000000018</v>
      </c>
      <c r="AF64" t="s">
        <v>133</v>
      </c>
      <c r="AG64">
        <f>AG59-(AG60*(AG61/SQRT(AG62)))</f>
        <v>-0.46379536871039406</v>
      </c>
    </row>
    <row r="65" spans="14:33" x14ac:dyDescent="0.3">
      <c r="N65">
        <v>35.700000000000003</v>
      </c>
      <c r="O65">
        <v>54</v>
      </c>
      <c r="Z65">
        <v>56</v>
      </c>
      <c r="AA65">
        <v>8.3000000000000007</v>
      </c>
      <c r="AB65">
        <v>8.1</v>
      </c>
      <c r="AD65">
        <f t="shared" si="0"/>
        <v>-0.20000000000000107</v>
      </c>
      <c r="AF65" t="s">
        <v>134</v>
      </c>
      <c r="AG65">
        <f>AG59+AG60*(AG61/SQRT(AG62))</f>
        <v>-0.77484099492596992</v>
      </c>
    </row>
    <row r="66" spans="14:33" x14ac:dyDescent="0.3">
      <c r="N66">
        <v>79.8</v>
      </c>
      <c r="O66">
        <v>92.4</v>
      </c>
      <c r="Q66" s="7" t="s">
        <v>104</v>
      </c>
      <c r="Z66">
        <v>57</v>
      </c>
      <c r="AA66">
        <v>7</v>
      </c>
      <c r="AB66">
        <v>6.9</v>
      </c>
      <c r="AD66">
        <f t="shared" si="0"/>
        <v>-9.9999999999999645E-2</v>
      </c>
    </row>
    <row r="67" spans="14:33" x14ac:dyDescent="0.3">
      <c r="N67">
        <v>42</v>
      </c>
      <c r="O67">
        <v>121.8</v>
      </c>
      <c r="Z67">
        <v>58</v>
      </c>
      <c r="AA67">
        <v>8.5</v>
      </c>
      <c r="AB67">
        <v>8.4</v>
      </c>
      <c r="AD67">
        <f t="shared" si="0"/>
        <v>-9.9999999999999645E-2</v>
      </c>
      <c r="AF67" t="s">
        <v>135</v>
      </c>
    </row>
    <row r="68" spans="14:33" x14ac:dyDescent="0.3">
      <c r="N68">
        <v>24</v>
      </c>
      <c r="O68">
        <v>103.5</v>
      </c>
      <c r="Q68" s="8" t="s">
        <v>105</v>
      </c>
      <c r="Z68">
        <v>59</v>
      </c>
      <c r="AA68">
        <v>7.6</v>
      </c>
      <c r="AB68">
        <v>7.7</v>
      </c>
      <c r="AD68">
        <f t="shared" si="0"/>
        <v>0.10000000000000053</v>
      </c>
    </row>
    <row r="69" spans="14:33" x14ac:dyDescent="0.3">
      <c r="N69">
        <v>235.2</v>
      </c>
      <c r="O69">
        <v>28.8</v>
      </c>
      <c r="Q69" t="s">
        <v>106</v>
      </c>
      <c r="Z69">
        <v>60</v>
      </c>
      <c r="AA69">
        <v>8</v>
      </c>
      <c r="AB69">
        <v>6.6</v>
      </c>
      <c r="AD69">
        <f t="shared" si="0"/>
        <v>-1.4000000000000004</v>
      </c>
    </row>
    <row r="70" spans="14:33" x14ac:dyDescent="0.3">
      <c r="N70">
        <v>105.6</v>
      </c>
      <c r="O70">
        <v>100.8</v>
      </c>
      <c r="Q70" t="s">
        <v>107</v>
      </c>
      <c r="Z70">
        <v>61</v>
      </c>
      <c r="AA70">
        <v>7.4</v>
      </c>
      <c r="AB70">
        <v>7.6</v>
      </c>
      <c r="AD70">
        <f t="shared" si="0"/>
        <v>0.19999999999999929</v>
      </c>
    </row>
    <row r="71" spans="14:33" x14ac:dyDescent="0.3">
      <c r="N71">
        <v>76.5</v>
      </c>
      <c r="O71">
        <v>121.5</v>
      </c>
      <c r="Q71" t="s">
        <v>108</v>
      </c>
      <c r="Z71">
        <v>62</v>
      </c>
      <c r="AA71">
        <v>8.6</v>
      </c>
      <c r="AB71">
        <v>8.5</v>
      </c>
      <c r="AD71">
        <f t="shared" si="0"/>
        <v>-9.9999999999999645E-2</v>
      </c>
    </row>
    <row r="72" spans="14:33" x14ac:dyDescent="0.3">
      <c r="N72">
        <v>84</v>
      </c>
      <c r="O72">
        <v>16.8</v>
      </c>
      <c r="Q72" t="s">
        <v>109</v>
      </c>
      <c r="Z72">
        <v>63</v>
      </c>
      <c r="AA72">
        <v>7.2</v>
      </c>
      <c r="AB72">
        <v>7.9</v>
      </c>
      <c r="AD72">
        <f t="shared" si="0"/>
        <v>0.70000000000000018</v>
      </c>
    </row>
    <row r="73" spans="14:33" x14ac:dyDescent="0.3">
      <c r="N73">
        <v>62.4</v>
      </c>
      <c r="O73">
        <v>40.5</v>
      </c>
      <c r="Q73" t="s">
        <v>110</v>
      </c>
      <c r="Z73">
        <v>64</v>
      </c>
      <c r="AA73">
        <v>8.4</v>
      </c>
      <c r="AB73">
        <v>7</v>
      </c>
      <c r="AD73">
        <f t="shared" si="0"/>
        <v>-1.4000000000000004</v>
      </c>
    </row>
    <row r="74" spans="14:33" x14ac:dyDescent="0.3">
      <c r="N74">
        <v>28.8</v>
      </c>
      <c r="O74">
        <v>108</v>
      </c>
      <c r="Z74">
        <v>65</v>
      </c>
      <c r="AA74">
        <v>7.8</v>
      </c>
      <c r="AB74">
        <v>7.8</v>
      </c>
      <c r="AD74">
        <f t="shared" si="0"/>
        <v>0</v>
      </c>
    </row>
    <row r="75" spans="14:33" x14ac:dyDescent="0.3">
      <c r="N75">
        <v>28.8</v>
      </c>
      <c r="O75">
        <v>110.4</v>
      </c>
      <c r="Z75">
        <v>66</v>
      </c>
      <c r="AA75">
        <v>8.1</v>
      </c>
      <c r="AB75">
        <v>7</v>
      </c>
      <c r="AD75">
        <f t="shared" ref="AD75:AD97" si="1">AB75-AA75</f>
        <v>-1.0999999999999996</v>
      </c>
    </row>
    <row r="76" spans="14:33" x14ac:dyDescent="0.3">
      <c r="N76">
        <v>75.599999999999994</v>
      </c>
      <c r="O76">
        <v>91.2</v>
      </c>
      <c r="Z76">
        <v>67</v>
      </c>
      <c r="AA76">
        <v>7.7</v>
      </c>
      <c r="AB76">
        <v>7.5</v>
      </c>
      <c r="AD76">
        <f t="shared" si="1"/>
        <v>-0.20000000000000018</v>
      </c>
    </row>
    <row r="77" spans="14:33" x14ac:dyDescent="0.3">
      <c r="N77">
        <v>71.400000000000006</v>
      </c>
      <c r="O77">
        <v>147.9</v>
      </c>
      <c r="Z77">
        <v>68</v>
      </c>
      <c r="AA77">
        <v>8.1999999999999993</v>
      </c>
      <c r="AB77">
        <v>8</v>
      </c>
      <c r="AD77">
        <f t="shared" si="1"/>
        <v>-0.19999999999999929</v>
      </c>
    </row>
    <row r="78" spans="14:33" x14ac:dyDescent="0.3">
      <c r="N78">
        <v>46.8</v>
      </c>
      <c r="O78">
        <v>24</v>
      </c>
      <c r="Z78">
        <v>69</v>
      </c>
      <c r="AA78">
        <v>7.5</v>
      </c>
      <c r="AB78">
        <v>7.6</v>
      </c>
      <c r="AD78">
        <f t="shared" si="1"/>
        <v>9.9999999999999645E-2</v>
      </c>
    </row>
    <row r="79" spans="14:33" x14ac:dyDescent="0.3">
      <c r="N79">
        <v>240</v>
      </c>
      <c r="O79">
        <v>129.6</v>
      </c>
      <c r="Z79">
        <v>70</v>
      </c>
      <c r="AA79">
        <v>8</v>
      </c>
      <c r="AB79">
        <v>8.1999999999999993</v>
      </c>
      <c r="AD79">
        <f t="shared" si="1"/>
        <v>0.19999999999999929</v>
      </c>
    </row>
    <row r="80" spans="14:33" x14ac:dyDescent="0.3">
      <c r="N80">
        <v>29.4</v>
      </c>
      <c r="O80">
        <v>21.6</v>
      </c>
      <c r="Z80">
        <v>71</v>
      </c>
      <c r="AA80">
        <v>7.6</v>
      </c>
      <c r="AB80">
        <v>7.4</v>
      </c>
      <c r="AD80">
        <f t="shared" si="1"/>
        <v>-0.19999999999999929</v>
      </c>
    </row>
    <row r="81" spans="14:30" x14ac:dyDescent="0.3">
      <c r="N81">
        <v>124.2</v>
      </c>
      <c r="O81">
        <v>62.4</v>
      </c>
      <c r="Z81">
        <v>72</v>
      </c>
      <c r="AA81">
        <v>8.3000000000000007</v>
      </c>
      <c r="AB81">
        <v>8.4</v>
      </c>
      <c r="AD81">
        <f t="shared" si="1"/>
        <v>9.9999999999999645E-2</v>
      </c>
    </row>
    <row r="82" spans="14:30" x14ac:dyDescent="0.3">
      <c r="N82">
        <v>42</v>
      </c>
      <c r="O82">
        <v>155.4</v>
      </c>
      <c r="Z82">
        <v>73</v>
      </c>
      <c r="AA82">
        <v>7.9</v>
      </c>
      <c r="AB82">
        <v>7.1</v>
      </c>
      <c r="AD82">
        <f t="shared" si="1"/>
        <v>-0.80000000000000071</v>
      </c>
    </row>
    <row r="83" spans="14:30" x14ac:dyDescent="0.3">
      <c r="N83">
        <v>202.5</v>
      </c>
      <c r="O83">
        <v>48</v>
      </c>
      <c r="Z83">
        <v>74</v>
      </c>
      <c r="AA83">
        <v>8.5</v>
      </c>
      <c r="AB83">
        <v>8</v>
      </c>
      <c r="AD83">
        <f t="shared" si="1"/>
        <v>-0.5</v>
      </c>
    </row>
    <row r="84" spans="14:30" x14ac:dyDescent="0.3">
      <c r="N84">
        <v>76.5</v>
      </c>
      <c r="O84">
        <v>42</v>
      </c>
      <c r="Z84">
        <v>75</v>
      </c>
      <c r="AA84">
        <v>7.2</v>
      </c>
      <c r="AB84">
        <v>6</v>
      </c>
      <c r="AD84">
        <f t="shared" si="1"/>
        <v>-1.2000000000000002</v>
      </c>
    </row>
    <row r="85" spans="14:30" x14ac:dyDescent="0.3">
      <c r="N85">
        <v>168</v>
      </c>
      <c r="O85">
        <v>96</v>
      </c>
      <c r="Z85">
        <v>76</v>
      </c>
      <c r="AA85">
        <v>8.6999999999999993</v>
      </c>
      <c r="AB85">
        <v>8</v>
      </c>
      <c r="AD85">
        <f t="shared" si="1"/>
        <v>-0.69999999999999929</v>
      </c>
    </row>
    <row r="86" spans="14:30" x14ac:dyDescent="0.3">
      <c r="N86">
        <v>76.8</v>
      </c>
      <c r="O86">
        <v>29.4</v>
      </c>
      <c r="Z86">
        <v>77</v>
      </c>
      <c r="AA86">
        <v>7.4</v>
      </c>
      <c r="AB86">
        <v>7.5</v>
      </c>
      <c r="AD86">
        <f t="shared" si="1"/>
        <v>9.9999999999999645E-2</v>
      </c>
    </row>
    <row r="87" spans="14:30" x14ac:dyDescent="0.3">
      <c r="N87">
        <v>81</v>
      </c>
      <c r="O87">
        <v>117.6</v>
      </c>
      <c r="Z87">
        <v>78</v>
      </c>
      <c r="AA87">
        <v>8</v>
      </c>
      <c r="AB87">
        <v>5.8</v>
      </c>
      <c r="AD87">
        <f t="shared" si="1"/>
        <v>-2.2000000000000002</v>
      </c>
    </row>
    <row r="88" spans="14:30" x14ac:dyDescent="0.3">
      <c r="N88">
        <v>24</v>
      </c>
      <c r="O88">
        <v>28.8</v>
      </c>
      <c r="Z88">
        <v>79</v>
      </c>
      <c r="AA88">
        <v>7.5</v>
      </c>
      <c r="AB88">
        <v>6.9</v>
      </c>
      <c r="AD88">
        <f t="shared" si="1"/>
        <v>-0.59999999999999964</v>
      </c>
    </row>
    <row r="89" spans="14:30" x14ac:dyDescent="0.3">
      <c r="N89">
        <v>122.4</v>
      </c>
      <c r="O89">
        <v>182.4</v>
      </c>
      <c r="Z89">
        <v>80</v>
      </c>
      <c r="AA89">
        <v>8.3000000000000007</v>
      </c>
      <c r="AB89">
        <v>8.6</v>
      </c>
      <c r="AD89">
        <f t="shared" si="1"/>
        <v>0.29999999999999893</v>
      </c>
    </row>
    <row r="90" spans="14:30" x14ac:dyDescent="0.3">
      <c r="N90">
        <v>45.9</v>
      </c>
      <c r="O90">
        <v>29.4</v>
      </c>
      <c r="Z90">
        <v>81</v>
      </c>
      <c r="AA90">
        <v>7.1</v>
      </c>
      <c r="AB90">
        <v>7.8</v>
      </c>
      <c r="AD90">
        <f t="shared" si="1"/>
        <v>0.70000000000000018</v>
      </c>
    </row>
    <row r="91" spans="14:30" x14ac:dyDescent="0.3">
      <c r="N91">
        <v>22.5</v>
      </c>
      <c r="O91">
        <v>110.4</v>
      </c>
      <c r="Z91">
        <v>82</v>
      </c>
      <c r="AA91">
        <v>8.6</v>
      </c>
      <c r="AB91">
        <v>8.1999999999999993</v>
      </c>
      <c r="AD91">
        <f t="shared" si="1"/>
        <v>-0.40000000000000036</v>
      </c>
    </row>
    <row r="92" spans="14:30" x14ac:dyDescent="0.3">
      <c r="N92">
        <v>71.400000000000006</v>
      </c>
      <c r="O92">
        <v>25.2</v>
      </c>
      <c r="Z92">
        <v>83</v>
      </c>
      <c r="AA92">
        <v>7.8</v>
      </c>
      <c r="AB92">
        <v>7.7</v>
      </c>
      <c r="AD92">
        <f t="shared" si="1"/>
        <v>-9.9999999999999645E-2</v>
      </c>
    </row>
    <row r="93" spans="14:30" x14ac:dyDescent="0.3">
      <c r="N93">
        <v>193.2</v>
      </c>
      <c r="O93">
        <v>145.80000000000001</v>
      </c>
      <c r="Z93">
        <v>84</v>
      </c>
      <c r="AA93">
        <v>8.1999999999999993</v>
      </c>
      <c r="AB93">
        <v>7</v>
      </c>
      <c r="AD93">
        <f t="shared" si="1"/>
        <v>-1.1999999999999993</v>
      </c>
    </row>
    <row r="94" spans="14:30" x14ac:dyDescent="0.3">
      <c r="N94">
        <v>201.6</v>
      </c>
      <c r="O94">
        <v>92.4</v>
      </c>
      <c r="Z94">
        <v>85</v>
      </c>
      <c r="AA94">
        <v>7.7</v>
      </c>
      <c r="AB94">
        <v>6.7</v>
      </c>
      <c r="AD94">
        <f t="shared" si="1"/>
        <v>-1</v>
      </c>
    </row>
    <row r="95" spans="14:30" x14ac:dyDescent="0.3">
      <c r="N95">
        <v>230.4</v>
      </c>
      <c r="O95">
        <v>27</v>
      </c>
      <c r="Z95">
        <v>86</v>
      </c>
      <c r="AA95">
        <v>8.5</v>
      </c>
      <c r="AB95">
        <v>8</v>
      </c>
      <c r="AD95">
        <f t="shared" si="1"/>
        <v>-0.5</v>
      </c>
    </row>
    <row r="96" spans="14:30" x14ac:dyDescent="0.3">
      <c r="N96">
        <v>187.2</v>
      </c>
      <c r="O96">
        <v>24</v>
      </c>
      <c r="Z96">
        <v>87</v>
      </c>
      <c r="AA96">
        <v>7.3</v>
      </c>
      <c r="AB96">
        <v>6.5</v>
      </c>
      <c r="AD96">
        <f t="shared" si="1"/>
        <v>-0.79999999999999982</v>
      </c>
    </row>
    <row r="97" spans="14:30" x14ac:dyDescent="0.3">
      <c r="N97">
        <v>25.2</v>
      </c>
      <c r="O97">
        <v>75.599999999999994</v>
      </c>
      <c r="Z97">
        <v>88</v>
      </c>
      <c r="AA97">
        <v>8.1</v>
      </c>
      <c r="AB97">
        <v>7.1</v>
      </c>
      <c r="AD97">
        <f t="shared" si="1"/>
        <v>-1</v>
      </c>
    </row>
    <row r="98" spans="14:30" x14ac:dyDescent="0.3">
      <c r="N98">
        <v>58.5</v>
      </c>
      <c r="O98">
        <v>76.5</v>
      </c>
    </row>
    <row r="99" spans="14:30" x14ac:dyDescent="0.3">
      <c r="N99">
        <v>189</v>
      </c>
      <c r="O99">
        <v>189</v>
      </c>
    </row>
    <row r="100" spans="14:30" x14ac:dyDescent="0.3">
      <c r="N100">
        <v>270</v>
      </c>
      <c r="O100">
        <v>79.8</v>
      </c>
    </row>
    <row r="101" spans="14:30" x14ac:dyDescent="0.3">
      <c r="N101">
        <v>29.4</v>
      </c>
      <c r="O101">
        <v>54.6</v>
      </c>
    </row>
    <row r="102" spans="14:30" x14ac:dyDescent="0.3">
      <c r="N102">
        <v>45</v>
      </c>
      <c r="O102">
        <v>91.2</v>
      </c>
    </row>
    <row r="103" spans="14:30" x14ac:dyDescent="0.3">
      <c r="N103">
        <v>45</v>
      </c>
      <c r="O103">
        <v>120</v>
      </c>
    </row>
    <row r="104" spans="14:30" x14ac:dyDescent="0.3">
      <c r="N104">
        <v>158.4</v>
      </c>
      <c r="O104">
        <v>180</v>
      </c>
    </row>
    <row r="105" spans="14:30" x14ac:dyDescent="0.3">
      <c r="N105">
        <v>182.4</v>
      </c>
      <c r="O105">
        <v>29.4</v>
      </c>
    </row>
    <row r="106" spans="14:30" x14ac:dyDescent="0.3">
      <c r="N106">
        <v>216</v>
      </c>
      <c r="O106">
        <v>49.5</v>
      </c>
    </row>
    <row r="107" spans="14:30" x14ac:dyDescent="0.3">
      <c r="N107">
        <v>67.2</v>
      </c>
      <c r="O107">
        <v>135</v>
      </c>
    </row>
    <row r="108" spans="14:30" x14ac:dyDescent="0.3">
      <c r="N108">
        <v>127.5</v>
      </c>
      <c r="O108">
        <v>36</v>
      </c>
    </row>
    <row r="109" spans="14:30" x14ac:dyDescent="0.3">
      <c r="N109">
        <v>132</v>
      </c>
      <c r="O109">
        <v>31.5</v>
      </c>
    </row>
    <row r="110" spans="14:30" x14ac:dyDescent="0.3">
      <c r="N110">
        <v>36</v>
      </c>
      <c r="O110">
        <v>21</v>
      </c>
    </row>
    <row r="111" spans="14:30" x14ac:dyDescent="0.3">
      <c r="N111">
        <v>178.2</v>
      </c>
      <c r="O111">
        <v>168</v>
      </c>
    </row>
    <row r="112" spans="14:30" x14ac:dyDescent="0.3">
      <c r="N112">
        <v>205.8</v>
      </c>
      <c r="O112">
        <v>22.5</v>
      </c>
    </row>
    <row r="113" spans="14:15" x14ac:dyDescent="0.3">
      <c r="N113">
        <v>168</v>
      </c>
      <c r="O113">
        <v>117.6</v>
      </c>
    </row>
    <row r="114" spans="14:15" x14ac:dyDescent="0.3">
      <c r="N114">
        <v>90</v>
      </c>
      <c r="O114">
        <v>37.799999999999997</v>
      </c>
    </row>
    <row r="115" spans="14:15" x14ac:dyDescent="0.3">
      <c r="N115">
        <v>210</v>
      </c>
      <c r="O115">
        <v>63</v>
      </c>
    </row>
    <row r="116" spans="14:15" x14ac:dyDescent="0.3">
      <c r="N116">
        <v>225</v>
      </c>
      <c r="O116">
        <v>42</v>
      </c>
    </row>
    <row r="117" spans="14:15" x14ac:dyDescent="0.3">
      <c r="N117">
        <v>216</v>
      </c>
      <c r="O117">
        <v>36</v>
      </c>
    </row>
    <row r="118" spans="14:15" x14ac:dyDescent="0.3">
      <c r="N118">
        <v>134.4</v>
      </c>
      <c r="O118">
        <v>168</v>
      </c>
    </row>
    <row r="119" spans="14:15" x14ac:dyDescent="0.3">
      <c r="N119">
        <v>76.5</v>
      </c>
      <c r="O119">
        <v>52.8</v>
      </c>
    </row>
    <row r="120" spans="14:15" x14ac:dyDescent="0.3">
      <c r="N120">
        <v>168</v>
      </c>
      <c r="O120">
        <v>148.5</v>
      </c>
    </row>
    <row r="121" spans="14:15" x14ac:dyDescent="0.3">
      <c r="N121">
        <v>235.2</v>
      </c>
      <c r="O121">
        <v>79.2</v>
      </c>
    </row>
    <row r="122" spans="14:15" x14ac:dyDescent="0.3">
      <c r="N122">
        <v>205.8</v>
      </c>
      <c r="O122">
        <v>24</v>
      </c>
    </row>
    <row r="123" spans="14:15" x14ac:dyDescent="0.3">
      <c r="N123">
        <v>50.4</v>
      </c>
      <c r="O123">
        <v>134.4</v>
      </c>
    </row>
    <row r="124" spans="14:15" x14ac:dyDescent="0.3">
      <c r="N124">
        <v>94.5</v>
      </c>
      <c r="O124">
        <v>144</v>
      </c>
    </row>
    <row r="125" spans="14:15" x14ac:dyDescent="0.3">
      <c r="N125">
        <v>42</v>
      </c>
      <c r="O125">
        <v>25.2</v>
      </c>
    </row>
    <row r="126" spans="14:15" x14ac:dyDescent="0.3">
      <c r="N126">
        <v>75.599999999999994</v>
      </c>
      <c r="O126">
        <v>36</v>
      </c>
    </row>
    <row r="127" spans="14:15" x14ac:dyDescent="0.3">
      <c r="N127">
        <v>27.000000000000099</v>
      </c>
      <c r="O127">
        <v>18</v>
      </c>
    </row>
    <row r="128" spans="14:15" x14ac:dyDescent="0.3">
      <c r="N128">
        <v>193.2</v>
      </c>
      <c r="O128">
        <v>43.2</v>
      </c>
    </row>
    <row r="129" spans="14:15" x14ac:dyDescent="0.3">
      <c r="N129">
        <v>253.8</v>
      </c>
      <c r="O129">
        <v>18</v>
      </c>
    </row>
    <row r="130" spans="14:15" x14ac:dyDescent="0.3">
      <c r="N130">
        <v>28.8</v>
      </c>
      <c r="O130">
        <v>27</v>
      </c>
    </row>
    <row r="131" spans="14:15" x14ac:dyDescent="0.3">
      <c r="N131">
        <v>225.6</v>
      </c>
      <c r="O131">
        <v>155.4</v>
      </c>
    </row>
    <row r="132" spans="14:15" x14ac:dyDescent="0.3">
      <c r="N132">
        <v>78</v>
      </c>
      <c r="O132">
        <v>113.4</v>
      </c>
    </row>
    <row r="133" spans="14:15" x14ac:dyDescent="0.3">
      <c r="N133">
        <v>58.5</v>
      </c>
      <c r="O133">
        <v>100.8</v>
      </c>
    </row>
    <row r="134" spans="14:15" x14ac:dyDescent="0.3">
      <c r="N134">
        <v>197.4</v>
      </c>
      <c r="O134">
        <v>144</v>
      </c>
    </row>
    <row r="135" spans="14:15" x14ac:dyDescent="0.3">
      <c r="N135">
        <v>62.4</v>
      </c>
      <c r="O135">
        <v>21</v>
      </c>
    </row>
    <row r="136" spans="14:15" x14ac:dyDescent="0.3">
      <c r="N136">
        <v>54</v>
      </c>
      <c r="O136">
        <v>159.6</v>
      </c>
    </row>
    <row r="137" spans="14:15" x14ac:dyDescent="0.3">
      <c r="N137">
        <v>21</v>
      </c>
      <c r="O137">
        <v>43.2</v>
      </c>
    </row>
    <row r="138" spans="14:15" x14ac:dyDescent="0.3">
      <c r="N138">
        <v>144</v>
      </c>
      <c r="O138">
        <v>138.6</v>
      </c>
    </row>
    <row r="139" spans="14:15" x14ac:dyDescent="0.3">
      <c r="N139">
        <v>201.6</v>
      </c>
      <c r="O139">
        <v>42</v>
      </c>
    </row>
    <row r="140" spans="14:15" x14ac:dyDescent="0.3">
      <c r="N140">
        <v>158.4</v>
      </c>
      <c r="O140">
        <v>113.4</v>
      </c>
    </row>
    <row r="141" spans="14:15" x14ac:dyDescent="0.3">
      <c r="N141">
        <v>36</v>
      </c>
      <c r="O141">
        <v>139.19999999999999</v>
      </c>
    </row>
    <row r="142" spans="14:15" x14ac:dyDescent="0.3">
      <c r="N142">
        <v>33.6</v>
      </c>
      <c r="O142">
        <v>33.6</v>
      </c>
    </row>
    <row r="143" spans="14:15" x14ac:dyDescent="0.3">
      <c r="N143">
        <v>62.4</v>
      </c>
      <c r="O143">
        <v>75.599999999999994</v>
      </c>
    </row>
    <row r="144" spans="14:15" x14ac:dyDescent="0.3">
      <c r="N144">
        <v>129.6</v>
      </c>
      <c r="O144">
        <v>8.4000000000000306</v>
      </c>
    </row>
    <row r="145" spans="14:15" x14ac:dyDescent="0.3">
      <c r="N145">
        <v>33</v>
      </c>
      <c r="O145">
        <v>57.6</v>
      </c>
    </row>
    <row r="146" spans="14:15" x14ac:dyDescent="0.3">
      <c r="N146">
        <v>67.2</v>
      </c>
      <c r="O146">
        <v>58.8</v>
      </c>
    </row>
    <row r="147" spans="14:15" x14ac:dyDescent="0.3">
      <c r="N147">
        <v>48</v>
      </c>
      <c r="O147">
        <v>193.2</v>
      </c>
    </row>
    <row r="148" spans="14:15" x14ac:dyDescent="0.3">
      <c r="N148">
        <v>134.4</v>
      </c>
      <c r="O148">
        <v>90</v>
      </c>
    </row>
    <row r="149" spans="14:15" x14ac:dyDescent="0.3">
      <c r="N149">
        <v>61.2</v>
      </c>
      <c r="O149">
        <v>175.5</v>
      </c>
    </row>
    <row r="150" spans="14:15" x14ac:dyDescent="0.3">
      <c r="N150">
        <v>142.80000000000001</v>
      </c>
      <c r="O150">
        <v>117.6</v>
      </c>
    </row>
    <row r="151" spans="14:15" x14ac:dyDescent="0.3">
      <c r="N151">
        <v>66.3</v>
      </c>
      <c r="O151">
        <v>100.8</v>
      </c>
    </row>
    <row r="152" spans="14:15" x14ac:dyDescent="0.3">
      <c r="N152">
        <v>205.8</v>
      </c>
      <c r="O152">
        <v>16.8</v>
      </c>
    </row>
    <row r="153" spans="14:15" x14ac:dyDescent="0.3">
      <c r="N153">
        <v>202.5</v>
      </c>
      <c r="O153">
        <v>201.6</v>
      </c>
    </row>
    <row r="154" spans="14:15" x14ac:dyDescent="0.3">
      <c r="N154">
        <v>72</v>
      </c>
      <c r="O154">
        <v>96.6</v>
      </c>
    </row>
    <row r="155" spans="14:15" x14ac:dyDescent="0.3">
      <c r="N155">
        <v>72</v>
      </c>
      <c r="O155">
        <v>24</v>
      </c>
    </row>
    <row r="156" spans="14:15" x14ac:dyDescent="0.3">
      <c r="N156">
        <v>45</v>
      </c>
      <c r="O156">
        <v>158.1</v>
      </c>
    </row>
    <row r="157" spans="14:15" x14ac:dyDescent="0.3">
      <c r="N157">
        <v>225</v>
      </c>
      <c r="O157">
        <v>18</v>
      </c>
    </row>
    <row r="158" spans="14:15" x14ac:dyDescent="0.3">
      <c r="N158">
        <v>57.6</v>
      </c>
      <c r="O158">
        <v>86.4</v>
      </c>
    </row>
    <row r="159" spans="14:15" x14ac:dyDescent="0.3">
      <c r="N159">
        <v>189</v>
      </c>
      <c r="O159">
        <v>31.5</v>
      </c>
    </row>
    <row r="160" spans="14:15" x14ac:dyDescent="0.3">
      <c r="N160">
        <v>211.5</v>
      </c>
      <c r="O160">
        <v>75.599999999999994</v>
      </c>
    </row>
    <row r="161" spans="14:15" x14ac:dyDescent="0.3">
      <c r="N161">
        <v>210</v>
      </c>
      <c r="O161">
        <v>28.8</v>
      </c>
    </row>
    <row r="162" spans="14:15" x14ac:dyDescent="0.3">
      <c r="N162">
        <v>229.5</v>
      </c>
      <c r="O162">
        <v>105</v>
      </c>
    </row>
    <row r="163" spans="14:15" x14ac:dyDescent="0.3">
      <c r="O163">
        <v>40.5</v>
      </c>
    </row>
    <row r="164" spans="14:15" x14ac:dyDescent="0.3">
      <c r="O164">
        <v>39</v>
      </c>
    </row>
    <row r="165" spans="14:15" x14ac:dyDescent="0.3">
      <c r="O165">
        <v>81</v>
      </c>
    </row>
    <row r="166" spans="14:15" x14ac:dyDescent="0.3">
      <c r="O166">
        <v>37.799999999999997</v>
      </c>
    </row>
    <row r="167" spans="14:15" x14ac:dyDescent="0.3">
      <c r="O167">
        <v>130.5</v>
      </c>
    </row>
    <row r="168" spans="14:15" x14ac:dyDescent="0.3">
      <c r="O168">
        <v>117.3</v>
      </c>
    </row>
    <row r="169" spans="14:15" x14ac:dyDescent="0.3">
      <c r="O169">
        <v>21</v>
      </c>
    </row>
    <row r="170" spans="14:15" x14ac:dyDescent="0.3">
      <c r="O170">
        <v>72</v>
      </c>
    </row>
    <row r="171" spans="14:15" x14ac:dyDescent="0.3">
      <c r="O171">
        <v>105</v>
      </c>
    </row>
    <row r="172" spans="14:15" x14ac:dyDescent="0.3">
      <c r="O172">
        <v>33.6</v>
      </c>
    </row>
    <row r="173" spans="14:15" x14ac:dyDescent="0.3">
      <c r="O173">
        <v>112.2</v>
      </c>
    </row>
    <row r="174" spans="14:15" x14ac:dyDescent="0.3">
      <c r="O174">
        <v>72</v>
      </c>
    </row>
    <row r="175" spans="14:15" x14ac:dyDescent="0.3">
      <c r="O175">
        <v>204</v>
      </c>
    </row>
    <row r="176" spans="14:15" x14ac:dyDescent="0.3">
      <c r="O176">
        <v>155.4</v>
      </c>
    </row>
    <row r="177" spans="15:15" x14ac:dyDescent="0.3">
      <c r="O177">
        <v>18</v>
      </c>
    </row>
    <row r="178" spans="15:15" x14ac:dyDescent="0.3">
      <c r="O178">
        <v>117.6</v>
      </c>
    </row>
    <row r="179" spans="15:15" x14ac:dyDescent="0.3">
      <c r="O179">
        <v>29.4</v>
      </c>
    </row>
    <row r="180" spans="15:15" x14ac:dyDescent="0.3">
      <c r="O180">
        <v>94.5</v>
      </c>
    </row>
    <row r="181" spans="15:15" x14ac:dyDescent="0.3">
      <c r="O181">
        <v>100.8</v>
      </c>
    </row>
    <row r="182" spans="15:15" x14ac:dyDescent="0.3">
      <c r="O182">
        <v>129.6</v>
      </c>
    </row>
    <row r="183" spans="15:15" x14ac:dyDescent="0.3">
      <c r="O183">
        <v>118.8</v>
      </c>
    </row>
    <row r="184" spans="15:15" x14ac:dyDescent="0.3">
      <c r="O184">
        <v>25.2</v>
      </c>
    </row>
    <row r="185" spans="15:15" x14ac:dyDescent="0.3">
      <c r="O185">
        <v>33.6</v>
      </c>
    </row>
    <row r="186" spans="15:15" x14ac:dyDescent="0.3">
      <c r="O186">
        <v>35.700000000000003</v>
      </c>
    </row>
    <row r="187" spans="15:15" x14ac:dyDescent="0.3">
      <c r="O187">
        <v>25.2</v>
      </c>
    </row>
    <row r="188" spans="15:15" x14ac:dyDescent="0.3">
      <c r="O188">
        <v>105.6</v>
      </c>
    </row>
    <row r="189" spans="15:15" x14ac:dyDescent="0.3">
      <c r="O189">
        <v>25.2</v>
      </c>
    </row>
    <row r="190" spans="15:15" x14ac:dyDescent="0.3">
      <c r="O190">
        <v>113.4</v>
      </c>
    </row>
    <row r="191" spans="15:15" x14ac:dyDescent="0.3">
      <c r="O191">
        <v>42</v>
      </c>
    </row>
    <row r="192" spans="15:15" x14ac:dyDescent="0.3">
      <c r="O192">
        <v>62.4</v>
      </c>
    </row>
    <row r="193" spans="15:15" x14ac:dyDescent="0.3">
      <c r="O193">
        <v>33.6</v>
      </c>
    </row>
    <row r="194" spans="15:15" x14ac:dyDescent="0.3">
      <c r="O194">
        <v>48</v>
      </c>
    </row>
    <row r="195" spans="15:15" x14ac:dyDescent="0.3">
      <c r="O195">
        <v>138.6</v>
      </c>
    </row>
    <row r="196" spans="15:15" x14ac:dyDescent="0.3">
      <c r="O196">
        <v>8.4000000000000306</v>
      </c>
    </row>
    <row r="197" spans="15:15" x14ac:dyDescent="0.3">
      <c r="O197">
        <v>173.4</v>
      </c>
    </row>
    <row r="198" spans="15:15" x14ac:dyDescent="0.3">
      <c r="O198">
        <v>134.4</v>
      </c>
    </row>
    <row r="199" spans="15:15" x14ac:dyDescent="0.3">
      <c r="O199">
        <v>16.8</v>
      </c>
    </row>
    <row r="200" spans="15:15" x14ac:dyDescent="0.3">
      <c r="O200">
        <v>79.8</v>
      </c>
    </row>
    <row r="201" spans="15:15" x14ac:dyDescent="0.3">
      <c r="O201">
        <v>76.8</v>
      </c>
    </row>
    <row r="202" spans="15:15" x14ac:dyDescent="0.3">
      <c r="O202">
        <v>31.5</v>
      </c>
    </row>
    <row r="203" spans="15:15" x14ac:dyDescent="0.3">
      <c r="O203">
        <v>46.8</v>
      </c>
    </row>
    <row r="204" spans="15:15" x14ac:dyDescent="0.3">
      <c r="O204">
        <v>58.8</v>
      </c>
    </row>
    <row r="205" spans="15:15" x14ac:dyDescent="0.3">
      <c r="O205">
        <v>46.2</v>
      </c>
    </row>
    <row r="206" spans="15:15" x14ac:dyDescent="0.3">
      <c r="O206">
        <v>28.8</v>
      </c>
    </row>
    <row r="207" spans="15:15" x14ac:dyDescent="0.3">
      <c r="O207">
        <v>67.2</v>
      </c>
    </row>
    <row r="208" spans="15:15" x14ac:dyDescent="0.3">
      <c r="O208">
        <v>192</v>
      </c>
    </row>
    <row r="209" spans="15:15" x14ac:dyDescent="0.3">
      <c r="O209">
        <v>29.4</v>
      </c>
    </row>
    <row r="210" spans="15:15" x14ac:dyDescent="0.3">
      <c r="O210">
        <v>127.5</v>
      </c>
    </row>
    <row r="211" spans="15:15" x14ac:dyDescent="0.3">
      <c r="O211">
        <v>79.8</v>
      </c>
    </row>
    <row r="212" spans="15:15" x14ac:dyDescent="0.3">
      <c r="O212">
        <v>76.8</v>
      </c>
    </row>
    <row r="213" spans="15:15" x14ac:dyDescent="0.3">
      <c r="O213">
        <v>30</v>
      </c>
    </row>
    <row r="214" spans="15:15" x14ac:dyDescent="0.3">
      <c r="O214">
        <v>29.4</v>
      </c>
    </row>
    <row r="215" spans="15:15" x14ac:dyDescent="0.3">
      <c r="O215">
        <v>90</v>
      </c>
    </row>
    <row r="216" spans="15:15" x14ac:dyDescent="0.3">
      <c r="O216">
        <v>222</v>
      </c>
    </row>
    <row r="217" spans="15:15" x14ac:dyDescent="0.3">
      <c r="O217">
        <v>42</v>
      </c>
    </row>
    <row r="218" spans="15:15" x14ac:dyDescent="0.3">
      <c r="O218">
        <v>54</v>
      </c>
    </row>
    <row r="219" spans="15:15" x14ac:dyDescent="0.3">
      <c r="O219">
        <v>58.8</v>
      </c>
    </row>
    <row r="220" spans="15:15" x14ac:dyDescent="0.3">
      <c r="O220">
        <v>139.19999999999999</v>
      </c>
    </row>
    <row r="221" spans="15:15" x14ac:dyDescent="0.3">
      <c r="O221">
        <v>58.5</v>
      </c>
    </row>
    <row r="222" spans="15:15" x14ac:dyDescent="0.3">
      <c r="O222">
        <v>135</v>
      </c>
    </row>
    <row r="223" spans="15:15" x14ac:dyDescent="0.3">
      <c r="O223">
        <v>72</v>
      </c>
    </row>
    <row r="224" spans="15:15" x14ac:dyDescent="0.3">
      <c r="O224">
        <v>54.6</v>
      </c>
    </row>
    <row r="225" spans="15:15" x14ac:dyDescent="0.3">
      <c r="O225">
        <v>76.5</v>
      </c>
    </row>
    <row r="226" spans="15:15" x14ac:dyDescent="0.3">
      <c r="O226">
        <v>31.5</v>
      </c>
    </row>
    <row r="227" spans="15:15" x14ac:dyDescent="0.3">
      <c r="O227">
        <v>90</v>
      </c>
    </row>
    <row r="228" spans="15:15" x14ac:dyDescent="0.3">
      <c r="O228">
        <v>148.5</v>
      </c>
    </row>
    <row r="229" spans="15:15" x14ac:dyDescent="0.3">
      <c r="O229">
        <v>19.2</v>
      </c>
    </row>
    <row r="230" spans="15:15" x14ac:dyDescent="0.3">
      <c r="O230">
        <v>105.6</v>
      </c>
    </row>
    <row r="231" spans="15:15" x14ac:dyDescent="0.3">
      <c r="O231">
        <v>237.6</v>
      </c>
    </row>
    <row r="232" spans="15:15" x14ac:dyDescent="0.3">
      <c r="O232">
        <v>40.5</v>
      </c>
    </row>
    <row r="233" spans="15:15" x14ac:dyDescent="0.3">
      <c r="O233">
        <v>42</v>
      </c>
    </row>
    <row r="234" spans="15:15" x14ac:dyDescent="0.3">
      <c r="O234">
        <v>110.4</v>
      </c>
    </row>
    <row r="235" spans="15:15" x14ac:dyDescent="0.3">
      <c r="O235">
        <v>66</v>
      </c>
    </row>
    <row r="236" spans="15:15" x14ac:dyDescent="0.3">
      <c r="O236">
        <v>33</v>
      </c>
    </row>
    <row r="237" spans="15:15" x14ac:dyDescent="0.3">
      <c r="O237">
        <v>63</v>
      </c>
    </row>
    <row r="238" spans="15:15" x14ac:dyDescent="0.3">
      <c r="O238">
        <v>24</v>
      </c>
    </row>
    <row r="239" spans="15:15" x14ac:dyDescent="0.3">
      <c r="O239">
        <v>42</v>
      </c>
    </row>
    <row r="240" spans="15:15" x14ac:dyDescent="0.3">
      <c r="O240">
        <v>54</v>
      </c>
    </row>
    <row r="241" spans="15:15" x14ac:dyDescent="0.3">
      <c r="O241">
        <v>67.2</v>
      </c>
    </row>
    <row r="242" spans="15:15" x14ac:dyDescent="0.3">
      <c r="O242">
        <v>86.4</v>
      </c>
    </row>
    <row r="243" spans="15:15" x14ac:dyDescent="0.3">
      <c r="O243">
        <v>151.19999999999999</v>
      </c>
    </row>
    <row r="244" spans="15:15" x14ac:dyDescent="0.3">
      <c r="O244">
        <v>72</v>
      </c>
    </row>
    <row r="245" spans="15:15" x14ac:dyDescent="0.3">
      <c r="O245">
        <v>67.2</v>
      </c>
    </row>
    <row r="246" spans="15:15" x14ac:dyDescent="0.3">
      <c r="O246">
        <v>130.5</v>
      </c>
    </row>
    <row r="247" spans="15:15" x14ac:dyDescent="0.3">
      <c r="O247">
        <v>24</v>
      </c>
    </row>
    <row r="248" spans="15:15" x14ac:dyDescent="0.3">
      <c r="O248">
        <v>27.000000000000099</v>
      </c>
    </row>
    <row r="249" spans="15:15" x14ac:dyDescent="0.3">
      <c r="O249">
        <v>67.5</v>
      </c>
    </row>
    <row r="250" spans="15:15" x14ac:dyDescent="0.3">
      <c r="O250">
        <v>47.999999999999901</v>
      </c>
    </row>
    <row r="251" spans="15:15" x14ac:dyDescent="0.3">
      <c r="O251">
        <v>105</v>
      </c>
    </row>
    <row r="252" spans="15:15" x14ac:dyDescent="0.3">
      <c r="O252">
        <v>86.4</v>
      </c>
    </row>
    <row r="253" spans="15:15" x14ac:dyDescent="0.3">
      <c r="O253">
        <v>100.8</v>
      </c>
    </row>
    <row r="254" spans="15:15" x14ac:dyDescent="0.3">
      <c r="O254">
        <v>54.6</v>
      </c>
    </row>
    <row r="255" spans="15:15" x14ac:dyDescent="0.3">
      <c r="O255">
        <v>134.4</v>
      </c>
    </row>
    <row r="256" spans="15:15" x14ac:dyDescent="0.3">
      <c r="O256">
        <v>153</v>
      </c>
    </row>
    <row r="257" spans="15:15" x14ac:dyDescent="0.3">
      <c r="O257">
        <v>183.6</v>
      </c>
    </row>
    <row r="258" spans="15:15" x14ac:dyDescent="0.3">
      <c r="O258">
        <v>134.4</v>
      </c>
    </row>
    <row r="259" spans="15:15" x14ac:dyDescent="0.3">
      <c r="O259">
        <v>91.2</v>
      </c>
    </row>
    <row r="260" spans="15:15" x14ac:dyDescent="0.3">
      <c r="O260">
        <v>50.4</v>
      </c>
    </row>
    <row r="261" spans="15:15" x14ac:dyDescent="0.3">
      <c r="O261">
        <v>25.2</v>
      </c>
    </row>
    <row r="262" spans="15:15" x14ac:dyDescent="0.3">
      <c r="O262">
        <v>71.400000000000006</v>
      </c>
    </row>
    <row r="263" spans="15:15" x14ac:dyDescent="0.3">
      <c r="O263">
        <v>37.799999999999997</v>
      </c>
    </row>
    <row r="264" spans="15:15" x14ac:dyDescent="0.3">
      <c r="O264">
        <v>22.5</v>
      </c>
    </row>
    <row r="265" spans="15:15" x14ac:dyDescent="0.3">
      <c r="O265">
        <v>48</v>
      </c>
    </row>
    <row r="266" spans="15:15" x14ac:dyDescent="0.3">
      <c r="O266">
        <v>159.6</v>
      </c>
    </row>
    <row r="267" spans="15:15" x14ac:dyDescent="0.3">
      <c r="O267">
        <v>29.4</v>
      </c>
    </row>
    <row r="268" spans="15:15" x14ac:dyDescent="0.3">
      <c r="O268">
        <v>100.8</v>
      </c>
    </row>
    <row r="269" spans="15:15" x14ac:dyDescent="0.3">
      <c r="O269">
        <v>43.2</v>
      </c>
    </row>
    <row r="270" spans="15:15" x14ac:dyDescent="0.3">
      <c r="O270">
        <v>85.5</v>
      </c>
    </row>
    <row r="271" spans="15:15" x14ac:dyDescent="0.3">
      <c r="O271">
        <v>67.2</v>
      </c>
    </row>
    <row r="272" spans="15:15" x14ac:dyDescent="0.3">
      <c r="O272">
        <v>81.599999999999994</v>
      </c>
    </row>
    <row r="273" spans="15:15" x14ac:dyDescent="0.3">
      <c r="O273">
        <v>155.4</v>
      </c>
    </row>
    <row r="274" spans="15:15" x14ac:dyDescent="0.3">
      <c r="O274">
        <v>172.8</v>
      </c>
    </row>
    <row r="275" spans="15:15" x14ac:dyDescent="0.3">
      <c r="O275">
        <v>37.799999999999997</v>
      </c>
    </row>
    <row r="276" spans="15:15" x14ac:dyDescent="0.3">
      <c r="O276">
        <v>81</v>
      </c>
    </row>
    <row r="277" spans="15:15" x14ac:dyDescent="0.3">
      <c r="O277">
        <v>38.4</v>
      </c>
    </row>
    <row r="278" spans="15:15" x14ac:dyDescent="0.3">
      <c r="O278">
        <v>75.599999999999994</v>
      </c>
    </row>
    <row r="279" spans="15:15" x14ac:dyDescent="0.3">
      <c r="O279">
        <v>129.6</v>
      </c>
    </row>
    <row r="280" spans="15:15" x14ac:dyDescent="0.3">
      <c r="O280">
        <v>75.599999999999994</v>
      </c>
    </row>
    <row r="281" spans="15:15" x14ac:dyDescent="0.3">
      <c r="O281">
        <v>109.2</v>
      </c>
    </row>
    <row r="282" spans="15:15" x14ac:dyDescent="0.3">
      <c r="O282">
        <v>134.4</v>
      </c>
    </row>
    <row r="283" spans="15:15" x14ac:dyDescent="0.3">
      <c r="O283">
        <v>138.6</v>
      </c>
    </row>
    <row r="284" spans="15:15" x14ac:dyDescent="0.3">
      <c r="O284">
        <v>54.6</v>
      </c>
    </row>
    <row r="285" spans="15:15" x14ac:dyDescent="0.3">
      <c r="O285">
        <v>183.6</v>
      </c>
    </row>
    <row r="286" spans="15:15" x14ac:dyDescent="0.3">
      <c r="O286">
        <v>88.2</v>
      </c>
    </row>
    <row r="287" spans="15:15" x14ac:dyDescent="0.3">
      <c r="O287">
        <v>84</v>
      </c>
    </row>
    <row r="288" spans="15:15" x14ac:dyDescent="0.3">
      <c r="O288">
        <v>43.2</v>
      </c>
    </row>
    <row r="289" spans="15:15" x14ac:dyDescent="0.3">
      <c r="O289">
        <v>50.4</v>
      </c>
    </row>
    <row r="290" spans="15:15" x14ac:dyDescent="0.3">
      <c r="O290">
        <v>33.6</v>
      </c>
    </row>
    <row r="291" spans="15:15" x14ac:dyDescent="0.3">
      <c r="O291">
        <v>177.6</v>
      </c>
    </row>
    <row r="292" spans="15:15" x14ac:dyDescent="0.3">
      <c r="O292">
        <v>36</v>
      </c>
    </row>
    <row r="293" spans="15:15" x14ac:dyDescent="0.3">
      <c r="O293">
        <v>33.6</v>
      </c>
    </row>
    <row r="294" spans="15:15" x14ac:dyDescent="0.3">
      <c r="O294">
        <v>110.4</v>
      </c>
    </row>
    <row r="295" spans="15:15" x14ac:dyDescent="0.3">
      <c r="O295">
        <v>48</v>
      </c>
    </row>
    <row r="296" spans="15:15" x14ac:dyDescent="0.3">
      <c r="O296">
        <v>16.8</v>
      </c>
    </row>
    <row r="297" spans="15:15" x14ac:dyDescent="0.3">
      <c r="O297">
        <v>134.4</v>
      </c>
    </row>
    <row r="298" spans="15:15" x14ac:dyDescent="0.3">
      <c r="O298">
        <v>67.2</v>
      </c>
    </row>
    <row r="299" spans="15:15" x14ac:dyDescent="0.3">
      <c r="O299">
        <v>36</v>
      </c>
    </row>
    <row r="300" spans="15:15" x14ac:dyDescent="0.3">
      <c r="O300">
        <v>216</v>
      </c>
    </row>
    <row r="301" spans="15:15" x14ac:dyDescent="0.3">
      <c r="O301">
        <v>134.4</v>
      </c>
    </row>
    <row r="302" spans="15:15" x14ac:dyDescent="0.3">
      <c r="O302">
        <v>148.5</v>
      </c>
    </row>
    <row r="303" spans="15:15" x14ac:dyDescent="0.3">
      <c r="O303">
        <v>40.5</v>
      </c>
    </row>
    <row r="304" spans="15:15" x14ac:dyDescent="0.3">
      <c r="O304">
        <v>93.6</v>
      </c>
    </row>
    <row r="305" spans="15:15" x14ac:dyDescent="0.3">
      <c r="O305">
        <v>100.8</v>
      </c>
    </row>
    <row r="306" spans="15:15" x14ac:dyDescent="0.3">
      <c r="O306">
        <v>166.5</v>
      </c>
    </row>
  </sheetData>
  <mergeCells count="1">
    <mergeCell ref="E63:I6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36DC7-FCBF-4917-9A97-45ABA0D63547}">
  <dimension ref="B11:L181"/>
  <sheetViews>
    <sheetView showGridLines="0" zoomScale="85" zoomScaleNormal="85" workbookViewId="0">
      <selection activeCell="N53" sqref="N53"/>
    </sheetView>
  </sheetViews>
  <sheetFormatPr defaultRowHeight="14.4" x14ac:dyDescent="0.3"/>
  <cols>
    <col min="2" max="2" width="13.21875" customWidth="1"/>
    <col min="3" max="3" width="16.33203125" bestFit="1" customWidth="1"/>
    <col min="4" max="4" width="16.77734375" customWidth="1"/>
    <col min="7" max="7" width="19.33203125" customWidth="1"/>
    <col min="8" max="8" width="10.33203125" bestFit="1" customWidth="1"/>
    <col min="10" max="10" width="9.5546875" bestFit="1" customWidth="1"/>
  </cols>
  <sheetData>
    <row r="11" spans="2:10" x14ac:dyDescent="0.3">
      <c r="B11" s="18" t="s">
        <v>136</v>
      </c>
      <c r="C11" s="19" t="s">
        <v>137</v>
      </c>
      <c r="D11" s="20" t="s">
        <v>138</v>
      </c>
      <c r="G11" s="8" t="s">
        <v>143</v>
      </c>
    </row>
    <row r="12" spans="2:10" x14ac:dyDescent="0.3">
      <c r="B12" s="21">
        <v>1</v>
      </c>
      <c r="C12" s="22" t="s">
        <v>139</v>
      </c>
      <c r="D12" s="23" t="s">
        <v>140</v>
      </c>
    </row>
    <row r="13" spans="2:10" x14ac:dyDescent="0.3">
      <c r="B13" s="24">
        <v>2</v>
      </c>
      <c r="C13" s="25" t="s">
        <v>139</v>
      </c>
      <c r="D13" s="23" t="s">
        <v>140</v>
      </c>
      <c r="G13" s="74" t="s">
        <v>144</v>
      </c>
      <c r="H13" s="74" t="s">
        <v>145</v>
      </c>
      <c r="I13" s="74" t="s">
        <v>146</v>
      </c>
      <c r="J13" s="74" t="s">
        <v>150</v>
      </c>
    </row>
    <row r="14" spans="2:10" x14ac:dyDescent="0.3">
      <c r="B14" s="21">
        <v>3</v>
      </c>
      <c r="C14" s="22" t="s">
        <v>139</v>
      </c>
      <c r="D14" s="23" t="s">
        <v>140</v>
      </c>
      <c r="G14" s="74" t="s">
        <v>147</v>
      </c>
      <c r="H14" s="74">
        <f>COUNTIF(C12:C179, "Existing Customer")</f>
        <v>88</v>
      </c>
      <c r="I14" s="74">
        <f>COUNTIFS(C12:C180, "Existing Customer", D12:D180, "Yes")</f>
        <v>49</v>
      </c>
      <c r="J14" s="75">
        <f>I14/H14</f>
        <v>0.55681818181818177</v>
      </c>
    </row>
    <row r="15" spans="2:10" x14ac:dyDescent="0.3">
      <c r="B15" s="24">
        <v>4</v>
      </c>
      <c r="C15" s="25" t="s">
        <v>139</v>
      </c>
      <c r="D15" s="23" t="s">
        <v>140</v>
      </c>
      <c r="G15" s="74" t="s">
        <v>148</v>
      </c>
      <c r="H15" s="74">
        <f>COUNTIF(C12:C179,"New Customer")</f>
        <v>80</v>
      </c>
      <c r="I15" s="74">
        <f>COUNTIFS(C12:C180, "New Customer", D12:D180, "Yes")</f>
        <v>37</v>
      </c>
      <c r="J15" s="75">
        <f>I15/H15</f>
        <v>0.46250000000000002</v>
      </c>
    </row>
    <row r="16" spans="2:10" x14ac:dyDescent="0.3">
      <c r="B16" s="21">
        <v>5</v>
      </c>
      <c r="C16" s="22" t="s">
        <v>139</v>
      </c>
      <c r="D16" s="23" t="s">
        <v>140</v>
      </c>
    </row>
    <row r="17" spans="2:7" x14ac:dyDescent="0.3">
      <c r="B17" s="24">
        <v>6</v>
      </c>
      <c r="C17" s="25" t="s">
        <v>139</v>
      </c>
      <c r="D17" s="23" t="s">
        <v>140</v>
      </c>
    </row>
    <row r="18" spans="2:7" x14ac:dyDescent="0.3">
      <c r="B18" s="21">
        <v>7</v>
      </c>
      <c r="C18" s="22" t="s">
        <v>139</v>
      </c>
      <c r="D18" s="23" t="s">
        <v>141</v>
      </c>
      <c r="G18" s="8" t="s">
        <v>151</v>
      </c>
    </row>
    <row r="19" spans="2:7" x14ac:dyDescent="0.3">
      <c r="B19" s="24">
        <v>8</v>
      </c>
      <c r="C19" s="25" t="s">
        <v>139</v>
      </c>
      <c r="D19" s="26" t="s">
        <v>141</v>
      </c>
      <c r="G19" t="s">
        <v>152</v>
      </c>
    </row>
    <row r="20" spans="2:7" x14ac:dyDescent="0.3">
      <c r="B20" s="21">
        <v>9</v>
      </c>
      <c r="C20" s="22" t="s">
        <v>139</v>
      </c>
      <c r="D20" s="23" t="s">
        <v>140</v>
      </c>
      <c r="G20" t="s">
        <v>153</v>
      </c>
    </row>
    <row r="21" spans="2:7" x14ac:dyDescent="0.3">
      <c r="B21" s="24">
        <v>10</v>
      </c>
      <c r="C21" s="25" t="s">
        <v>139</v>
      </c>
      <c r="D21" s="26" t="s">
        <v>141</v>
      </c>
    </row>
    <row r="22" spans="2:7" x14ac:dyDescent="0.3">
      <c r="B22" s="21">
        <v>11</v>
      </c>
      <c r="C22" s="22" t="s">
        <v>139</v>
      </c>
      <c r="D22" s="23" t="s">
        <v>140</v>
      </c>
    </row>
    <row r="23" spans="2:7" x14ac:dyDescent="0.3">
      <c r="B23" s="24">
        <v>12</v>
      </c>
      <c r="C23" s="25" t="s">
        <v>139</v>
      </c>
      <c r="D23" s="26" t="s">
        <v>141</v>
      </c>
    </row>
    <row r="24" spans="2:7" x14ac:dyDescent="0.3">
      <c r="B24" s="21">
        <v>13</v>
      </c>
      <c r="C24" s="22" t="s">
        <v>139</v>
      </c>
      <c r="D24" s="23" t="s">
        <v>140</v>
      </c>
      <c r="G24" s="8" t="s">
        <v>154</v>
      </c>
    </row>
    <row r="25" spans="2:7" x14ac:dyDescent="0.3">
      <c r="B25" s="24">
        <v>14</v>
      </c>
      <c r="C25" s="25" t="s">
        <v>139</v>
      </c>
      <c r="D25" s="26" t="s">
        <v>141</v>
      </c>
      <c r="G25" t="s">
        <v>155</v>
      </c>
    </row>
    <row r="26" spans="2:7" x14ac:dyDescent="0.3">
      <c r="B26" s="21">
        <v>15</v>
      </c>
      <c r="C26" s="22" t="s">
        <v>139</v>
      </c>
      <c r="D26" s="23" t="s">
        <v>140</v>
      </c>
    </row>
    <row r="27" spans="2:7" x14ac:dyDescent="0.3">
      <c r="B27" s="24">
        <v>16</v>
      </c>
      <c r="C27" s="25" t="s">
        <v>139</v>
      </c>
      <c r="D27" s="26" t="s">
        <v>140</v>
      </c>
    </row>
    <row r="28" spans="2:7" x14ac:dyDescent="0.3">
      <c r="B28" s="21">
        <v>17</v>
      </c>
      <c r="C28" s="22" t="s">
        <v>139</v>
      </c>
      <c r="D28" s="23" t="s">
        <v>140</v>
      </c>
    </row>
    <row r="29" spans="2:7" x14ac:dyDescent="0.3">
      <c r="B29" s="24">
        <v>18</v>
      </c>
      <c r="C29" s="25" t="s">
        <v>139</v>
      </c>
      <c r="D29" s="26" t="s">
        <v>141</v>
      </c>
    </row>
    <row r="30" spans="2:7" x14ac:dyDescent="0.3">
      <c r="B30" s="21">
        <v>19</v>
      </c>
      <c r="C30" s="22" t="s">
        <v>139</v>
      </c>
      <c r="D30" s="23" t="s">
        <v>140</v>
      </c>
    </row>
    <row r="31" spans="2:7" x14ac:dyDescent="0.3">
      <c r="B31" s="24">
        <v>20</v>
      </c>
      <c r="C31" s="25" t="s">
        <v>139</v>
      </c>
      <c r="D31" s="26" t="s">
        <v>141</v>
      </c>
    </row>
    <row r="32" spans="2:7" x14ac:dyDescent="0.3">
      <c r="B32" s="21">
        <v>21</v>
      </c>
      <c r="C32" s="22" t="s">
        <v>139</v>
      </c>
      <c r="D32" s="23" t="s">
        <v>140</v>
      </c>
    </row>
    <row r="33" spans="2:12" x14ac:dyDescent="0.3">
      <c r="B33" s="24">
        <v>22</v>
      </c>
      <c r="C33" s="25" t="s">
        <v>139</v>
      </c>
      <c r="D33" s="26" t="s">
        <v>141</v>
      </c>
    </row>
    <row r="34" spans="2:12" x14ac:dyDescent="0.3">
      <c r="B34" s="21">
        <v>23</v>
      </c>
      <c r="C34" s="22" t="s">
        <v>139</v>
      </c>
      <c r="D34" s="23" t="s">
        <v>141</v>
      </c>
    </row>
    <row r="35" spans="2:12" x14ac:dyDescent="0.3">
      <c r="B35" s="24">
        <v>24</v>
      </c>
      <c r="C35" s="25" t="s">
        <v>139</v>
      </c>
      <c r="D35" s="26" t="s">
        <v>140</v>
      </c>
      <c r="G35" t="s">
        <v>156</v>
      </c>
      <c r="H35">
        <f>(I14+I15)/(H14+H15)</f>
        <v>0.51190476190476186</v>
      </c>
    </row>
    <row r="36" spans="2:12" x14ac:dyDescent="0.3">
      <c r="B36" s="21">
        <v>25</v>
      </c>
      <c r="C36" s="22" t="s">
        <v>139</v>
      </c>
      <c r="D36" s="23" t="s">
        <v>141</v>
      </c>
      <c r="G36" t="s">
        <v>157</v>
      </c>
      <c r="H36">
        <f>SQRT(H35*(1-H35)*(1/H14+1/H15))</f>
        <v>7.7217401253066378E-2</v>
      </c>
    </row>
    <row r="37" spans="2:12" x14ac:dyDescent="0.3">
      <c r="B37" s="24">
        <v>26</v>
      </c>
      <c r="C37" s="25" t="s">
        <v>139</v>
      </c>
      <c r="D37" s="26" t="s">
        <v>141</v>
      </c>
    </row>
    <row r="38" spans="2:12" x14ac:dyDescent="0.3">
      <c r="B38" s="21">
        <v>27</v>
      </c>
      <c r="C38" s="22" t="s">
        <v>139</v>
      </c>
      <c r="D38" s="23" t="s">
        <v>140</v>
      </c>
      <c r="G38" t="s">
        <v>158</v>
      </c>
      <c r="H38">
        <f>(J14-J15)/H36</f>
        <v>1.221462782839202</v>
      </c>
    </row>
    <row r="39" spans="2:12" x14ac:dyDescent="0.3">
      <c r="B39" s="24">
        <v>28</v>
      </c>
      <c r="C39" s="25" t="s">
        <v>139</v>
      </c>
      <c r="D39" s="26" t="s">
        <v>141</v>
      </c>
    </row>
    <row r="40" spans="2:12" x14ac:dyDescent="0.3">
      <c r="B40" s="21">
        <v>29</v>
      </c>
      <c r="C40" s="22" t="s">
        <v>139</v>
      </c>
      <c r="D40" s="23" t="s">
        <v>141</v>
      </c>
      <c r="G40" t="s">
        <v>159</v>
      </c>
      <c r="H40">
        <f>_xlfn.NORM.S.INV(1-5%/2)</f>
        <v>1.9599639845400536</v>
      </c>
    </row>
    <row r="41" spans="2:12" x14ac:dyDescent="0.3">
      <c r="B41" s="24">
        <v>30</v>
      </c>
      <c r="C41" s="25" t="s">
        <v>139</v>
      </c>
      <c r="D41" s="26" t="s">
        <v>140</v>
      </c>
      <c r="G41" t="s">
        <v>161</v>
      </c>
      <c r="H41" s="9">
        <f>2*(1-_xlfn.NORM.S.DIST(H38,TRUE))</f>
        <v>0.22191084863874555</v>
      </c>
    </row>
    <row r="42" spans="2:12" x14ac:dyDescent="0.3">
      <c r="B42" s="21">
        <v>31</v>
      </c>
      <c r="C42" s="22" t="s">
        <v>139</v>
      </c>
      <c r="D42" s="23" t="s">
        <v>141</v>
      </c>
      <c r="G42" s="7" t="s">
        <v>160</v>
      </c>
    </row>
    <row r="43" spans="2:12" x14ac:dyDescent="0.3">
      <c r="B43" s="24">
        <v>32</v>
      </c>
      <c r="C43" s="25" t="s">
        <v>139</v>
      </c>
      <c r="D43" s="26" t="s">
        <v>141</v>
      </c>
    </row>
    <row r="44" spans="2:12" x14ac:dyDescent="0.3">
      <c r="B44" s="21">
        <v>33</v>
      </c>
      <c r="C44" s="22" t="s">
        <v>139</v>
      </c>
      <c r="D44" s="23" t="s">
        <v>140</v>
      </c>
    </row>
    <row r="45" spans="2:12" x14ac:dyDescent="0.3">
      <c r="B45" s="24">
        <v>34</v>
      </c>
      <c r="C45" s="25" t="s">
        <v>139</v>
      </c>
      <c r="D45" s="26" t="s">
        <v>141</v>
      </c>
      <c r="G45" s="8" t="s">
        <v>126</v>
      </c>
    </row>
    <row r="46" spans="2:12" x14ac:dyDescent="0.3">
      <c r="B46" s="21">
        <v>35</v>
      </c>
      <c r="C46" s="22" t="s">
        <v>139</v>
      </c>
      <c r="D46" s="23" t="s">
        <v>140</v>
      </c>
      <c r="G46" t="s">
        <v>162</v>
      </c>
    </row>
    <row r="47" spans="2:12" ht="14.4" customHeight="1" x14ac:dyDescent="0.3">
      <c r="B47" s="24">
        <v>36</v>
      </c>
      <c r="C47" s="25" t="s">
        <v>139</v>
      </c>
      <c r="D47" s="26" t="s">
        <v>141</v>
      </c>
      <c r="G47" s="76" t="s">
        <v>163</v>
      </c>
      <c r="H47" s="76"/>
      <c r="I47" s="76"/>
      <c r="J47" s="76"/>
      <c r="K47" s="76"/>
      <c r="L47" s="76"/>
    </row>
    <row r="48" spans="2:12" x14ac:dyDescent="0.3">
      <c r="B48" s="21">
        <v>37</v>
      </c>
      <c r="C48" s="22" t="s">
        <v>139</v>
      </c>
      <c r="D48" s="23" t="s">
        <v>140</v>
      </c>
      <c r="G48" s="76"/>
      <c r="H48" s="76"/>
      <c r="I48" s="76"/>
      <c r="J48" s="76"/>
      <c r="K48" s="76"/>
      <c r="L48" s="76"/>
    </row>
    <row r="49" spans="2:12" x14ac:dyDescent="0.3">
      <c r="B49" s="24">
        <v>38</v>
      </c>
      <c r="C49" s="25" t="s">
        <v>139</v>
      </c>
      <c r="D49" s="26" t="s">
        <v>141</v>
      </c>
      <c r="G49" s="76"/>
      <c r="H49" s="76"/>
      <c r="I49" s="76"/>
      <c r="J49" s="76"/>
      <c r="K49" s="76"/>
      <c r="L49" s="76"/>
    </row>
    <row r="50" spans="2:12" x14ac:dyDescent="0.3">
      <c r="B50" s="21">
        <v>39</v>
      </c>
      <c r="C50" s="22" t="s">
        <v>139</v>
      </c>
      <c r="D50" s="23" t="s">
        <v>140</v>
      </c>
      <c r="G50" s="76"/>
      <c r="H50" s="76"/>
      <c r="I50" s="76"/>
      <c r="J50" s="76"/>
      <c r="K50" s="76"/>
      <c r="L50" s="76"/>
    </row>
    <row r="51" spans="2:12" x14ac:dyDescent="0.3">
      <c r="B51" s="24">
        <v>40</v>
      </c>
      <c r="C51" s="25" t="s">
        <v>139</v>
      </c>
      <c r="D51" s="26" t="s">
        <v>141</v>
      </c>
    </row>
    <row r="52" spans="2:12" x14ac:dyDescent="0.3">
      <c r="B52" s="21">
        <v>41</v>
      </c>
      <c r="C52" s="22" t="s">
        <v>139</v>
      </c>
      <c r="D52" s="23" t="s">
        <v>141</v>
      </c>
      <c r="G52" s="76" t="s">
        <v>164</v>
      </c>
      <c r="H52" s="76"/>
      <c r="I52" s="76"/>
      <c r="J52" s="76"/>
      <c r="K52" s="76"/>
      <c r="L52" s="76"/>
    </row>
    <row r="53" spans="2:12" x14ac:dyDescent="0.3">
      <c r="B53" s="24">
        <v>42</v>
      </c>
      <c r="C53" s="25" t="s">
        <v>139</v>
      </c>
      <c r="D53" s="26" t="s">
        <v>140</v>
      </c>
      <c r="G53" s="76"/>
      <c r="H53" s="76"/>
      <c r="I53" s="76"/>
      <c r="J53" s="76"/>
      <c r="K53" s="76"/>
      <c r="L53" s="76"/>
    </row>
    <row r="54" spans="2:12" x14ac:dyDescent="0.3">
      <c r="B54" s="21">
        <v>43</v>
      </c>
      <c r="C54" s="22" t="s">
        <v>139</v>
      </c>
      <c r="D54" s="23" t="s">
        <v>141</v>
      </c>
      <c r="G54" s="76"/>
      <c r="H54" s="76"/>
      <c r="I54" s="76"/>
      <c r="J54" s="76"/>
      <c r="K54" s="76"/>
      <c r="L54" s="76"/>
    </row>
    <row r="55" spans="2:12" x14ac:dyDescent="0.3">
      <c r="B55" s="24">
        <v>44</v>
      </c>
      <c r="C55" s="25" t="s">
        <v>139</v>
      </c>
      <c r="D55" s="26" t="s">
        <v>140</v>
      </c>
    </row>
    <row r="56" spans="2:12" x14ac:dyDescent="0.3">
      <c r="B56" s="21">
        <v>45</v>
      </c>
      <c r="C56" s="22" t="s">
        <v>139</v>
      </c>
      <c r="D56" s="23" t="s">
        <v>141</v>
      </c>
    </row>
    <row r="57" spans="2:12" x14ac:dyDescent="0.3">
      <c r="B57" s="24">
        <v>46</v>
      </c>
      <c r="C57" s="25" t="s">
        <v>139</v>
      </c>
      <c r="D57" s="26" t="s">
        <v>140</v>
      </c>
    </row>
    <row r="58" spans="2:12" x14ac:dyDescent="0.3">
      <c r="B58" s="21">
        <v>47</v>
      </c>
      <c r="C58" s="22" t="s">
        <v>139</v>
      </c>
      <c r="D58" s="23" t="s">
        <v>140</v>
      </c>
    </row>
    <row r="59" spans="2:12" x14ac:dyDescent="0.3">
      <c r="B59" s="24">
        <v>48</v>
      </c>
      <c r="C59" s="25" t="s">
        <v>139</v>
      </c>
      <c r="D59" s="26" t="s">
        <v>140</v>
      </c>
    </row>
    <row r="60" spans="2:12" x14ac:dyDescent="0.3">
      <c r="B60" s="21">
        <v>49</v>
      </c>
      <c r="C60" s="22" t="s">
        <v>139</v>
      </c>
      <c r="D60" s="23" t="s">
        <v>141</v>
      </c>
    </row>
    <row r="61" spans="2:12" x14ac:dyDescent="0.3">
      <c r="B61" s="24">
        <v>50</v>
      </c>
      <c r="C61" s="25" t="s">
        <v>139</v>
      </c>
      <c r="D61" s="26" t="s">
        <v>140</v>
      </c>
    </row>
    <row r="62" spans="2:12" x14ac:dyDescent="0.3">
      <c r="B62" s="21">
        <v>51</v>
      </c>
      <c r="C62" s="22" t="s">
        <v>139</v>
      </c>
      <c r="D62" s="23" t="s">
        <v>141</v>
      </c>
    </row>
    <row r="63" spans="2:12" x14ac:dyDescent="0.3">
      <c r="B63" s="24">
        <v>52</v>
      </c>
      <c r="C63" s="25" t="s">
        <v>139</v>
      </c>
      <c r="D63" s="26" t="s">
        <v>141</v>
      </c>
    </row>
    <row r="64" spans="2:12" x14ac:dyDescent="0.3">
      <c r="B64" s="21">
        <v>53</v>
      </c>
      <c r="C64" s="22" t="s">
        <v>139</v>
      </c>
      <c r="D64" s="23" t="s">
        <v>140</v>
      </c>
    </row>
    <row r="65" spans="2:4" x14ac:dyDescent="0.3">
      <c r="B65" s="24">
        <v>54</v>
      </c>
      <c r="C65" s="25" t="s">
        <v>139</v>
      </c>
      <c r="D65" s="26" t="s">
        <v>141</v>
      </c>
    </row>
    <row r="66" spans="2:4" x14ac:dyDescent="0.3">
      <c r="B66" s="21">
        <v>55</v>
      </c>
      <c r="C66" s="22" t="s">
        <v>139</v>
      </c>
      <c r="D66" s="23" t="s">
        <v>140</v>
      </c>
    </row>
    <row r="67" spans="2:4" x14ac:dyDescent="0.3">
      <c r="B67" s="24">
        <v>56</v>
      </c>
      <c r="C67" s="25" t="s">
        <v>139</v>
      </c>
      <c r="D67" s="26" t="s">
        <v>141</v>
      </c>
    </row>
    <row r="68" spans="2:4" x14ac:dyDescent="0.3">
      <c r="B68" s="21">
        <v>57</v>
      </c>
      <c r="C68" s="22" t="s">
        <v>139</v>
      </c>
      <c r="D68" s="23" t="s">
        <v>140</v>
      </c>
    </row>
    <row r="69" spans="2:4" x14ac:dyDescent="0.3">
      <c r="B69" s="24">
        <v>58</v>
      </c>
      <c r="C69" s="25" t="s">
        <v>139</v>
      </c>
      <c r="D69" s="26" t="s">
        <v>141</v>
      </c>
    </row>
    <row r="70" spans="2:4" x14ac:dyDescent="0.3">
      <c r="B70" s="21">
        <v>59</v>
      </c>
      <c r="C70" s="22" t="s">
        <v>139</v>
      </c>
      <c r="D70" s="23" t="s">
        <v>140</v>
      </c>
    </row>
    <row r="71" spans="2:4" x14ac:dyDescent="0.3">
      <c r="B71" s="24">
        <v>60</v>
      </c>
      <c r="C71" s="25" t="s">
        <v>139</v>
      </c>
      <c r="D71" s="26" t="s">
        <v>141</v>
      </c>
    </row>
    <row r="72" spans="2:4" x14ac:dyDescent="0.3">
      <c r="B72" s="21">
        <v>61</v>
      </c>
      <c r="C72" s="22" t="s">
        <v>139</v>
      </c>
      <c r="D72" s="23" t="s">
        <v>141</v>
      </c>
    </row>
    <row r="73" spans="2:4" x14ac:dyDescent="0.3">
      <c r="B73" s="24">
        <v>62</v>
      </c>
      <c r="C73" s="25" t="s">
        <v>139</v>
      </c>
      <c r="D73" s="26" t="s">
        <v>140</v>
      </c>
    </row>
    <row r="74" spans="2:4" x14ac:dyDescent="0.3">
      <c r="B74" s="21">
        <v>63</v>
      </c>
      <c r="C74" s="22" t="s">
        <v>139</v>
      </c>
      <c r="D74" s="23" t="s">
        <v>140</v>
      </c>
    </row>
    <row r="75" spans="2:4" x14ac:dyDescent="0.3">
      <c r="B75" s="24">
        <v>64</v>
      </c>
      <c r="C75" s="25" t="s">
        <v>139</v>
      </c>
      <c r="D75" s="26" t="s">
        <v>140</v>
      </c>
    </row>
    <row r="76" spans="2:4" x14ac:dyDescent="0.3">
      <c r="B76" s="21">
        <v>65</v>
      </c>
      <c r="C76" s="22" t="s">
        <v>139</v>
      </c>
      <c r="D76" s="23" t="s">
        <v>141</v>
      </c>
    </row>
    <row r="77" spans="2:4" x14ac:dyDescent="0.3">
      <c r="B77" s="24">
        <v>66</v>
      </c>
      <c r="C77" s="25" t="s">
        <v>139</v>
      </c>
      <c r="D77" s="26" t="s">
        <v>141</v>
      </c>
    </row>
    <row r="78" spans="2:4" x14ac:dyDescent="0.3">
      <c r="B78" s="21">
        <v>67</v>
      </c>
      <c r="C78" s="22" t="s">
        <v>139</v>
      </c>
      <c r="D78" s="23" t="s">
        <v>140</v>
      </c>
    </row>
    <row r="79" spans="2:4" x14ac:dyDescent="0.3">
      <c r="B79" s="24">
        <v>68</v>
      </c>
      <c r="C79" s="25" t="s">
        <v>139</v>
      </c>
      <c r="D79" s="26" t="s">
        <v>141</v>
      </c>
    </row>
    <row r="80" spans="2:4" x14ac:dyDescent="0.3">
      <c r="B80" s="21">
        <v>69</v>
      </c>
      <c r="C80" s="22" t="s">
        <v>139</v>
      </c>
      <c r="D80" s="23" t="s">
        <v>140</v>
      </c>
    </row>
    <row r="81" spans="2:4" x14ac:dyDescent="0.3">
      <c r="B81" s="24">
        <v>70</v>
      </c>
      <c r="C81" s="25" t="s">
        <v>139</v>
      </c>
      <c r="D81" s="26" t="s">
        <v>141</v>
      </c>
    </row>
    <row r="82" spans="2:4" x14ac:dyDescent="0.3">
      <c r="B82" s="21">
        <v>71</v>
      </c>
      <c r="C82" s="22" t="s">
        <v>139</v>
      </c>
      <c r="D82" s="23" t="s">
        <v>140</v>
      </c>
    </row>
    <row r="83" spans="2:4" x14ac:dyDescent="0.3">
      <c r="B83" s="24">
        <v>72</v>
      </c>
      <c r="C83" s="25" t="s">
        <v>139</v>
      </c>
      <c r="D83" s="26" t="s">
        <v>141</v>
      </c>
    </row>
    <row r="84" spans="2:4" x14ac:dyDescent="0.3">
      <c r="B84" s="21">
        <v>73</v>
      </c>
      <c r="C84" s="22" t="s">
        <v>139</v>
      </c>
      <c r="D84" s="23" t="s">
        <v>140</v>
      </c>
    </row>
    <row r="85" spans="2:4" x14ac:dyDescent="0.3">
      <c r="B85" s="24">
        <v>74</v>
      </c>
      <c r="C85" s="25" t="s">
        <v>139</v>
      </c>
      <c r="D85" s="26" t="s">
        <v>141</v>
      </c>
    </row>
    <row r="86" spans="2:4" x14ac:dyDescent="0.3">
      <c r="B86" s="21">
        <v>75</v>
      </c>
      <c r="C86" s="22" t="s">
        <v>139</v>
      </c>
      <c r="D86" s="23" t="s">
        <v>140</v>
      </c>
    </row>
    <row r="87" spans="2:4" x14ac:dyDescent="0.3">
      <c r="B87" s="24">
        <v>76</v>
      </c>
      <c r="C87" s="25" t="s">
        <v>139</v>
      </c>
      <c r="D87" s="26" t="s">
        <v>141</v>
      </c>
    </row>
    <row r="88" spans="2:4" x14ac:dyDescent="0.3">
      <c r="B88" s="21">
        <v>77</v>
      </c>
      <c r="C88" s="22" t="s">
        <v>139</v>
      </c>
      <c r="D88" s="23" t="s">
        <v>140</v>
      </c>
    </row>
    <row r="89" spans="2:4" x14ac:dyDescent="0.3">
      <c r="B89" s="24">
        <v>78</v>
      </c>
      <c r="C89" s="25" t="s">
        <v>139</v>
      </c>
      <c r="D89" s="26" t="s">
        <v>141</v>
      </c>
    </row>
    <row r="90" spans="2:4" x14ac:dyDescent="0.3">
      <c r="B90" s="21">
        <v>79</v>
      </c>
      <c r="C90" s="22" t="s">
        <v>139</v>
      </c>
      <c r="D90" s="23" t="s">
        <v>140</v>
      </c>
    </row>
    <row r="91" spans="2:4" x14ac:dyDescent="0.3">
      <c r="B91" s="24">
        <v>80</v>
      </c>
      <c r="C91" s="25" t="s">
        <v>139</v>
      </c>
      <c r="D91" s="26" t="s">
        <v>140</v>
      </c>
    </row>
    <row r="92" spans="2:4" x14ac:dyDescent="0.3">
      <c r="B92" s="21">
        <v>81</v>
      </c>
      <c r="C92" s="22" t="s">
        <v>139</v>
      </c>
      <c r="D92" s="23" t="s">
        <v>140</v>
      </c>
    </row>
    <row r="93" spans="2:4" x14ac:dyDescent="0.3">
      <c r="B93" s="24">
        <v>82</v>
      </c>
      <c r="C93" s="25" t="s">
        <v>139</v>
      </c>
      <c r="D93" s="26" t="s">
        <v>141</v>
      </c>
    </row>
    <row r="94" spans="2:4" x14ac:dyDescent="0.3">
      <c r="B94" s="21">
        <v>83</v>
      </c>
      <c r="C94" s="22" t="s">
        <v>139</v>
      </c>
      <c r="D94" s="23" t="s">
        <v>140</v>
      </c>
    </row>
    <row r="95" spans="2:4" x14ac:dyDescent="0.3">
      <c r="B95" s="24">
        <v>84</v>
      </c>
      <c r="C95" s="25" t="s">
        <v>139</v>
      </c>
      <c r="D95" s="26" t="s">
        <v>140</v>
      </c>
    </row>
    <row r="96" spans="2:4" x14ac:dyDescent="0.3">
      <c r="B96" s="21">
        <v>85</v>
      </c>
      <c r="C96" s="22" t="s">
        <v>139</v>
      </c>
      <c r="D96" s="23" t="s">
        <v>140</v>
      </c>
    </row>
    <row r="97" spans="2:4" x14ac:dyDescent="0.3">
      <c r="B97" s="24">
        <v>86</v>
      </c>
      <c r="C97" s="25" t="s">
        <v>139</v>
      </c>
      <c r="D97" s="26" t="s">
        <v>140</v>
      </c>
    </row>
    <row r="98" spans="2:4" x14ac:dyDescent="0.3">
      <c r="B98" s="21">
        <v>87</v>
      </c>
      <c r="C98" s="22" t="s">
        <v>139</v>
      </c>
      <c r="D98" s="23" t="s">
        <v>140</v>
      </c>
    </row>
    <row r="99" spans="2:4" x14ac:dyDescent="0.3">
      <c r="B99" s="24">
        <v>88</v>
      </c>
      <c r="C99" s="25" t="s">
        <v>139</v>
      </c>
      <c r="D99" s="26" t="s">
        <v>140</v>
      </c>
    </row>
    <row r="100" spans="2:4" x14ac:dyDescent="0.3">
      <c r="B100" s="21">
        <v>89</v>
      </c>
      <c r="C100" s="22" t="s">
        <v>142</v>
      </c>
      <c r="D100" s="23" t="s">
        <v>140</v>
      </c>
    </row>
    <row r="101" spans="2:4" x14ac:dyDescent="0.3">
      <c r="B101" s="24">
        <v>90</v>
      </c>
      <c r="C101" s="25" t="s">
        <v>142</v>
      </c>
      <c r="D101" s="26" t="s">
        <v>141</v>
      </c>
    </row>
    <row r="102" spans="2:4" x14ac:dyDescent="0.3">
      <c r="B102" s="21">
        <v>91</v>
      </c>
      <c r="C102" s="22" t="s">
        <v>142</v>
      </c>
      <c r="D102" s="23" t="s">
        <v>140</v>
      </c>
    </row>
    <row r="103" spans="2:4" x14ac:dyDescent="0.3">
      <c r="B103" s="24">
        <v>92</v>
      </c>
      <c r="C103" s="25" t="s">
        <v>142</v>
      </c>
      <c r="D103" s="26" t="s">
        <v>141</v>
      </c>
    </row>
    <row r="104" spans="2:4" x14ac:dyDescent="0.3">
      <c r="B104" s="21">
        <v>93</v>
      </c>
      <c r="C104" s="22" t="s">
        <v>142</v>
      </c>
      <c r="D104" s="23" t="s">
        <v>140</v>
      </c>
    </row>
    <row r="105" spans="2:4" x14ac:dyDescent="0.3">
      <c r="B105" s="24">
        <v>94</v>
      </c>
      <c r="C105" s="25" t="s">
        <v>142</v>
      </c>
      <c r="D105" s="26" t="s">
        <v>141</v>
      </c>
    </row>
    <row r="106" spans="2:4" x14ac:dyDescent="0.3">
      <c r="B106" s="21">
        <v>95</v>
      </c>
      <c r="C106" s="22" t="s">
        <v>142</v>
      </c>
      <c r="D106" s="23" t="s">
        <v>140</v>
      </c>
    </row>
    <row r="107" spans="2:4" x14ac:dyDescent="0.3">
      <c r="B107" s="24">
        <v>96</v>
      </c>
      <c r="C107" s="25" t="s">
        <v>142</v>
      </c>
      <c r="D107" s="26" t="s">
        <v>141</v>
      </c>
    </row>
    <row r="108" spans="2:4" x14ac:dyDescent="0.3">
      <c r="B108" s="21">
        <v>97</v>
      </c>
      <c r="C108" s="22" t="s">
        <v>142</v>
      </c>
      <c r="D108" s="23" t="s">
        <v>140</v>
      </c>
    </row>
    <row r="109" spans="2:4" x14ac:dyDescent="0.3">
      <c r="B109" s="24">
        <v>98</v>
      </c>
      <c r="C109" s="25" t="s">
        <v>142</v>
      </c>
      <c r="D109" s="26" t="s">
        <v>141</v>
      </c>
    </row>
    <row r="110" spans="2:4" x14ac:dyDescent="0.3">
      <c r="B110" s="21">
        <v>99</v>
      </c>
      <c r="C110" s="22" t="s">
        <v>142</v>
      </c>
      <c r="D110" s="23" t="s">
        <v>141</v>
      </c>
    </row>
    <row r="111" spans="2:4" x14ac:dyDescent="0.3">
      <c r="B111" s="24">
        <v>100</v>
      </c>
      <c r="C111" s="25" t="s">
        <v>142</v>
      </c>
      <c r="D111" s="26" t="s">
        <v>141</v>
      </c>
    </row>
    <row r="112" spans="2:4" x14ac:dyDescent="0.3">
      <c r="B112" s="21">
        <v>101</v>
      </c>
      <c r="C112" s="22" t="s">
        <v>142</v>
      </c>
      <c r="D112" s="23" t="s">
        <v>140</v>
      </c>
    </row>
    <row r="113" spans="2:4" x14ac:dyDescent="0.3">
      <c r="B113" s="24">
        <v>102</v>
      </c>
      <c r="C113" s="25" t="s">
        <v>142</v>
      </c>
      <c r="D113" s="26" t="s">
        <v>141</v>
      </c>
    </row>
    <row r="114" spans="2:4" x14ac:dyDescent="0.3">
      <c r="B114" s="21">
        <v>103</v>
      </c>
      <c r="C114" s="22" t="s">
        <v>142</v>
      </c>
      <c r="D114" s="23" t="s">
        <v>140</v>
      </c>
    </row>
    <row r="115" spans="2:4" x14ac:dyDescent="0.3">
      <c r="B115" s="24">
        <v>104</v>
      </c>
      <c r="C115" s="25" t="s">
        <v>142</v>
      </c>
      <c r="D115" s="26" t="s">
        <v>141</v>
      </c>
    </row>
    <row r="116" spans="2:4" x14ac:dyDescent="0.3">
      <c r="B116" s="21">
        <v>105</v>
      </c>
      <c r="C116" s="22" t="s">
        <v>142</v>
      </c>
      <c r="D116" s="23" t="s">
        <v>140</v>
      </c>
    </row>
    <row r="117" spans="2:4" x14ac:dyDescent="0.3">
      <c r="B117" s="24">
        <v>106</v>
      </c>
      <c r="C117" s="25" t="s">
        <v>142</v>
      </c>
      <c r="D117" s="26" t="s">
        <v>141</v>
      </c>
    </row>
    <row r="118" spans="2:4" x14ac:dyDescent="0.3">
      <c r="B118" s="21">
        <v>107</v>
      </c>
      <c r="C118" s="22" t="s">
        <v>142</v>
      </c>
      <c r="D118" s="23" t="s">
        <v>140</v>
      </c>
    </row>
    <row r="119" spans="2:4" x14ac:dyDescent="0.3">
      <c r="B119" s="24">
        <v>108</v>
      </c>
      <c r="C119" s="25" t="s">
        <v>142</v>
      </c>
      <c r="D119" s="26" t="s">
        <v>141</v>
      </c>
    </row>
    <row r="120" spans="2:4" x14ac:dyDescent="0.3">
      <c r="B120" s="21">
        <v>109</v>
      </c>
      <c r="C120" s="22" t="s">
        <v>142</v>
      </c>
      <c r="D120" s="23" t="s">
        <v>140</v>
      </c>
    </row>
    <row r="121" spans="2:4" x14ac:dyDescent="0.3">
      <c r="B121" s="24">
        <v>110</v>
      </c>
      <c r="C121" s="25" t="s">
        <v>142</v>
      </c>
      <c r="D121" s="26" t="s">
        <v>141</v>
      </c>
    </row>
    <row r="122" spans="2:4" x14ac:dyDescent="0.3">
      <c r="B122" s="21">
        <v>111</v>
      </c>
      <c r="C122" s="22" t="s">
        <v>142</v>
      </c>
      <c r="D122" s="23" t="s">
        <v>140</v>
      </c>
    </row>
    <row r="123" spans="2:4" x14ac:dyDescent="0.3">
      <c r="B123" s="24">
        <v>112</v>
      </c>
      <c r="C123" s="25" t="s">
        <v>142</v>
      </c>
      <c r="D123" s="26" t="s">
        <v>141</v>
      </c>
    </row>
    <row r="124" spans="2:4" x14ac:dyDescent="0.3">
      <c r="B124" s="21">
        <v>113</v>
      </c>
      <c r="C124" s="22" t="s">
        <v>142</v>
      </c>
      <c r="D124" s="23" t="s">
        <v>140</v>
      </c>
    </row>
    <row r="125" spans="2:4" x14ac:dyDescent="0.3">
      <c r="B125" s="24">
        <v>114</v>
      </c>
      <c r="C125" s="25" t="s">
        <v>142</v>
      </c>
      <c r="D125" s="26" t="s">
        <v>141</v>
      </c>
    </row>
    <row r="126" spans="2:4" x14ac:dyDescent="0.3">
      <c r="B126" s="21">
        <v>115</v>
      </c>
      <c r="C126" s="22" t="s">
        <v>142</v>
      </c>
      <c r="D126" s="23" t="s">
        <v>140</v>
      </c>
    </row>
    <row r="127" spans="2:4" x14ac:dyDescent="0.3">
      <c r="B127" s="24">
        <v>116</v>
      </c>
      <c r="C127" s="25" t="s">
        <v>142</v>
      </c>
      <c r="D127" s="26" t="s">
        <v>141</v>
      </c>
    </row>
    <row r="128" spans="2:4" x14ac:dyDescent="0.3">
      <c r="B128" s="21">
        <v>117</v>
      </c>
      <c r="C128" s="22" t="s">
        <v>142</v>
      </c>
      <c r="D128" s="23" t="s">
        <v>140</v>
      </c>
    </row>
    <row r="129" spans="2:4" x14ac:dyDescent="0.3">
      <c r="B129" s="24">
        <v>118</v>
      </c>
      <c r="C129" s="25" t="s">
        <v>142</v>
      </c>
      <c r="D129" s="26" t="s">
        <v>141</v>
      </c>
    </row>
    <row r="130" spans="2:4" x14ac:dyDescent="0.3">
      <c r="B130" s="21">
        <v>119</v>
      </c>
      <c r="C130" s="22" t="s">
        <v>142</v>
      </c>
      <c r="D130" s="23" t="s">
        <v>140</v>
      </c>
    </row>
    <row r="131" spans="2:4" x14ac:dyDescent="0.3">
      <c r="B131" s="24">
        <v>120</v>
      </c>
      <c r="C131" s="25" t="s">
        <v>142</v>
      </c>
      <c r="D131" s="26" t="s">
        <v>141</v>
      </c>
    </row>
    <row r="132" spans="2:4" x14ac:dyDescent="0.3">
      <c r="B132" s="21">
        <v>121</v>
      </c>
      <c r="C132" s="22" t="s">
        <v>142</v>
      </c>
      <c r="D132" s="23" t="s">
        <v>140</v>
      </c>
    </row>
    <row r="133" spans="2:4" x14ac:dyDescent="0.3">
      <c r="B133" s="24">
        <v>122</v>
      </c>
      <c r="C133" s="25" t="s">
        <v>142</v>
      </c>
      <c r="D133" s="26" t="s">
        <v>141</v>
      </c>
    </row>
    <row r="134" spans="2:4" x14ac:dyDescent="0.3">
      <c r="B134" s="21">
        <v>123</v>
      </c>
      <c r="C134" s="22" t="s">
        <v>142</v>
      </c>
      <c r="D134" s="23" t="s">
        <v>140</v>
      </c>
    </row>
    <row r="135" spans="2:4" x14ac:dyDescent="0.3">
      <c r="B135" s="24">
        <v>124</v>
      </c>
      <c r="C135" s="25" t="s">
        <v>142</v>
      </c>
      <c r="D135" s="26" t="s">
        <v>141</v>
      </c>
    </row>
    <row r="136" spans="2:4" x14ac:dyDescent="0.3">
      <c r="B136" s="21">
        <v>125</v>
      </c>
      <c r="C136" s="22" t="s">
        <v>142</v>
      </c>
      <c r="D136" s="23" t="s">
        <v>140</v>
      </c>
    </row>
    <row r="137" spans="2:4" x14ac:dyDescent="0.3">
      <c r="B137" s="24">
        <v>126</v>
      </c>
      <c r="C137" s="25" t="s">
        <v>142</v>
      </c>
      <c r="D137" s="26" t="s">
        <v>141</v>
      </c>
    </row>
    <row r="138" spans="2:4" x14ac:dyDescent="0.3">
      <c r="B138" s="21">
        <v>127</v>
      </c>
      <c r="C138" s="22" t="s">
        <v>142</v>
      </c>
      <c r="D138" s="23" t="s">
        <v>140</v>
      </c>
    </row>
    <row r="139" spans="2:4" x14ac:dyDescent="0.3">
      <c r="B139" s="24">
        <v>128</v>
      </c>
      <c r="C139" s="25" t="s">
        <v>142</v>
      </c>
      <c r="D139" s="26" t="s">
        <v>141</v>
      </c>
    </row>
    <row r="140" spans="2:4" x14ac:dyDescent="0.3">
      <c r="B140" s="21">
        <v>129</v>
      </c>
      <c r="C140" s="22" t="s">
        <v>142</v>
      </c>
      <c r="D140" s="23" t="s">
        <v>141</v>
      </c>
    </row>
    <row r="141" spans="2:4" x14ac:dyDescent="0.3">
      <c r="B141" s="24">
        <v>130</v>
      </c>
      <c r="C141" s="25" t="s">
        <v>142</v>
      </c>
      <c r="D141" s="26" t="s">
        <v>141</v>
      </c>
    </row>
    <row r="142" spans="2:4" x14ac:dyDescent="0.3">
      <c r="B142" s="21">
        <v>131</v>
      </c>
      <c r="C142" s="22" t="s">
        <v>142</v>
      </c>
      <c r="D142" s="23" t="s">
        <v>141</v>
      </c>
    </row>
    <row r="143" spans="2:4" x14ac:dyDescent="0.3">
      <c r="B143" s="24">
        <v>132</v>
      </c>
      <c r="C143" s="25" t="s">
        <v>142</v>
      </c>
      <c r="D143" s="26" t="s">
        <v>141</v>
      </c>
    </row>
    <row r="144" spans="2:4" x14ac:dyDescent="0.3">
      <c r="B144" s="21">
        <v>133</v>
      </c>
      <c r="C144" s="22" t="s">
        <v>142</v>
      </c>
      <c r="D144" s="23" t="s">
        <v>140</v>
      </c>
    </row>
    <row r="145" spans="2:4" x14ac:dyDescent="0.3">
      <c r="B145" s="24">
        <v>134</v>
      </c>
      <c r="C145" s="25" t="s">
        <v>142</v>
      </c>
      <c r="D145" s="26" t="s">
        <v>141</v>
      </c>
    </row>
    <row r="146" spans="2:4" x14ac:dyDescent="0.3">
      <c r="B146" s="21">
        <v>135</v>
      </c>
      <c r="C146" s="22" t="s">
        <v>142</v>
      </c>
      <c r="D146" s="23" t="s">
        <v>140</v>
      </c>
    </row>
    <row r="147" spans="2:4" x14ac:dyDescent="0.3">
      <c r="B147" s="24">
        <v>136</v>
      </c>
      <c r="C147" s="25" t="s">
        <v>142</v>
      </c>
      <c r="D147" s="26" t="s">
        <v>141</v>
      </c>
    </row>
    <row r="148" spans="2:4" x14ac:dyDescent="0.3">
      <c r="B148" s="21">
        <v>137</v>
      </c>
      <c r="C148" s="22" t="s">
        <v>142</v>
      </c>
      <c r="D148" s="23" t="s">
        <v>140</v>
      </c>
    </row>
    <row r="149" spans="2:4" x14ac:dyDescent="0.3">
      <c r="B149" s="24">
        <v>138</v>
      </c>
      <c r="C149" s="25" t="s">
        <v>142</v>
      </c>
      <c r="D149" s="26" t="s">
        <v>141</v>
      </c>
    </row>
    <row r="150" spans="2:4" x14ac:dyDescent="0.3">
      <c r="B150" s="21">
        <v>139</v>
      </c>
      <c r="C150" s="22" t="s">
        <v>142</v>
      </c>
      <c r="D150" s="23" t="s">
        <v>140</v>
      </c>
    </row>
    <row r="151" spans="2:4" x14ac:dyDescent="0.3">
      <c r="B151" s="24">
        <v>140</v>
      </c>
      <c r="C151" s="25" t="s">
        <v>142</v>
      </c>
      <c r="D151" s="26" t="s">
        <v>141</v>
      </c>
    </row>
    <row r="152" spans="2:4" x14ac:dyDescent="0.3">
      <c r="B152" s="21">
        <v>141</v>
      </c>
      <c r="C152" s="22" t="s">
        <v>142</v>
      </c>
      <c r="D152" s="23" t="s">
        <v>140</v>
      </c>
    </row>
    <row r="153" spans="2:4" x14ac:dyDescent="0.3">
      <c r="B153" s="24">
        <v>142</v>
      </c>
      <c r="C153" s="25" t="s">
        <v>142</v>
      </c>
      <c r="D153" s="26" t="s">
        <v>141</v>
      </c>
    </row>
    <row r="154" spans="2:4" x14ac:dyDescent="0.3">
      <c r="B154" s="21">
        <v>143</v>
      </c>
      <c r="C154" s="22" t="s">
        <v>142</v>
      </c>
      <c r="D154" s="23" t="s">
        <v>140</v>
      </c>
    </row>
    <row r="155" spans="2:4" x14ac:dyDescent="0.3">
      <c r="B155" s="24">
        <v>144</v>
      </c>
      <c r="C155" s="25" t="s">
        <v>142</v>
      </c>
      <c r="D155" s="26" t="s">
        <v>141</v>
      </c>
    </row>
    <row r="156" spans="2:4" x14ac:dyDescent="0.3">
      <c r="B156" s="21">
        <v>145</v>
      </c>
      <c r="C156" s="22" t="s">
        <v>142</v>
      </c>
      <c r="D156" s="23" t="s">
        <v>140</v>
      </c>
    </row>
    <row r="157" spans="2:4" x14ac:dyDescent="0.3">
      <c r="B157" s="24">
        <v>146</v>
      </c>
      <c r="C157" s="25" t="s">
        <v>142</v>
      </c>
      <c r="D157" s="26" t="s">
        <v>141</v>
      </c>
    </row>
    <row r="158" spans="2:4" x14ac:dyDescent="0.3">
      <c r="B158" s="21">
        <v>147</v>
      </c>
      <c r="C158" s="22" t="s">
        <v>142</v>
      </c>
      <c r="D158" s="23" t="s">
        <v>140</v>
      </c>
    </row>
    <row r="159" spans="2:4" x14ac:dyDescent="0.3">
      <c r="B159" s="24">
        <v>148</v>
      </c>
      <c r="C159" s="25" t="s">
        <v>142</v>
      </c>
      <c r="D159" s="26" t="s">
        <v>141</v>
      </c>
    </row>
    <row r="160" spans="2:4" x14ac:dyDescent="0.3">
      <c r="B160" s="21">
        <v>149</v>
      </c>
      <c r="C160" s="22" t="s">
        <v>142</v>
      </c>
      <c r="D160" s="23" t="s">
        <v>140</v>
      </c>
    </row>
    <row r="161" spans="2:4" x14ac:dyDescent="0.3">
      <c r="B161" s="24">
        <v>150</v>
      </c>
      <c r="C161" s="25" t="s">
        <v>142</v>
      </c>
      <c r="D161" s="26" t="s">
        <v>141</v>
      </c>
    </row>
    <row r="162" spans="2:4" x14ac:dyDescent="0.3">
      <c r="B162" s="21">
        <v>151</v>
      </c>
      <c r="C162" s="22" t="s">
        <v>142</v>
      </c>
      <c r="D162" s="23" t="s">
        <v>140</v>
      </c>
    </row>
    <row r="163" spans="2:4" x14ac:dyDescent="0.3">
      <c r="B163" s="24">
        <v>152</v>
      </c>
      <c r="C163" s="25" t="s">
        <v>142</v>
      </c>
      <c r="D163" s="26" t="s">
        <v>141</v>
      </c>
    </row>
    <row r="164" spans="2:4" x14ac:dyDescent="0.3">
      <c r="B164" s="21">
        <v>153</v>
      </c>
      <c r="C164" s="22" t="s">
        <v>142</v>
      </c>
      <c r="D164" s="23" t="s">
        <v>140</v>
      </c>
    </row>
    <row r="165" spans="2:4" x14ac:dyDescent="0.3">
      <c r="B165" s="24">
        <v>154</v>
      </c>
      <c r="C165" s="25" t="s">
        <v>142</v>
      </c>
      <c r="D165" s="26" t="s">
        <v>141</v>
      </c>
    </row>
    <row r="166" spans="2:4" x14ac:dyDescent="0.3">
      <c r="B166" s="21">
        <v>155</v>
      </c>
      <c r="C166" s="22" t="s">
        <v>142</v>
      </c>
      <c r="D166" s="23" t="s">
        <v>140</v>
      </c>
    </row>
    <row r="167" spans="2:4" x14ac:dyDescent="0.3">
      <c r="B167" s="24">
        <v>156</v>
      </c>
      <c r="C167" s="25" t="s">
        <v>142</v>
      </c>
      <c r="D167" s="26" t="s">
        <v>141</v>
      </c>
    </row>
    <row r="168" spans="2:4" x14ac:dyDescent="0.3">
      <c r="B168" s="21">
        <v>157</v>
      </c>
      <c r="C168" s="22" t="s">
        <v>142</v>
      </c>
      <c r="D168" s="23" t="s">
        <v>140</v>
      </c>
    </row>
    <row r="169" spans="2:4" x14ac:dyDescent="0.3">
      <c r="B169" s="24">
        <v>158</v>
      </c>
      <c r="C169" s="25" t="s">
        <v>142</v>
      </c>
      <c r="D169" s="26" t="s">
        <v>141</v>
      </c>
    </row>
    <row r="170" spans="2:4" x14ac:dyDescent="0.3">
      <c r="B170" s="21">
        <v>159</v>
      </c>
      <c r="C170" s="22" t="s">
        <v>142</v>
      </c>
      <c r="D170" s="23" t="s">
        <v>140</v>
      </c>
    </row>
    <row r="171" spans="2:4" x14ac:dyDescent="0.3">
      <c r="B171" s="24">
        <v>160</v>
      </c>
      <c r="C171" s="25" t="s">
        <v>142</v>
      </c>
      <c r="D171" s="26" t="s">
        <v>141</v>
      </c>
    </row>
    <row r="172" spans="2:4" x14ac:dyDescent="0.3">
      <c r="B172" s="21">
        <v>161</v>
      </c>
      <c r="C172" s="22" t="s">
        <v>142</v>
      </c>
      <c r="D172" s="23" t="s">
        <v>140</v>
      </c>
    </row>
    <row r="173" spans="2:4" x14ac:dyDescent="0.3">
      <c r="B173" s="24">
        <v>162</v>
      </c>
      <c r="C173" s="25" t="s">
        <v>142</v>
      </c>
      <c r="D173" s="26" t="s">
        <v>141</v>
      </c>
    </row>
    <row r="174" spans="2:4" x14ac:dyDescent="0.3">
      <c r="B174" s="21">
        <v>163</v>
      </c>
      <c r="C174" s="22" t="s">
        <v>142</v>
      </c>
      <c r="D174" s="23" t="s">
        <v>140</v>
      </c>
    </row>
    <row r="175" spans="2:4" x14ac:dyDescent="0.3">
      <c r="B175" s="24">
        <v>164</v>
      </c>
      <c r="C175" s="25" t="s">
        <v>142</v>
      </c>
      <c r="D175" s="26" t="s">
        <v>141</v>
      </c>
    </row>
    <row r="176" spans="2:4" x14ac:dyDescent="0.3">
      <c r="B176" s="21">
        <v>165</v>
      </c>
      <c r="C176" s="22" t="s">
        <v>142</v>
      </c>
      <c r="D176" s="23" t="s">
        <v>140</v>
      </c>
    </row>
    <row r="177" spans="2:4" x14ac:dyDescent="0.3">
      <c r="B177" s="24">
        <v>166</v>
      </c>
      <c r="C177" s="25" t="s">
        <v>142</v>
      </c>
      <c r="D177" s="26" t="s">
        <v>141</v>
      </c>
    </row>
    <row r="178" spans="2:4" x14ac:dyDescent="0.3">
      <c r="B178" s="21">
        <v>167</v>
      </c>
      <c r="C178" s="22" t="s">
        <v>142</v>
      </c>
      <c r="D178" s="23" t="s">
        <v>140</v>
      </c>
    </row>
    <row r="179" spans="2:4" ht="15" thickBot="1" x14ac:dyDescent="0.35">
      <c r="B179" s="24">
        <v>168</v>
      </c>
      <c r="C179" s="25" t="s">
        <v>142</v>
      </c>
      <c r="D179" s="26" t="s">
        <v>141</v>
      </c>
    </row>
    <row r="180" spans="2:4" ht="15.6" thickTop="1" thickBot="1" x14ac:dyDescent="0.35">
      <c r="B180" s="27" t="s">
        <v>149</v>
      </c>
      <c r="C180" s="28">
        <f>SUBTOTAL(103,Z_Test!$C$12:$C$179)</f>
        <v>168</v>
      </c>
      <c r="D180" s="29">
        <f>SUBTOTAL(103,Z_Test!$D$12:$D$179)</f>
        <v>168</v>
      </c>
    </row>
    <row r="181" spans="2:4" ht="15" thickTop="1" x14ac:dyDescent="0.3">
      <c r="B181" s="17" t="s">
        <v>149</v>
      </c>
      <c r="C181" s="15"/>
      <c r="D181" s="16">
        <f>SUBTOTAL(103,Z_Test!$D$12:$D$180)</f>
        <v>168</v>
      </c>
    </row>
  </sheetData>
  <mergeCells count="2">
    <mergeCell ref="G47:L50"/>
    <mergeCell ref="G52:L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33109-AAEF-472D-8462-6C0F08428940}">
  <dimension ref="B10:AC82"/>
  <sheetViews>
    <sheetView showGridLines="0" zoomScaleNormal="100" workbookViewId="0">
      <selection activeCell="D63" sqref="D63"/>
    </sheetView>
  </sheetViews>
  <sheetFormatPr defaultRowHeight="14.4" x14ac:dyDescent="0.3"/>
  <cols>
    <col min="1" max="1" width="15.21875" customWidth="1"/>
    <col min="2" max="2" width="9.88671875" bestFit="1" customWidth="1"/>
    <col min="3" max="3" width="7.77734375" bestFit="1" customWidth="1"/>
    <col min="4" max="4" width="22" bestFit="1" customWidth="1"/>
    <col min="7" max="7" width="20.21875" customWidth="1"/>
    <col min="8" max="8" width="14" customWidth="1"/>
    <col min="9" max="9" width="12.88671875" customWidth="1"/>
    <col min="12" max="12" width="22.77734375" bestFit="1" customWidth="1"/>
    <col min="16" max="16" width="8.88671875" style="36"/>
  </cols>
  <sheetData>
    <row r="10" spans="2:29" ht="25.2" customHeight="1" x14ac:dyDescent="0.3">
      <c r="G10" s="7" t="s">
        <v>214</v>
      </c>
      <c r="Q10" s="30" t="s">
        <v>210</v>
      </c>
      <c r="R10" s="77" t="s">
        <v>165</v>
      </c>
      <c r="S10" s="77"/>
      <c r="T10" s="77"/>
    </row>
    <row r="11" spans="2:29" x14ac:dyDescent="0.3">
      <c r="B11" t="s">
        <v>211</v>
      </c>
      <c r="C11" t="s">
        <v>212</v>
      </c>
      <c r="D11" t="s">
        <v>213</v>
      </c>
      <c r="Q11" s="30"/>
      <c r="R11" s="31" t="s">
        <v>166</v>
      </c>
      <c r="S11" s="31" t="s">
        <v>167</v>
      </c>
      <c r="T11" s="31" t="s">
        <v>168</v>
      </c>
    </row>
    <row r="12" spans="2:29" x14ac:dyDescent="0.3">
      <c r="B12">
        <v>85</v>
      </c>
      <c r="C12">
        <v>78</v>
      </c>
      <c r="D12">
        <v>88</v>
      </c>
      <c r="Q12" s="31" t="s">
        <v>169</v>
      </c>
      <c r="R12" s="31">
        <v>119.5</v>
      </c>
      <c r="S12" s="31">
        <v>101.7</v>
      </c>
      <c r="T12" s="31">
        <v>122.5</v>
      </c>
      <c r="W12" s="32" t="s">
        <v>209</v>
      </c>
      <c r="X12" s="33"/>
      <c r="Y12" s="33"/>
      <c r="Z12" s="33"/>
      <c r="AA12" s="33"/>
      <c r="AB12" s="33"/>
      <c r="AC12" s="33"/>
    </row>
    <row r="13" spans="2:29" x14ac:dyDescent="0.3">
      <c r="B13">
        <v>90</v>
      </c>
      <c r="C13">
        <v>82</v>
      </c>
      <c r="D13">
        <v>92</v>
      </c>
      <c r="Q13" s="31" t="s">
        <v>170</v>
      </c>
      <c r="R13" s="31">
        <v>100.4</v>
      </c>
      <c r="S13" s="31">
        <v>101.5</v>
      </c>
      <c r="T13" s="31">
        <v>96.5</v>
      </c>
      <c r="W13" s="34" t="s">
        <v>176</v>
      </c>
      <c r="X13" s="33"/>
      <c r="Y13" s="33"/>
      <c r="Z13" s="33"/>
      <c r="AA13" s="33"/>
      <c r="AB13" s="33"/>
      <c r="AC13" s="33"/>
    </row>
    <row r="14" spans="2:29" x14ac:dyDescent="0.3">
      <c r="B14">
        <v>78</v>
      </c>
      <c r="C14">
        <v>75</v>
      </c>
      <c r="D14">
        <v>84</v>
      </c>
      <c r="Q14" s="31" t="s">
        <v>171</v>
      </c>
      <c r="R14" s="31">
        <v>110.3</v>
      </c>
      <c r="S14" s="31">
        <v>110.7</v>
      </c>
      <c r="T14" s="31">
        <v>111.7</v>
      </c>
      <c r="W14" s="33" t="s">
        <v>207</v>
      </c>
      <c r="X14" s="33"/>
      <c r="Y14" s="33"/>
      <c r="Z14" s="33"/>
      <c r="AA14" s="33"/>
      <c r="AB14" s="33"/>
      <c r="AC14" s="33"/>
    </row>
    <row r="15" spans="2:29" x14ac:dyDescent="0.3">
      <c r="B15">
        <v>83</v>
      </c>
      <c r="C15">
        <v>80</v>
      </c>
      <c r="D15">
        <v>90</v>
      </c>
      <c r="Q15" s="31" t="s">
        <v>172</v>
      </c>
      <c r="R15" s="31">
        <v>95.6</v>
      </c>
      <c r="S15" s="31">
        <v>102.5</v>
      </c>
      <c r="T15" s="31">
        <v>125.2</v>
      </c>
      <c r="W15" s="33" t="s">
        <v>177</v>
      </c>
      <c r="X15" s="33"/>
      <c r="Y15" s="33"/>
      <c r="Z15" s="33"/>
      <c r="AA15" s="33"/>
      <c r="AB15" s="33"/>
      <c r="AC15" s="33"/>
    </row>
    <row r="16" spans="2:29" x14ac:dyDescent="0.3">
      <c r="B16">
        <v>88</v>
      </c>
      <c r="C16">
        <v>85</v>
      </c>
      <c r="D16">
        <v>86</v>
      </c>
      <c r="Q16" s="31" t="s">
        <v>173</v>
      </c>
      <c r="R16" s="31">
        <v>101.9</v>
      </c>
      <c r="S16" s="31">
        <v>90.9</v>
      </c>
      <c r="T16" s="31">
        <v>113.5</v>
      </c>
      <c r="W16" s="33"/>
      <c r="X16" s="33"/>
      <c r="Y16" s="33"/>
      <c r="Z16" s="33"/>
      <c r="AA16" s="33"/>
      <c r="AB16" s="33"/>
      <c r="AC16" s="33"/>
    </row>
    <row r="17" spans="2:29" x14ac:dyDescent="0.3">
      <c r="B17">
        <v>92</v>
      </c>
      <c r="C17">
        <v>79</v>
      </c>
      <c r="D17">
        <v>91</v>
      </c>
      <c r="Q17" s="31" t="s">
        <v>174</v>
      </c>
      <c r="R17" s="31">
        <v>102.7</v>
      </c>
      <c r="S17" s="31">
        <v>96.2</v>
      </c>
      <c r="T17" s="31">
        <v>99</v>
      </c>
      <c r="W17" s="34" t="s">
        <v>178</v>
      </c>
      <c r="X17" s="33"/>
      <c r="Y17" s="33"/>
      <c r="Z17" s="33"/>
      <c r="AA17" s="33"/>
      <c r="AB17" s="33"/>
      <c r="AC17" s="33"/>
    </row>
    <row r="18" spans="2:29" x14ac:dyDescent="0.3">
      <c r="B18">
        <v>85</v>
      </c>
      <c r="C18">
        <v>83</v>
      </c>
      <c r="D18">
        <v>87</v>
      </c>
      <c r="Q18" s="31" t="s">
        <v>175</v>
      </c>
      <c r="R18" s="31">
        <v>93.3</v>
      </c>
      <c r="S18" s="31">
        <v>93.3</v>
      </c>
      <c r="T18" s="31">
        <v>101.2</v>
      </c>
      <c r="W18" s="33" t="s">
        <v>208</v>
      </c>
      <c r="X18" s="33"/>
      <c r="Y18" s="33"/>
      <c r="Z18" s="33"/>
      <c r="AA18" s="33"/>
      <c r="AB18" s="33"/>
      <c r="AC18" s="33"/>
    </row>
    <row r="19" spans="2:29" x14ac:dyDescent="0.3">
      <c r="B19">
        <v>80</v>
      </c>
      <c r="C19">
        <v>81</v>
      </c>
      <c r="D19">
        <v>89</v>
      </c>
      <c r="W19" s="33" t="s">
        <v>179</v>
      </c>
      <c r="X19" s="33"/>
      <c r="Y19" s="33"/>
      <c r="Z19" s="33"/>
      <c r="AA19" s="33"/>
      <c r="AB19" s="33"/>
      <c r="AC19" s="33"/>
    </row>
    <row r="20" spans="2:29" x14ac:dyDescent="0.3">
      <c r="B20">
        <v>87</v>
      </c>
      <c r="C20">
        <v>76</v>
      </c>
      <c r="D20">
        <v>85</v>
      </c>
      <c r="W20" s="33"/>
      <c r="X20" s="33"/>
      <c r="Y20" s="33"/>
      <c r="Z20" s="33"/>
      <c r="AA20" s="33"/>
      <c r="AB20" s="33"/>
      <c r="AC20" s="33"/>
    </row>
    <row r="21" spans="2:29" x14ac:dyDescent="0.3">
      <c r="B21">
        <v>89</v>
      </c>
      <c r="C21">
        <v>84</v>
      </c>
      <c r="D21">
        <v>93</v>
      </c>
      <c r="W21" s="33"/>
      <c r="X21" s="33"/>
      <c r="Y21" s="33"/>
      <c r="Z21" s="33"/>
      <c r="AA21" s="33"/>
      <c r="AB21" s="33"/>
      <c r="AC21" s="33"/>
    </row>
    <row r="22" spans="2:29" x14ac:dyDescent="0.3">
      <c r="B22">
        <v>84</v>
      </c>
      <c r="C22">
        <v>77</v>
      </c>
      <c r="D22">
        <v>88</v>
      </c>
      <c r="W22" s="32" t="s">
        <v>180</v>
      </c>
      <c r="X22" s="33"/>
      <c r="Y22" s="33"/>
      <c r="Z22" s="33"/>
      <c r="AA22" s="33"/>
      <c r="AB22" s="33"/>
      <c r="AC22" s="33"/>
    </row>
    <row r="23" spans="2:29" x14ac:dyDescent="0.3">
      <c r="B23">
        <v>86</v>
      </c>
      <c r="C23">
        <v>82</v>
      </c>
      <c r="D23">
        <v>90</v>
      </c>
      <c r="W23" t="s">
        <v>181</v>
      </c>
    </row>
    <row r="24" spans="2:29" ht="15" thickBot="1" x14ac:dyDescent="0.35">
      <c r="B24">
        <v>79</v>
      </c>
      <c r="C24">
        <v>81</v>
      </c>
      <c r="D24">
        <v>92</v>
      </c>
    </row>
    <row r="25" spans="2:29" x14ac:dyDescent="0.3">
      <c r="B25">
        <v>91</v>
      </c>
      <c r="C25">
        <v>80</v>
      </c>
      <c r="D25">
        <v>86</v>
      </c>
      <c r="W25" s="4" t="s">
        <v>182</v>
      </c>
      <c r="X25" s="4" t="s">
        <v>65</v>
      </c>
      <c r="Y25" s="4" t="s">
        <v>64</v>
      </c>
      <c r="Z25" s="4" t="s">
        <v>183</v>
      </c>
      <c r="AA25" s="4" t="s">
        <v>86</v>
      </c>
    </row>
    <row r="26" spans="2:29" x14ac:dyDescent="0.3">
      <c r="B26">
        <v>88</v>
      </c>
      <c r="C26">
        <v>78</v>
      </c>
      <c r="D26">
        <v>89</v>
      </c>
      <c r="G26" t="s">
        <v>215</v>
      </c>
      <c r="I26">
        <f>_xlfn.VAR.S(B12:B41)</f>
        <v>13.788505747126438</v>
      </c>
      <c r="W26" t="s">
        <v>169</v>
      </c>
      <c r="X26">
        <v>3</v>
      </c>
      <c r="Y26">
        <v>343.7</v>
      </c>
      <c r="Z26">
        <v>114.56666666666666</v>
      </c>
      <c r="AA26">
        <v>126.4133333333333</v>
      </c>
    </row>
    <row r="27" spans="2:29" x14ac:dyDescent="0.3">
      <c r="B27">
        <v>82</v>
      </c>
      <c r="C27">
        <v>83</v>
      </c>
      <c r="D27">
        <v>87</v>
      </c>
      <c r="G27" t="s">
        <v>216</v>
      </c>
      <c r="I27">
        <f>_xlfn.VAR.S(C12:C41)</f>
        <v>7.1264367816091996</v>
      </c>
      <c r="W27" t="s">
        <v>170</v>
      </c>
      <c r="X27">
        <v>3</v>
      </c>
      <c r="Y27">
        <v>298.39999999999998</v>
      </c>
      <c r="Z27">
        <v>99.466666666666654</v>
      </c>
      <c r="AA27">
        <v>6.9033333333333387</v>
      </c>
    </row>
    <row r="28" spans="2:29" x14ac:dyDescent="0.3">
      <c r="B28">
        <v>85</v>
      </c>
      <c r="C28">
        <v>79</v>
      </c>
      <c r="D28">
        <v>91</v>
      </c>
      <c r="G28" t="s">
        <v>217</v>
      </c>
      <c r="I28">
        <f>_xlfn.VAR.S(D12:D41)</f>
        <v>6.1436781609195377</v>
      </c>
      <c r="W28" t="s">
        <v>171</v>
      </c>
      <c r="X28">
        <v>3</v>
      </c>
      <c r="Y28">
        <v>332.7</v>
      </c>
      <c r="Z28">
        <v>110.89999999999999</v>
      </c>
      <c r="AA28">
        <v>0.52000000000000335</v>
      </c>
    </row>
    <row r="29" spans="2:29" x14ac:dyDescent="0.3">
      <c r="B29">
        <v>84</v>
      </c>
      <c r="C29">
        <v>82</v>
      </c>
      <c r="D29">
        <v>90</v>
      </c>
      <c r="W29" t="s">
        <v>172</v>
      </c>
      <c r="X29">
        <v>3</v>
      </c>
      <c r="Y29">
        <v>323.3</v>
      </c>
      <c r="Z29">
        <v>107.76666666666667</v>
      </c>
      <c r="AA29">
        <v>239.84333333333052</v>
      </c>
    </row>
    <row r="30" spans="2:29" x14ac:dyDescent="0.3">
      <c r="B30">
        <v>87</v>
      </c>
      <c r="C30">
        <v>80</v>
      </c>
      <c r="D30">
        <v>89</v>
      </c>
      <c r="W30" t="s">
        <v>173</v>
      </c>
      <c r="X30">
        <v>3</v>
      </c>
      <c r="Y30">
        <v>306.3</v>
      </c>
      <c r="Z30">
        <v>102.10000000000001</v>
      </c>
      <c r="AA30">
        <v>127.71999999999994</v>
      </c>
    </row>
    <row r="31" spans="2:29" x14ac:dyDescent="0.3">
      <c r="B31">
        <v>90</v>
      </c>
      <c r="C31">
        <v>76</v>
      </c>
      <c r="D31">
        <v>85</v>
      </c>
      <c r="G31" t="s">
        <v>218</v>
      </c>
      <c r="W31" t="s">
        <v>174</v>
      </c>
      <c r="X31">
        <v>3</v>
      </c>
      <c r="Y31">
        <v>297.89999999999998</v>
      </c>
      <c r="Z31">
        <v>99.3</v>
      </c>
      <c r="AA31">
        <v>10.63</v>
      </c>
    </row>
    <row r="32" spans="2:29" x14ac:dyDescent="0.3">
      <c r="B32">
        <v>83</v>
      </c>
      <c r="C32">
        <v>81</v>
      </c>
      <c r="D32">
        <v>88</v>
      </c>
      <c r="G32" t="s">
        <v>219</v>
      </c>
      <c r="W32" t="s">
        <v>175</v>
      </c>
      <c r="X32">
        <v>3</v>
      </c>
      <c r="Y32">
        <v>287.8</v>
      </c>
      <c r="Z32">
        <v>95.933333333333337</v>
      </c>
      <c r="AA32">
        <v>20.803333333333363</v>
      </c>
    </row>
    <row r="33" spans="2:29" x14ac:dyDescent="0.3">
      <c r="B33">
        <v>89</v>
      </c>
      <c r="C33">
        <v>84</v>
      </c>
      <c r="D33">
        <v>92</v>
      </c>
    </row>
    <row r="34" spans="2:29" x14ac:dyDescent="0.3">
      <c r="B34">
        <v>86</v>
      </c>
      <c r="C34">
        <v>77</v>
      </c>
      <c r="D34">
        <v>87</v>
      </c>
      <c r="W34" t="s">
        <v>166</v>
      </c>
      <c r="X34">
        <v>7</v>
      </c>
      <c r="Y34">
        <v>723.69999999999993</v>
      </c>
      <c r="Z34">
        <v>103.38571428571427</v>
      </c>
      <c r="AA34">
        <v>80.234761904761911</v>
      </c>
    </row>
    <row r="35" spans="2:29" x14ac:dyDescent="0.3">
      <c r="B35">
        <v>92</v>
      </c>
      <c r="C35">
        <v>79</v>
      </c>
      <c r="D35">
        <v>91</v>
      </c>
      <c r="G35" s="8" t="s">
        <v>52</v>
      </c>
      <c r="W35" t="s">
        <v>167</v>
      </c>
      <c r="X35">
        <v>7</v>
      </c>
      <c r="Y35">
        <v>696.8</v>
      </c>
      <c r="Z35">
        <v>99.54285714285713</v>
      </c>
      <c r="AA35">
        <v>44.42619047619047</v>
      </c>
    </row>
    <row r="36" spans="2:29" ht="15" thickBot="1" x14ac:dyDescent="0.35">
      <c r="B36">
        <v>88</v>
      </c>
      <c r="C36">
        <v>82</v>
      </c>
      <c r="D36">
        <v>90</v>
      </c>
      <c r="G36" t="s">
        <v>220</v>
      </c>
      <c r="W36" s="3" t="s">
        <v>168</v>
      </c>
      <c r="X36" s="3">
        <v>7</v>
      </c>
      <c r="Y36" s="3">
        <v>769.6</v>
      </c>
      <c r="Z36" s="3">
        <v>109.94285714285715</v>
      </c>
      <c r="AA36" s="3">
        <v>130.5161904761905</v>
      </c>
    </row>
    <row r="37" spans="2:29" x14ac:dyDescent="0.3">
      <c r="B37">
        <v>84</v>
      </c>
      <c r="C37">
        <v>81</v>
      </c>
      <c r="D37">
        <v>89</v>
      </c>
      <c r="G37" t="s">
        <v>221</v>
      </c>
    </row>
    <row r="38" spans="2:29" x14ac:dyDescent="0.3">
      <c r="B38">
        <v>91</v>
      </c>
      <c r="C38">
        <v>80</v>
      </c>
      <c r="D38">
        <v>85</v>
      </c>
    </row>
    <row r="39" spans="2:29" ht="15" thickBot="1" x14ac:dyDescent="0.35">
      <c r="B39">
        <v>87</v>
      </c>
      <c r="C39">
        <v>83</v>
      </c>
      <c r="D39">
        <v>88</v>
      </c>
      <c r="G39" s="8" t="s">
        <v>222</v>
      </c>
      <c r="H39" s="6">
        <v>0.05</v>
      </c>
      <c r="W39" t="s">
        <v>184</v>
      </c>
    </row>
    <row r="40" spans="2:29" x14ac:dyDescent="0.3">
      <c r="B40">
        <v>90</v>
      </c>
      <c r="C40">
        <v>78</v>
      </c>
      <c r="D40">
        <v>92</v>
      </c>
      <c r="W40" s="4" t="s">
        <v>185</v>
      </c>
      <c r="X40" s="4" t="s">
        <v>186</v>
      </c>
      <c r="Y40" s="4" t="s">
        <v>88</v>
      </c>
      <c r="Z40" s="4" t="s">
        <v>187</v>
      </c>
      <c r="AA40" s="4" t="s">
        <v>89</v>
      </c>
      <c r="AB40" s="4" t="s">
        <v>188</v>
      </c>
      <c r="AC40" s="4" t="s">
        <v>189</v>
      </c>
    </row>
    <row r="41" spans="2:29" x14ac:dyDescent="0.3">
      <c r="B41">
        <v>85</v>
      </c>
      <c r="C41">
        <v>84</v>
      </c>
      <c r="D41">
        <v>91</v>
      </c>
      <c r="W41" t="s">
        <v>190</v>
      </c>
      <c r="X41">
        <v>852.55142857142823</v>
      </c>
      <c r="Y41">
        <v>6</v>
      </c>
      <c r="Z41">
        <v>142.09190476190471</v>
      </c>
      <c r="AA41">
        <v>2.5130053604739757</v>
      </c>
      <c r="AB41">
        <v>8.2207496270716635E-2</v>
      </c>
      <c r="AC41">
        <v>2.996120377517109</v>
      </c>
    </row>
    <row r="42" spans="2:29" x14ac:dyDescent="0.3">
      <c r="G42" s="8" t="s">
        <v>223</v>
      </c>
      <c r="W42" t="s">
        <v>191</v>
      </c>
      <c r="X42">
        <v>387.15523809523779</v>
      </c>
      <c r="Y42">
        <v>2</v>
      </c>
      <c r="Z42">
        <v>193.5776190476189</v>
      </c>
      <c r="AA42">
        <v>3.4235700840916401</v>
      </c>
      <c r="AB42">
        <v>6.6621547063235129E-2</v>
      </c>
      <c r="AC42">
        <v>3.8852938346523942</v>
      </c>
    </row>
    <row r="43" spans="2:29" x14ac:dyDescent="0.3">
      <c r="W43" t="s">
        <v>192</v>
      </c>
      <c r="X43">
        <v>678.51142857142918</v>
      </c>
      <c r="Y43">
        <v>12</v>
      </c>
      <c r="Z43">
        <v>56.542619047619098</v>
      </c>
    </row>
    <row r="44" spans="2:29" x14ac:dyDescent="0.3">
      <c r="G44" t="s">
        <v>224</v>
      </c>
    </row>
    <row r="45" spans="2:29" ht="15" thickBot="1" x14ac:dyDescent="0.35">
      <c r="W45" s="3" t="s">
        <v>149</v>
      </c>
      <c r="X45" s="3">
        <v>1918.2180952380952</v>
      </c>
      <c r="Y45" s="3">
        <v>20</v>
      </c>
      <c r="Z45" s="3"/>
      <c r="AA45" s="3"/>
      <c r="AB45" s="3"/>
      <c r="AC45" s="3"/>
    </row>
    <row r="46" spans="2:29" ht="15" thickBot="1" x14ac:dyDescent="0.35">
      <c r="G46" t="s">
        <v>182</v>
      </c>
      <c r="W46" s="33"/>
      <c r="X46" s="33"/>
      <c r="Y46" s="33"/>
      <c r="Z46" s="33"/>
      <c r="AA46" s="33"/>
      <c r="AB46" s="33"/>
      <c r="AC46" s="33"/>
    </row>
    <row r="47" spans="2:29" x14ac:dyDescent="0.3">
      <c r="G47" s="4" t="s">
        <v>225</v>
      </c>
      <c r="H47" s="4" t="s">
        <v>65</v>
      </c>
      <c r="I47" s="4" t="s">
        <v>64</v>
      </c>
      <c r="J47" s="4" t="s">
        <v>183</v>
      </c>
      <c r="K47" s="4" t="s">
        <v>86</v>
      </c>
      <c r="W47" s="33"/>
      <c r="X47" s="33"/>
      <c r="Y47" s="33"/>
      <c r="Z47" s="33"/>
      <c r="AA47" s="33"/>
      <c r="AB47" s="33"/>
      <c r="AC47" s="33"/>
    </row>
    <row r="48" spans="2:29" x14ac:dyDescent="0.3">
      <c r="G48" t="s">
        <v>211</v>
      </c>
      <c r="H48">
        <v>30</v>
      </c>
      <c r="I48">
        <v>2588</v>
      </c>
      <c r="J48">
        <v>86.266666666666666</v>
      </c>
      <c r="K48">
        <v>13.788505747126438</v>
      </c>
      <c r="W48" s="32" t="s">
        <v>193</v>
      </c>
      <c r="X48" s="33"/>
      <c r="Y48" s="33"/>
      <c r="Z48" s="33"/>
      <c r="AA48" s="33"/>
      <c r="AB48" s="33"/>
      <c r="AC48" s="33"/>
    </row>
    <row r="49" spans="7:29" x14ac:dyDescent="0.3">
      <c r="G49" t="s">
        <v>212</v>
      </c>
      <c r="H49">
        <v>30</v>
      </c>
      <c r="I49">
        <v>2410</v>
      </c>
      <c r="J49">
        <v>80.333333333333329</v>
      </c>
      <c r="K49">
        <v>7.1264367816091996</v>
      </c>
      <c r="W49" s="32" t="s">
        <v>194</v>
      </c>
      <c r="X49" s="33"/>
      <c r="Y49" s="33"/>
      <c r="Z49" s="33"/>
      <c r="AA49" s="33"/>
      <c r="AB49" s="33"/>
      <c r="AC49" s="33"/>
    </row>
    <row r="50" spans="7:29" ht="15" thickBot="1" x14ac:dyDescent="0.35">
      <c r="G50" s="3" t="s">
        <v>213</v>
      </c>
      <c r="H50" s="3">
        <v>30</v>
      </c>
      <c r="I50" s="3">
        <v>2665</v>
      </c>
      <c r="J50" s="3">
        <v>88.833333333333329</v>
      </c>
      <c r="K50" s="3">
        <v>6.1436781609195377</v>
      </c>
      <c r="W50" s="33" t="s">
        <v>195</v>
      </c>
      <c r="X50" s="33"/>
      <c r="Y50" s="33"/>
      <c r="Z50" s="33"/>
      <c r="AA50" s="33"/>
      <c r="AB50" s="33"/>
      <c r="AC50" s="33"/>
    </row>
    <row r="51" spans="7:29" x14ac:dyDescent="0.3">
      <c r="W51" s="33" t="s">
        <v>196</v>
      </c>
      <c r="X51" s="33"/>
      <c r="Y51" s="33"/>
      <c r="Z51" s="33"/>
      <c r="AA51" s="33"/>
      <c r="AB51" s="33"/>
      <c r="AC51" s="33"/>
    </row>
    <row r="52" spans="7:29" x14ac:dyDescent="0.3">
      <c r="W52" s="33"/>
      <c r="X52" s="33"/>
      <c r="Y52" s="33"/>
      <c r="Z52" s="33"/>
      <c r="AA52" s="33"/>
      <c r="AB52" s="33"/>
      <c r="AC52" s="33"/>
    </row>
    <row r="53" spans="7:29" ht="15" thickBot="1" x14ac:dyDescent="0.35">
      <c r="G53" t="s">
        <v>184</v>
      </c>
      <c r="W53" s="33"/>
      <c r="X53" s="33"/>
      <c r="Y53" s="33"/>
      <c r="Z53" s="33"/>
      <c r="AA53" s="33"/>
      <c r="AB53" s="33"/>
      <c r="AC53" s="33"/>
    </row>
    <row r="54" spans="7:29" x14ac:dyDescent="0.3">
      <c r="G54" s="4" t="s">
        <v>185</v>
      </c>
      <c r="H54" s="4" t="s">
        <v>186</v>
      </c>
      <c r="I54" s="4" t="s">
        <v>88</v>
      </c>
      <c r="J54" s="4" t="s">
        <v>187</v>
      </c>
      <c r="K54" s="4" t="s">
        <v>89</v>
      </c>
      <c r="L54" s="4" t="s">
        <v>188</v>
      </c>
      <c r="M54" s="4" t="s">
        <v>189</v>
      </c>
      <c r="W54" s="33"/>
      <c r="X54" s="33"/>
      <c r="Y54" s="33"/>
      <c r="Z54" s="33"/>
      <c r="AA54" s="33"/>
      <c r="AB54" s="33"/>
      <c r="AC54" s="33"/>
    </row>
    <row r="55" spans="7:29" x14ac:dyDescent="0.3">
      <c r="G55" t="s">
        <v>226</v>
      </c>
      <c r="H55">
        <v>1140.4222222222229</v>
      </c>
      <c r="I55">
        <v>2</v>
      </c>
      <c r="J55">
        <v>570.21111111111145</v>
      </c>
      <c r="K55">
        <v>63.21953188054885</v>
      </c>
      <c r="L55" s="12">
        <v>1.1108937524373345E-17</v>
      </c>
      <c r="M55">
        <v>3.1012957566671893</v>
      </c>
      <c r="W55" s="32" t="s">
        <v>197</v>
      </c>
      <c r="X55" s="33"/>
      <c r="Y55" s="33"/>
      <c r="Z55" s="33"/>
      <c r="AA55" s="33"/>
      <c r="AB55" s="33"/>
      <c r="AC55" s="33"/>
    </row>
    <row r="56" spans="7:29" x14ac:dyDescent="0.3">
      <c r="G56" t="s">
        <v>227</v>
      </c>
      <c r="H56">
        <v>784.70000000000016</v>
      </c>
      <c r="I56">
        <v>87</v>
      </c>
      <c r="J56">
        <v>9.0195402298850595</v>
      </c>
      <c r="W56" s="33"/>
      <c r="X56" s="33"/>
      <c r="Y56" s="33"/>
      <c r="Z56" s="33"/>
      <c r="AA56" s="33"/>
      <c r="AB56" s="33"/>
      <c r="AC56" s="33"/>
    </row>
    <row r="57" spans="7:29" x14ac:dyDescent="0.3">
      <c r="W57" s="33"/>
      <c r="X57" s="33"/>
      <c r="Y57" s="33"/>
      <c r="Z57" s="33"/>
      <c r="AA57" s="33"/>
      <c r="AB57" s="33"/>
      <c r="AC57" s="33"/>
    </row>
    <row r="58" spans="7:29" ht="15" thickBot="1" x14ac:dyDescent="0.35">
      <c r="G58" s="3" t="s">
        <v>149</v>
      </c>
      <c r="H58" s="3">
        <v>1925.1222222222232</v>
      </c>
      <c r="I58" s="3">
        <v>89</v>
      </c>
      <c r="J58" s="3"/>
      <c r="K58" s="3"/>
      <c r="L58" s="3"/>
      <c r="M58" s="3"/>
      <c r="W58" s="33"/>
      <c r="X58" s="33"/>
      <c r="Y58" s="33"/>
      <c r="Z58" s="33"/>
      <c r="AA58" s="33"/>
      <c r="AB58" s="33"/>
      <c r="AC58" s="33"/>
    </row>
    <row r="59" spans="7:29" x14ac:dyDescent="0.3">
      <c r="W59" s="33"/>
      <c r="X59" s="33"/>
      <c r="Y59" s="33"/>
      <c r="Z59" s="33"/>
      <c r="AA59" s="33"/>
      <c r="AB59" s="33"/>
      <c r="AC59" s="33"/>
    </row>
    <row r="60" spans="7:29" x14ac:dyDescent="0.3">
      <c r="G60" s="7" t="s">
        <v>228</v>
      </c>
      <c r="W60" s="33"/>
      <c r="X60" s="33"/>
      <c r="Y60" s="33"/>
      <c r="Z60" s="33"/>
      <c r="AA60" s="33"/>
      <c r="AB60" s="33"/>
      <c r="AC60" s="33"/>
    </row>
    <row r="61" spans="7:29" x14ac:dyDescent="0.3">
      <c r="W61" s="33"/>
      <c r="X61" s="33"/>
      <c r="Y61" s="33"/>
      <c r="Z61" s="33"/>
      <c r="AA61" s="33"/>
      <c r="AB61" s="33"/>
      <c r="AC61" s="33"/>
    </row>
    <row r="62" spans="7:29" x14ac:dyDescent="0.3">
      <c r="W62" s="35" t="s">
        <v>198</v>
      </c>
      <c r="X62" s="33"/>
      <c r="Y62" s="33"/>
      <c r="Z62" s="33"/>
      <c r="AA62" s="33"/>
      <c r="AB62" s="33"/>
      <c r="AC62" s="33"/>
    </row>
    <row r="63" spans="7:29" x14ac:dyDescent="0.3">
      <c r="G63" s="8" t="s">
        <v>231</v>
      </c>
      <c r="W63" s="33" t="s">
        <v>199</v>
      </c>
      <c r="X63" s="33">
        <f>Z34-Z35</f>
        <v>3.8428571428571416</v>
      </c>
      <c r="Y63" s="33"/>
      <c r="Z63" s="33"/>
      <c r="AA63" s="33"/>
      <c r="AB63" s="33"/>
      <c r="AC63" s="33"/>
    </row>
    <row r="64" spans="7:29" x14ac:dyDescent="0.3">
      <c r="G64" t="s">
        <v>229</v>
      </c>
      <c r="W64" s="33" t="s">
        <v>200</v>
      </c>
      <c r="X64" s="33">
        <f>_xlfn.T.INV.2T(5%, Y43)</f>
        <v>2.1788128296672284</v>
      </c>
      <c r="Y64" s="33"/>
      <c r="Z64" s="33"/>
      <c r="AA64" s="33"/>
      <c r="AB64" s="33"/>
      <c r="AC64" s="33"/>
    </row>
    <row r="65" spans="4:29" x14ac:dyDescent="0.3">
      <c r="G65" s="76" t="s">
        <v>230</v>
      </c>
      <c r="H65" s="76"/>
      <c r="I65" s="76"/>
      <c r="J65" s="76"/>
      <c r="K65" s="76"/>
      <c r="W65" s="33" t="s">
        <v>157</v>
      </c>
      <c r="X65" s="33">
        <f>SQRT(Z43*(1/X34+1/X35))</f>
        <v>4.0193325333449899</v>
      </c>
      <c r="Y65" s="33"/>
      <c r="Z65" s="33"/>
      <c r="AA65" s="33"/>
      <c r="AB65" s="33"/>
      <c r="AC65" s="33"/>
    </row>
    <row r="66" spans="4:29" x14ac:dyDescent="0.3">
      <c r="G66" s="76"/>
      <c r="H66" s="76"/>
      <c r="I66" s="76"/>
      <c r="J66" s="76"/>
      <c r="K66" s="76"/>
      <c r="W66" s="33" t="s">
        <v>201</v>
      </c>
      <c r="X66" s="33">
        <f>X64*X65</f>
        <v>8.757373290350948</v>
      </c>
      <c r="Y66" s="33"/>
      <c r="Z66" s="33"/>
      <c r="AA66" s="33"/>
      <c r="AB66" s="33"/>
      <c r="AC66" s="33"/>
    </row>
    <row r="67" spans="4:29" x14ac:dyDescent="0.3">
      <c r="G67" s="76"/>
      <c r="H67" s="76"/>
      <c r="I67" s="76"/>
      <c r="J67" s="76"/>
      <c r="K67" s="76"/>
      <c r="W67" s="33"/>
      <c r="X67" s="33"/>
      <c r="Y67" s="33"/>
      <c r="Z67" s="33"/>
      <c r="AA67" s="33"/>
      <c r="AB67" s="33"/>
      <c r="AC67" s="33"/>
    </row>
    <row r="68" spans="4:29" x14ac:dyDescent="0.3">
      <c r="W68" s="33" t="s">
        <v>202</v>
      </c>
      <c r="X68" s="33">
        <f>X63-X66</f>
        <v>-4.9145161474938064</v>
      </c>
      <c r="Y68" s="33"/>
      <c r="Z68" s="33"/>
      <c r="AA68" s="33"/>
      <c r="AB68" s="33"/>
      <c r="AC68" s="33"/>
    </row>
    <row r="69" spans="4:29" x14ac:dyDescent="0.3">
      <c r="W69" s="33" t="s">
        <v>203</v>
      </c>
      <c r="X69" s="33">
        <f>X63+X66</f>
        <v>12.60023043320809</v>
      </c>
      <c r="Y69" s="33"/>
      <c r="Z69" s="33"/>
      <c r="AA69" s="33"/>
      <c r="AB69" s="33"/>
      <c r="AC69" s="33"/>
    </row>
    <row r="70" spans="4:29" x14ac:dyDescent="0.3">
      <c r="G70" s="8" t="s">
        <v>232</v>
      </c>
      <c r="W70" s="33" t="s">
        <v>204</v>
      </c>
      <c r="X70" s="33"/>
      <c r="Y70" s="33"/>
      <c r="Z70" s="33"/>
      <c r="AA70" s="33"/>
      <c r="AB70" s="33"/>
      <c r="AC70" s="33"/>
    </row>
    <row r="71" spans="4:29" x14ac:dyDescent="0.3">
      <c r="D71" s="74" t="s">
        <v>233</v>
      </c>
      <c r="E71" s="74" t="s">
        <v>129</v>
      </c>
      <c r="F71" s="74" t="s">
        <v>237</v>
      </c>
      <c r="G71" s="74" t="s">
        <v>157</v>
      </c>
      <c r="H71" s="74" t="s">
        <v>238</v>
      </c>
      <c r="I71" s="74" t="s">
        <v>239</v>
      </c>
      <c r="J71" s="74" t="s">
        <v>240</v>
      </c>
      <c r="W71" s="33"/>
      <c r="X71" s="33"/>
      <c r="Y71" s="33"/>
      <c r="Z71" s="33"/>
      <c r="AA71" s="33"/>
      <c r="AB71" s="33"/>
      <c r="AC71" s="33"/>
    </row>
    <row r="72" spans="4:29" x14ac:dyDescent="0.3">
      <c r="D72" s="74" t="s">
        <v>234</v>
      </c>
      <c r="E72" s="74">
        <f>J48-J49</f>
        <v>5.9333333333333371</v>
      </c>
      <c r="F72" s="74">
        <f>_xlfn.T.INV.2T(5%, 87)</f>
        <v>1.9876082815890745</v>
      </c>
      <c r="G72" s="74">
        <f>SQRT(J56*(1/H48+1/H49))</f>
        <v>0.77543709093151925</v>
      </c>
      <c r="H72" s="74">
        <f>F72*G72</f>
        <v>1.5412651837868279</v>
      </c>
      <c r="I72" s="74">
        <f>E72-H72</f>
        <v>4.3920681495465095</v>
      </c>
      <c r="J72" s="74">
        <f>E72+H72</f>
        <v>7.4745985171201648</v>
      </c>
      <c r="W72" s="33"/>
      <c r="X72" s="33"/>
      <c r="Y72" s="33"/>
      <c r="Z72" s="33"/>
      <c r="AA72" s="33"/>
      <c r="AB72" s="33"/>
      <c r="AC72" s="33"/>
    </row>
    <row r="73" spans="4:29" x14ac:dyDescent="0.3">
      <c r="D73" s="74" t="s">
        <v>235</v>
      </c>
      <c r="E73" s="74">
        <f>J48-J50</f>
        <v>-2.5666666666666629</v>
      </c>
      <c r="F73" s="74">
        <f t="shared" ref="F73:F74" si="0">_xlfn.T.INV.2T(5%, 87)</f>
        <v>1.9876082815890745</v>
      </c>
      <c r="G73" s="74">
        <f>SQRT(J56*(1/H48+1/H50))</f>
        <v>0.77543709093151925</v>
      </c>
      <c r="H73" s="74">
        <f t="shared" ref="H73:H74" si="1">F73*G73</f>
        <v>1.5412651837868279</v>
      </c>
      <c r="I73" s="74">
        <f t="shared" ref="I73:I74" si="2">E73-H73</f>
        <v>-4.1079318504534905</v>
      </c>
      <c r="J73" s="74">
        <f t="shared" ref="J73:J74" si="3">E73+H73</f>
        <v>-1.025401482879835</v>
      </c>
      <c r="W73" s="33"/>
      <c r="X73" s="33"/>
      <c r="Y73" s="33"/>
      <c r="Z73" s="33"/>
      <c r="AA73" s="33"/>
      <c r="AB73" s="33"/>
      <c r="AC73" s="33"/>
    </row>
    <row r="74" spans="4:29" x14ac:dyDescent="0.3">
      <c r="D74" s="74" t="s">
        <v>236</v>
      </c>
      <c r="E74" s="74">
        <f>J49-J50</f>
        <v>-8.5</v>
      </c>
      <c r="F74" s="74">
        <f t="shared" si="0"/>
        <v>1.9876082815890745</v>
      </c>
      <c r="G74" s="74">
        <f>SQRT(J56*(1/H49+1/H50))</f>
        <v>0.77543709093151925</v>
      </c>
      <c r="H74" s="74">
        <f t="shared" si="1"/>
        <v>1.5412651837868279</v>
      </c>
      <c r="I74" s="74">
        <f t="shared" si="2"/>
        <v>-10.041265183786829</v>
      </c>
      <c r="J74" s="74">
        <f t="shared" si="3"/>
        <v>-6.9587348162131724</v>
      </c>
      <c r="W74" s="35" t="s">
        <v>205</v>
      </c>
      <c r="X74" s="33"/>
      <c r="Y74" s="33"/>
      <c r="Z74" s="33"/>
      <c r="AA74" s="33"/>
      <c r="AB74" s="33"/>
      <c r="AC74" s="33"/>
    </row>
    <row r="75" spans="4:29" x14ac:dyDescent="0.3">
      <c r="W75" s="33" t="s">
        <v>199</v>
      </c>
      <c r="X75" s="33">
        <f>Z30-Z32</f>
        <v>6.1666666666666714</v>
      </c>
      <c r="Y75" s="33"/>
      <c r="Z75" s="33"/>
      <c r="AA75" s="33"/>
      <c r="AB75" s="33"/>
      <c r="AC75" s="33"/>
    </row>
    <row r="76" spans="4:29" x14ac:dyDescent="0.3">
      <c r="W76" s="33" t="s">
        <v>200</v>
      </c>
      <c r="X76" s="33">
        <f>X64</f>
        <v>2.1788128296672284</v>
      </c>
      <c r="Y76" s="33"/>
      <c r="Z76" s="33"/>
      <c r="AA76" s="33"/>
      <c r="AB76" s="33"/>
      <c r="AC76" s="33"/>
    </row>
    <row r="77" spans="4:29" x14ac:dyDescent="0.3">
      <c r="G77" t="s">
        <v>327</v>
      </c>
      <c r="W77" s="33" t="s">
        <v>157</v>
      </c>
      <c r="X77" s="33">
        <f>SQRT(Z43*(1/X30+1/X30))</f>
        <v>6.1396318590840115</v>
      </c>
      <c r="Y77" s="33"/>
      <c r="Z77" s="33"/>
      <c r="AA77" s="33"/>
      <c r="AB77" s="33"/>
      <c r="AC77" s="33"/>
    </row>
    <row r="78" spans="4:29" x14ac:dyDescent="0.3">
      <c r="G78" t="s">
        <v>241</v>
      </c>
      <c r="W78" s="33" t="s">
        <v>201</v>
      </c>
      <c r="X78" s="33">
        <f>X76*X77</f>
        <v>13.377108664005901</v>
      </c>
      <c r="Y78" s="33"/>
      <c r="Z78" s="33"/>
      <c r="AA78" s="33"/>
      <c r="AB78" s="33"/>
      <c r="AC78" s="33"/>
    </row>
    <row r="79" spans="4:29" x14ac:dyDescent="0.3">
      <c r="W79" s="33"/>
      <c r="X79" s="33"/>
      <c r="Y79" s="33"/>
      <c r="Z79" s="33"/>
      <c r="AA79" s="33"/>
      <c r="AB79" s="33"/>
      <c r="AC79" s="33"/>
    </row>
    <row r="80" spans="4:29" x14ac:dyDescent="0.3">
      <c r="W80" s="33" t="s">
        <v>202</v>
      </c>
      <c r="X80" s="33">
        <f>X75-X78</f>
        <v>-7.2104419973392293</v>
      </c>
      <c r="Y80" s="33"/>
      <c r="Z80" s="33"/>
      <c r="AA80" s="33"/>
      <c r="AB80" s="33"/>
      <c r="AC80" s="33"/>
    </row>
    <row r="81" spans="23:29" x14ac:dyDescent="0.3">
      <c r="W81" s="33" t="s">
        <v>203</v>
      </c>
      <c r="X81" s="33">
        <f>X75+X78</f>
        <v>19.543775330672574</v>
      </c>
      <c r="Y81" s="33"/>
      <c r="Z81" s="33"/>
      <c r="AA81" s="33"/>
      <c r="AB81" s="33"/>
      <c r="AC81" s="33"/>
    </row>
    <row r="82" spans="23:29" x14ac:dyDescent="0.3">
      <c r="W82" s="33" t="s">
        <v>206</v>
      </c>
      <c r="X82" s="33"/>
      <c r="Y82" s="33"/>
      <c r="Z82" s="33"/>
      <c r="AA82" s="33"/>
      <c r="AB82" s="33"/>
      <c r="AC82" s="33"/>
    </row>
  </sheetData>
  <mergeCells count="2">
    <mergeCell ref="R10:T10"/>
    <mergeCell ref="G65:K67"/>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D86C-C1EB-4376-845B-F8D0CEE58468}">
  <dimension ref="B2:AB52"/>
  <sheetViews>
    <sheetView showGridLines="0" workbookViewId="0">
      <selection activeCell="G45" sqref="G45"/>
    </sheetView>
  </sheetViews>
  <sheetFormatPr defaultRowHeight="14.4" x14ac:dyDescent="0.3"/>
  <cols>
    <col min="2" max="2" width="11.33203125" bestFit="1" customWidth="1"/>
    <col min="3" max="3" width="20.6640625" bestFit="1" customWidth="1"/>
    <col min="6" max="6" width="31.44140625" bestFit="1" customWidth="1"/>
    <col min="7" max="7" width="11.109375" bestFit="1" customWidth="1"/>
    <col min="13" max="13" width="8.88671875" style="10"/>
    <col min="21" max="21" width="18.88671875" bestFit="1" customWidth="1"/>
    <col min="22" max="22" width="12" bestFit="1" customWidth="1"/>
    <col min="23" max="23" width="13.109375" bestFit="1" customWidth="1"/>
    <col min="24" max="26" width="12" bestFit="1" customWidth="1"/>
  </cols>
  <sheetData>
    <row r="2" spans="2:28" ht="15" thickBot="1" x14ac:dyDescent="0.35">
      <c r="T2" s="79" t="s">
        <v>262</v>
      </c>
      <c r="U2" s="80"/>
      <c r="V2" s="80"/>
      <c r="W2" s="80"/>
      <c r="X2" s="80"/>
      <c r="Y2" s="80"/>
      <c r="Z2" s="80"/>
      <c r="AA2" s="80"/>
      <c r="AB2" s="80"/>
    </row>
    <row r="3" spans="2:28" x14ac:dyDescent="0.3">
      <c r="T3" s="50"/>
      <c r="U3" s="51"/>
      <c r="V3" s="81" t="s">
        <v>263</v>
      </c>
      <c r="W3" s="81"/>
      <c r="X3" s="81"/>
      <c r="Y3" s="81"/>
      <c r="Z3" s="81"/>
      <c r="AA3" s="51"/>
      <c r="AB3" s="52"/>
    </row>
    <row r="4" spans="2:28" x14ac:dyDescent="0.3">
      <c r="T4" s="53"/>
      <c r="V4" s="54" t="s">
        <v>245</v>
      </c>
      <c r="W4" s="54" t="s">
        <v>246</v>
      </c>
      <c r="X4" s="54" t="s">
        <v>247</v>
      </c>
      <c r="Y4" s="54" t="s">
        <v>248</v>
      </c>
      <c r="Z4" s="54" t="s">
        <v>249</v>
      </c>
      <c r="AA4" s="55"/>
      <c r="AB4" s="56" t="s">
        <v>149</v>
      </c>
    </row>
    <row r="5" spans="2:28" x14ac:dyDescent="0.3">
      <c r="T5" s="78" t="s">
        <v>264</v>
      </c>
      <c r="U5" s="54" t="s">
        <v>265</v>
      </c>
      <c r="V5" s="42">
        <v>10</v>
      </c>
      <c r="W5" s="42">
        <v>5</v>
      </c>
      <c r="X5" s="42">
        <v>15</v>
      </c>
      <c r="Y5" s="42">
        <v>10</v>
      </c>
      <c r="Z5" s="42">
        <v>20</v>
      </c>
      <c r="AA5" s="55"/>
      <c r="AB5" s="57">
        <v>60</v>
      </c>
    </row>
    <row r="6" spans="2:28" x14ac:dyDescent="0.3">
      <c r="T6" s="78"/>
      <c r="U6" s="54" t="s">
        <v>266</v>
      </c>
      <c r="V6" s="42">
        <v>15</v>
      </c>
      <c r="W6" s="42">
        <v>25</v>
      </c>
      <c r="X6" s="42">
        <v>10</v>
      </c>
      <c r="Y6" s="42">
        <v>10</v>
      </c>
      <c r="Z6" s="42">
        <v>5</v>
      </c>
      <c r="AA6" s="55"/>
      <c r="AB6" s="57">
        <v>65</v>
      </c>
    </row>
    <row r="7" spans="2:28" x14ac:dyDescent="0.3">
      <c r="T7" s="78"/>
      <c r="U7" s="54" t="s">
        <v>267</v>
      </c>
      <c r="V7" s="42">
        <v>10</v>
      </c>
      <c r="W7" s="42">
        <v>0</v>
      </c>
      <c r="X7" s="42">
        <v>0</v>
      </c>
      <c r="Y7" s="42">
        <v>5</v>
      </c>
      <c r="Z7" s="42">
        <v>0</v>
      </c>
      <c r="AA7" s="55"/>
      <c r="AB7" s="57">
        <v>15</v>
      </c>
    </row>
    <row r="8" spans="2:28" x14ac:dyDescent="0.3">
      <c r="T8" s="78"/>
      <c r="U8" s="54" t="s">
        <v>268</v>
      </c>
      <c r="V8" s="42">
        <v>20</v>
      </c>
      <c r="W8" s="42">
        <v>10</v>
      </c>
      <c r="X8" s="42">
        <v>0</v>
      </c>
      <c r="Y8" s="42">
        <v>5</v>
      </c>
      <c r="Z8" s="42">
        <v>0</v>
      </c>
      <c r="AA8" s="55"/>
      <c r="AB8" s="57">
        <v>35</v>
      </c>
    </row>
    <row r="9" spans="2:28" x14ac:dyDescent="0.3">
      <c r="T9" s="53"/>
      <c r="U9" s="58"/>
      <c r="V9" s="59"/>
      <c r="W9" s="59"/>
      <c r="X9" s="59"/>
      <c r="Y9" s="59"/>
      <c r="Z9" s="59"/>
      <c r="AA9" s="55"/>
      <c r="AB9" s="60"/>
    </row>
    <row r="10" spans="2:28" x14ac:dyDescent="0.3">
      <c r="T10" s="53"/>
      <c r="U10" s="54" t="s">
        <v>149</v>
      </c>
      <c r="V10" s="42">
        <v>55</v>
      </c>
      <c r="W10" s="42">
        <v>40</v>
      </c>
      <c r="X10" s="42">
        <v>25</v>
      </c>
      <c r="Y10" s="42">
        <v>30</v>
      </c>
      <c r="Z10" s="42">
        <v>25</v>
      </c>
      <c r="AA10" s="55"/>
      <c r="AB10" s="57">
        <v>175</v>
      </c>
    </row>
    <row r="11" spans="2:28" ht="15" thickBot="1" x14ac:dyDescent="0.35">
      <c r="F11" s="8" t="s">
        <v>250</v>
      </c>
      <c r="T11" s="61"/>
      <c r="U11" s="62"/>
      <c r="V11" s="62"/>
      <c r="W11" s="62"/>
      <c r="X11" s="62"/>
      <c r="Y11" s="62"/>
      <c r="Z11" s="62"/>
      <c r="AA11" s="62"/>
      <c r="AB11" s="63"/>
    </row>
    <row r="12" spans="2:28" ht="25.2" customHeight="1" x14ac:dyDescent="0.3">
      <c r="B12" s="37" t="s">
        <v>242</v>
      </c>
      <c r="C12" s="38" t="s">
        <v>243</v>
      </c>
      <c r="F12" s="39" t="s">
        <v>244</v>
      </c>
      <c r="G12" s="40" t="s">
        <v>180</v>
      </c>
    </row>
    <row r="13" spans="2:28" x14ac:dyDescent="0.3">
      <c r="B13" s="41" t="s">
        <v>245</v>
      </c>
      <c r="C13" s="42">
        <v>22</v>
      </c>
      <c r="F13" s="43">
        <f>70/5</f>
        <v>14</v>
      </c>
      <c r="G13" s="44">
        <f>(C13-F13)^2/F13</f>
        <v>4.5714285714285712</v>
      </c>
      <c r="T13" s="8" t="s">
        <v>275</v>
      </c>
    </row>
    <row r="14" spans="2:28" ht="15" thickBot="1" x14ac:dyDescent="0.35">
      <c r="B14" s="41" t="s">
        <v>246</v>
      </c>
      <c r="C14" s="42">
        <v>16</v>
      </c>
      <c r="F14" s="43">
        <f t="shared" ref="F14:F17" si="0">70/5</f>
        <v>14</v>
      </c>
      <c r="G14" s="44">
        <f t="shared" ref="G14:G17" si="1">(C14-F14)^2/F14</f>
        <v>0.2857142857142857</v>
      </c>
      <c r="T14" s="79" t="s">
        <v>274</v>
      </c>
      <c r="U14" s="80"/>
      <c r="V14" s="80"/>
      <c r="W14" s="80"/>
      <c r="X14" s="80"/>
      <c r="Y14" s="80"/>
      <c r="Z14" s="80"/>
      <c r="AA14" s="80"/>
      <c r="AB14" s="80"/>
    </row>
    <row r="15" spans="2:28" x14ac:dyDescent="0.3">
      <c r="B15" s="41" t="s">
        <v>247</v>
      </c>
      <c r="C15" s="42">
        <v>10</v>
      </c>
      <c r="F15" s="43">
        <f t="shared" si="0"/>
        <v>14</v>
      </c>
      <c r="G15" s="44">
        <f t="shared" si="1"/>
        <v>1.1428571428571428</v>
      </c>
      <c r="T15" s="50"/>
      <c r="U15" s="51"/>
      <c r="V15" s="81" t="s">
        <v>263</v>
      </c>
      <c r="W15" s="81"/>
      <c r="X15" s="81"/>
      <c r="Y15" s="81"/>
      <c r="Z15" s="81"/>
      <c r="AA15" s="51"/>
      <c r="AB15" s="52"/>
    </row>
    <row r="16" spans="2:28" x14ac:dyDescent="0.3">
      <c r="B16" s="41" t="s">
        <v>248</v>
      </c>
      <c r="C16" s="42">
        <v>12</v>
      </c>
      <c r="F16" s="43">
        <f t="shared" si="0"/>
        <v>14</v>
      </c>
      <c r="G16" s="44">
        <f t="shared" si="1"/>
        <v>0.2857142857142857</v>
      </c>
      <c r="T16" s="53"/>
      <c r="V16" s="54" t="s">
        <v>245</v>
      </c>
      <c r="W16" s="54" t="s">
        <v>246</v>
      </c>
      <c r="X16" s="54" t="s">
        <v>247</v>
      </c>
      <c r="Y16" s="54" t="s">
        <v>248</v>
      </c>
      <c r="Z16" s="54" t="s">
        <v>249</v>
      </c>
      <c r="AA16" s="55"/>
      <c r="AB16" s="56" t="s">
        <v>149</v>
      </c>
    </row>
    <row r="17" spans="2:28" x14ac:dyDescent="0.3">
      <c r="B17" s="41" t="s">
        <v>249</v>
      </c>
      <c r="C17" s="42">
        <v>10</v>
      </c>
      <c r="F17" s="43">
        <f t="shared" si="0"/>
        <v>14</v>
      </c>
      <c r="G17" s="44">
        <f t="shared" si="1"/>
        <v>1.1428571428571428</v>
      </c>
      <c r="T17" s="78" t="s">
        <v>264</v>
      </c>
      <c r="U17" s="54" t="s">
        <v>265</v>
      </c>
      <c r="V17" s="42">
        <f>V$10*$AB5/$AB$10</f>
        <v>18.857142857142858</v>
      </c>
      <c r="W17" s="42">
        <f t="shared" ref="W17:Z17" si="2">W$10*$AB5/$AB$10</f>
        <v>13.714285714285714</v>
      </c>
      <c r="X17" s="42">
        <f t="shared" si="2"/>
        <v>8.5714285714285712</v>
      </c>
      <c r="Y17" s="42">
        <f t="shared" si="2"/>
        <v>10.285714285714286</v>
      </c>
      <c r="Z17" s="42">
        <f t="shared" si="2"/>
        <v>8.5714285714285712</v>
      </c>
      <c r="AA17" s="55"/>
      <c r="AB17" s="57">
        <v>60</v>
      </c>
    </row>
    <row r="18" spans="2:28" x14ac:dyDescent="0.3">
      <c r="B18" s="45"/>
      <c r="C18" s="46"/>
      <c r="T18" s="78"/>
      <c r="U18" s="54" t="s">
        <v>266</v>
      </c>
      <c r="V18" s="42">
        <f t="shared" ref="V18:Z18" si="3">V$10*$AB6/$AB$10</f>
        <v>20.428571428571427</v>
      </c>
      <c r="W18" s="42">
        <f t="shared" si="3"/>
        <v>14.857142857142858</v>
      </c>
      <c r="X18" s="42">
        <f t="shared" si="3"/>
        <v>9.2857142857142865</v>
      </c>
      <c r="Y18" s="42">
        <f t="shared" si="3"/>
        <v>11.142857142857142</v>
      </c>
      <c r="Z18" s="42">
        <f t="shared" si="3"/>
        <v>9.2857142857142865</v>
      </c>
      <c r="AA18" s="55"/>
      <c r="AB18" s="57">
        <v>65</v>
      </c>
    </row>
    <row r="19" spans="2:28" ht="15" thickBot="1" x14ac:dyDescent="0.35">
      <c r="B19" s="47" t="s">
        <v>149</v>
      </c>
      <c r="C19" s="48">
        <f>SUM(C13:C17)</f>
        <v>70</v>
      </c>
      <c r="T19" s="78"/>
      <c r="U19" s="54" t="s">
        <v>267</v>
      </c>
      <c r="V19" s="42">
        <f t="shared" ref="V19:Z19" si="4">V$10*$AB7/$AB$10</f>
        <v>4.7142857142857144</v>
      </c>
      <c r="W19" s="42">
        <f t="shared" si="4"/>
        <v>3.4285714285714284</v>
      </c>
      <c r="X19" s="42">
        <f t="shared" si="4"/>
        <v>2.1428571428571428</v>
      </c>
      <c r="Y19" s="42">
        <f t="shared" si="4"/>
        <v>2.5714285714285716</v>
      </c>
      <c r="Z19" s="42">
        <f t="shared" si="4"/>
        <v>2.1428571428571428</v>
      </c>
      <c r="AA19" s="55"/>
      <c r="AB19" s="57">
        <v>15</v>
      </c>
    </row>
    <row r="20" spans="2:28" x14ac:dyDescent="0.3">
      <c r="T20" s="78"/>
      <c r="U20" s="54" t="s">
        <v>268</v>
      </c>
      <c r="V20" s="42">
        <f t="shared" ref="V20:Z20" si="5">V$10*$AB8/$AB$10</f>
        <v>11</v>
      </c>
      <c r="W20" s="42">
        <f t="shared" si="5"/>
        <v>8</v>
      </c>
      <c r="X20" s="42">
        <f t="shared" si="5"/>
        <v>5</v>
      </c>
      <c r="Y20" s="42">
        <f t="shared" si="5"/>
        <v>6</v>
      </c>
      <c r="Z20" s="42">
        <f t="shared" si="5"/>
        <v>5</v>
      </c>
      <c r="AA20" s="55"/>
      <c r="AB20" s="57">
        <v>35</v>
      </c>
    </row>
    <row r="21" spans="2:28" x14ac:dyDescent="0.3">
      <c r="F21" s="8" t="s">
        <v>151</v>
      </c>
      <c r="T21" s="53"/>
      <c r="U21" s="58"/>
      <c r="V21" s="59"/>
      <c r="W21" s="59"/>
      <c r="X21" s="59"/>
      <c r="Y21" s="59"/>
      <c r="Z21" s="59"/>
      <c r="AA21" s="55"/>
      <c r="AB21" s="60"/>
    </row>
    <row r="22" spans="2:28" x14ac:dyDescent="0.3">
      <c r="F22" t="s">
        <v>251</v>
      </c>
      <c r="T22" s="53"/>
      <c r="U22" s="54" t="s">
        <v>149</v>
      </c>
      <c r="V22" s="42">
        <v>55</v>
      </c>
      <c r="W22" s="42">
        <v>40</v>
      </c>
      <c r="X22" s="42">
        <v>25</v>
      </c>
      <c r="Y22" s="42">
        <v>30</v>
      </c>
      <c r="Z22" s="42">
        <v>25</v>
      </c>
      <c r="AA22" s="55"/>
      <c r="AB22" s="57">
        <v>175</v>
      </c>
    </row>
    <row r="23" spans="2:28" ht="15" thickBot="1" x14ac:dyDescent="0.35">
      <c r="F23" t="s">
        <v>252</v>
      </c>
      <c r="T23" s="61"/>
      <c r="U23" s="62"/>
      <c r="V23" s="62"/>
      <c r="W23" s="62"/>
      <c r="X23" s="62"/>
      <c r="Y23" s="62"/>
      <c r="Z23" s="62"/>
      <c r="AA23" s="62"/>
      <c r="AB23" s="63"/>
    </row>
    <row r="25" spans="2:28" x14ac:dyDescent="0.3">
      <c r="T25" s="8" t="s">
        <v>276</v>
      </c>
    </row>
    <row r="26" spans="2:28" ht="15" thickBot="1" x14ac:dyDescent="0.35">
      <c r="F26" s="8" t="s">
        <v>256</v>
      </c>
      <c r="G26" s="6">
        <v>0.1</v>
      </c>
      <c r="T26" s="79" t="s">
        <v>262</v>
      </c>
      <c r="U26" s="80"/>
      <c r="V26" s="80"/>
      <c r="W26" s="80"/>
      <c r="X26" s="80"/>
      <c r="Y26" s="80"/>
      <c r="Z26" s="80"/>
      <c r="AA26" s="80"/>
      <c r="AB26" s="80"/>
    </row>
    <row r="27" spans="2:28" x14ac:dyDescent="0.3">
      <c r="T27" s="50"/>
      <c r="U27" s="51"/>
      <c r="V27" s="81" t="s">
        <v>263</v>
      </c>
      <c r="W27" s="81"/>
      <c r="X27" s="81"/>
      <c r="Y27" s="81"/>
      <c r="Z27" s="81"/>
      <c r="AA27" s="51"/>
      <c r="AB27" s="52"/>
    </row>
    <row r="28" spans="2:28" x14ac:dyDescent="0.3">
      <c r="T28" s="53"/>
      <c r="V28" s="54" t="s">
        <v>245</v>
      </c>
      <c r="W28" s="54" t="s">
        <v>246</v>
      </c>
      <c r="X28" s="54" t="s">
        <v>247</v>
      </c>
      <c r="Y28" s="54" t="s">
        <v>248</v>
      </c>
      <c r="Z28" s="54" t="s">
        <v>249</v>
      </c>
      <c r="AA28" s="55"/>
      <c r="AB28" s="56" t="s">
        <v>149</v>
      </c>
    </row>
    <row r="29" spans="2:28" x14ac:dyDescent="0.3">
      <c r="F29" s="8" t="s">
        <v>257</v>
      </c>
      <c r="T29" s="78" t="s">
        <v>264</v>
      </c>
      <c r="U29" s="54" t="s">
        <v>265</v>
      </c>
      <c r="V29" s="42">
        <f>(V5-V17)^2/V17</f>
        <v>4.1601731601731604</v>
      </c>
      <c r="W29" s="42">
        <f t="shared" ref="W29:Z29" si="6">(W5-W17)^2/W17</f>
        <v>5.5372023809523805</v>
      </c>
      <c r="X29" s="42">
        <f t="shared" si="6"/>
        <v>4.8214285714285721</v>
      </c>
      <c r="Y29" s="42">
        <f t="shared" si="6"/>
        <v>7.9365079365079777E-3</v>
      </c>
      <c r="Z29" s="42">
        <f t="shared" si="6"/>
        <v>15.238095238095239</v>
      </c>
      <c r="AA29" s="55"/>
      <c r="AB29" s="57">
        <v>60</v>
      </c>
    </row>
    <row r="30" spans="2:28" x14ac:dyDescent="0.3">
      <c r="N30" s="64"/>
      <c r="T30" s="78"/>
      <c r="U30" s="54" t="s">
        <v>266</v>
      </c>
      <c r="V30" s="42">
        <f t="shared" ref="V30:Z30" si="7">(V6-V18)^2/V18</f>
        <v>1.4425574425574419</v>
      </c>
      <c r="W30" s="42">
        <f t="shared" si="7"/>
        <v>6.9244505494505484</v>
      </c>
      <c r="X30" s="42">
        <f t="shared" si="7"/>
        <v>5.4945054945054819E-2</v>
      </c>
      <c r="Y30" s="42">
        <f t="shared" si="7"/>
        <v>0.11721611721611712</v>
      </c>
      <c r="Z30" s="42">
        <f t="shared" si="7"/>
        <v>1.9780219780219783</v>
      </c>
      <c r="AA30" s="55"/>
      <c r="AB30" s="57">
        <v>65</v>
      </c>
    </row>
    <row r="31" spans="2:28" x14ac:dyDescent="0.3">
      <c r="T31" s="78"/>
      <c r="U31" s="54" t="s">
        <v>267</v>
      </c>
      <c r="V31" s="42">
        <f t="shared" ref="V31:Z31" si="8">(V7-V19)^2/V19</f>
        <v>5.9264069264069263</v>
      </c>
      <c r="W31" s="42">
        <f t="shared" si="8"/>
        <v>3.4285714285714284</v>
      </c>
      <c r="X31" s="42">
        <f t="shared" si="8"/>
        <v>2.1428571428571428</v>
      </c>
      <c r="Y31" s="42">
        <f t="shared" si="8"/>
        <v>2.2936507936507931</v>
      </c>
      <c r="Z31" s="42">
        <f t="shared" si="8"/>
        <v>2.1428571428571428</v>
      </c>
      <c r="AA31" s="55"/>
      <c r="AB31" s="57">
        <v>15</v>
      </c>
    </row>
    <row r="32" spans="2:28" x14ac:dyDescent="0.3">
      <c r="T32" s="78"/>
      <c r="U32" s="54" t="s">
        <v>268</v>
      </c>
      <c r="V32" s="42">
        <f t="shared" ref="V32:Z32" si="9">(V8-V20)^2/V20</f>
        <v>7.3636363636363633</v>
      </c>
      <c r="W32" s="42">
        <f t="shared" si="9"/>
        <v>0.5</v>
      </c>
      <c r="X32" s="42">
        <f t="shared" si="9"/>
        <v>5</v>
      </c>
      <c r="Y32" s="42">
        <f t="shared" si="9"/>
        <v>0.16666666666666666</v>
      </c>
      <c r="Z32" s="42">
        <f t="shared" si="9"/>
        <v>5</v>
      </c>
      <c r="AA32" s="55"/>
      <c r="AB32" s="57">
        <v>35</v>
      </c>
    </row>
    <row r="33" spans="6:28" x14ac:dyDescent="0.3">
      <c r="Q33" s="65"/>
      <c r="T33" s="53"/>
      <c r="U33" s="58"/>
      <c r="V33" s="59"/>
      <c r="W33" s="59"/>
      <c r="X33" s="59"/>
      <c r="Y33" s="59"/>
      <c r="Z33" s="59"/>
      <c r="AA33" s="55"/>
      <c r="AB33" s="60"/>
    </row>
    <row r="34" spans="6:28" x14ac:dyDescent="0.3">
      <c r="T34" s="53"/>
      <c r="U34" s="54" t="s">
        <v>149</v>
      </c>
      <c r="V34" s="42">
        <v>55</v>
      </c>
      <c r="W34" s="42">
        <v>40</v>
      </c>
      <c r="X34" s="42">
        <v>25</v>
      </c>
      <c r="Y34" s="42">
        <v>30</v>
      </c>
      <c r="Z34" s="42">
        <v>25</v>
      </c>
      <c r="AA34" s="55"/>
      <c r="AB34" s="57">
        <v>175</v>
      </c>
    </row>
    <row r="35" spans="6:28" ht="15" thickBot="1" x14ac:dyDescent="0.35">
      <c r="F35" t="s">
        <v>253</v>
      </c>
      <c r="G35">
        <f>5-1</f>
        <v>4</v>
      </c>
      <c r="T35" s="61"/>
      <c r="U35" s="62"/>
      <c r="V35" s="62"/>
      <c r="W35" s="62"/>
      <c r="X35" s="62"/>
      <c r="Y35" s="62"/>
      <c r="Z35" s="62"/>
      <c r="AA35" s="62"/>
      <c r="AB35" s="63"/>
    </row>
    <row r="36" spans="6:28" x14ac:dyDescent="0.3">
      <c r="F36" t="s">
        <v>261</v>
      </c>
      <c r="G36">
        <f>_xlfn.CHISQ.INV.RT(G26,G35)</f>
        <v>7.7794403397348582</v>
      </c>
    </row>
    <row r="37" spans="6:28" x14ac:dyDescent="0.3">
      <c r="F37" t="s">
        <v>254</v>
      </c>
      <c r="T37" s="8" t="s">
        <v>100</v>
      </c>
    </row>
    <row r="38" spans="6:28" x14ac:dyDescent="0.3">
      <c r="T38" t="s">
        <v>269</v>
      </c>
    </row>
    <row r="39" spans="6:28" x14ac:dyDescent="0.3">
      <c r="F39" s="8" t="s">
        <v>258</v>
      </c>
      <c r="T39" t="s">
        <v>270</v>
      </c>
    </row>
    <row r="40" spans="6:28" x14ac:dyDescent="0.3">
      <c r="F40" s="49" t="s">
        <v>260</v>
      </c>
      <c r="G40">
        <f>SUM(G13:G17)</f>
        <v>7.4285714285714288</v>
      </c>
    </row>
    <row r="41" spans="6:28" x14ac:dyDescent="0.3">
      <c r="F41" t="s">
        <v>161</v>
      </c>
      <c r="G41">
        <f>_xlfn.CHISQ.DIST.RT(G40,G35)</f>
        <v>0.11490055063117526</v>
      </c>
    </row>
    <row r="42" spans="6:28" x14ac:dyDescent="0.3">
      <c r="T42" s="8" t="s">
        <v>277</v>
      </c>
    </row>
    <row r="43" spans="6:28" x14ac:dyDescent="0.3">
      <c r="F43" s="8" t="s">
        <v>259</v>
      </c>
      <c r="T43" t="s">
        <v>271</v>
      </c>
      <c r="W43">
        <f>SUM(V29:Z32)</f>
        <v>74.246673465423484</v>
      </c>
    </row>
    <row r="44" spans="6:28" x14ac:dyDescent="0.3">
      <c r="F44" t="s">
        <v>255</v>
      </c>
      <c r="T44" s="64" t="s">
        <v>261</v>
      </c>
      <c r="W44">
        <f>_xlfn.CHISQ.INV.RT(5%, (4-1)*(5-1))</f>
        <v>21.026069817483066</v>
      </c>
    </row>
    <row r="45" spans="6:28" x14ac:dyDescent="0.3">
      <c r="T45" t="s">
        <v>272</v>
      </c>
    </row>
    <row r="47" spans="6:28" x14ac:dyDescent="0.3">
      <c r="T47" t="s">
        <v>70</v>
      </c>
      <c r="W47" s="65">
        <f>_xlfn.CHISQ.DIST.RT(W43,(4-1)*(5-1))</f>
        <v>5.0986592496667164E-11</v>
      </c>
    </row>
    <row r="50" spans="20:20" x14ac:dyDescent="0.3">
      <c r="T50" s="8" t="s">
        <v>279</v>
      </c>
    </row>
    <row r="51" spans="20:20" x14ac:dyDescent="0.3">
      <c r="T51" t="s">
        <v>278</v>
      </c>
    </row>
    <row r="52" spans="20:20" x14ac:dyDescent="0.3">
      <c r="T52" t="s">
        <v>273</v>
      </c>
    </row>
  </sheetData>
  <mergeCells count="9">
    <mergeCell ref="T17:T20"/>
    <mergeCell ref="T26:AB26"/>
    <mergeCell ref="V27:Z27"/>
    <mergeCell ref="T29:T32"/>
    <mergeCell ref="T2:AB2"/>
    <mergeCell ref="V3:Z3"/>
    <mergeCell ref="T5:T8"/>
    <mergeCell ref="T14:AB14"/>
    <mergeCell ref="V15:Z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7F39-2234-42E9-AE2C-FD9CD2FC712A}">
  <dimension ref="B9:T61"/>
  <sheetViews>
    <sheetView showGridLines="0" topLeftCell="A19" zoomScale="85" zoomScaleNormal="85" workbookViewId="0">
      <selection activeCell="M36" sqref="M36"/>
    </sheetView>
  </sheetViews>
  <sheetFormatPr defaultRowHeight="14.4" x14ac:dyDescent="0.3"/>
  <cols>
    <col min="2" max="2" width="12.5546875" customWidth="1"/>
    <col min="3" max="3" width="12" bestFit="1" customWidth="1"/>
    <col min="4" max="4" width="9.6640625" bestFit="1" customWidth="1"/>
    <col min="5" max="5" width="14.21875" bestFit="1" customWidth="1"/>
    <col min="6" max="6" width="7.6640625" bestFit="1" customWidth="1"/>
    <col min="7" max="7" width="10.6640625" bestFit="1" customWidth="1"/>
    <col min="9" max="9" width="8.88671875" style="70"/>
    <col min="17" max="17" width="10.88671875" bestFit="1" customWidth="1"/>
  </cols>
  <sheetData>
    <row r="9" spans="2:17" x14ac:dyDescent="0.3">
      <c r="B9" s="66" t="s">
        <v>213</v>
      </c>
      <c r="C9" s="66" t="s">
        <v>211</v>
      </c>
      <c r="D9" s="66" t="s">
        <v>212</v>
      </c>
    </row>
    <row r="10" spans="2:17" x14ac:dyDescent="0.3">
      <c r="B10">
        <v>79</v>
      </c>
      <c r="C10">
        <v>77</v>
      </c>
      <c r="D10">
        <v>82</v>
      </c>
      <c r="O10" s="8" t="s">
        <v>117</v>
      </c>
    </row>
    <row r="11" spans="2:17" ht="15.6" x14ac:dyDescent="0.35">
      <c r="B11">
        <v>73</v>
      </c>
      <c r="C11">
        <v>78</v>
      </c>
      <c r="D11">
        <v>80</v>
      </c>
      <c r="K11" t="s">
        <v>314</v>
      </c>
      <c r="O11" s="71" t="s">
        <v>306</v>
      </c>
      <c r="P11" s="71" t="s">
        <v>311</v>
      </c>
      <c r="Q11" s="71"/>
    </row>
    <row r="12" spans="2:17" ht="15.6" x14ac:dyDescent="0.35">
      <c r="B12">
        <v>78</v>
      </c>
      <c r="C12">
        <v>72</v>
      </c>
      <c r="D12">
        <v>83</v>
      </c>
      <c r="K12" s="72" t="s">
        <v>310</v>
      </c>
      <c r="L12" s="72" t="s">
        <v>305</v>
      </c>
      <c r="O12" s="71" t="s">
        <v>307</v>
      </c>
      <c r="P12" s="71" t="s">
        <v>312</v>
      </c>
      <c r="Q12" s="71"/>
    </row>
    <row r="13" spans="2:17" x14ac:dyDescent="0.3">
      <c r="B13">
        <v>81</v>
      </c>
      <c r="C13">
        <v>71</v>
      </c>
      <c r="D13">
        <v>80</v>
      </c>
      <c r="K13" s="73">
        <v>4</v>
      </c>
      <c r="L13" s="73">
        <v>8</v>
      </c>
    </row>
    <row r="14" spans="2:17" ht="14.4" customHeight="1" x14ac:dyDescent="0.3">
      <c r="B14">
        <v>76</v>
      </c>
      <c r="C14">
        <v>74</v>
      </c>
      <c r="D14">
        <v>75</v>
      </c>
      <c r="K14" s="73">
        <v>5</v>
      </c>
      <c r="L14" s="73">
        <v>6</v>
      </c>
    </row>
    <row r="15" spans="2:17" x14ac:dyDescent="0.3">
      <c r="K15" s="73">
        <v>4</v>
      </c>
      <c r="L15" s="73">
        <v>8</v>
      </c>
      <c r="O15" s="8" t="s">
        <v>313</v>
      </c>
    </row>
    <row r="16" spans="2:17" x14ac:dyDescent="0.3">
      <c r="K16" s="73">
        <v>6</v>
      </c>
      <c r="L16" s="73">
        <v>7</v>
      </c>
    </row>
    <row r="17" spans="2:17" x14ac:dyDescent="0.3">
      <c r="K17" s="73">
        <v>3</v>
      </c>
      <c r="L17" s="73">
        <v>7</v>
      </c>
      <c r="O17" s="72" t="s">
        <v>310</v>
      </c>
      <c r="P17" s="72" t="s">
        <v>305</v>
      </c>
      <c r="Q17" t="s">
        <v>315</v>
      </c>
    </row>
    <row r="18" spans="2:17" x14ac:dyDescent="0.3">
      <c r="B18" s="8" t="s">
        <v>52</v>
      </c>
      <c r="K18" s="73">
        <v>7</v>
      </c>
      <c r="L18" s="73">
        <v>5</v>
      </c>
      <c r="O18" s="73">
        <v>4</v>
      </c>
      <c r="P18" s="73">
        <v>8</v>
      </c>
      <c r="Q18">
        <f>_xlfn.RANK.AVG(O18, $O$18:$P$29, 1)</f>
        <v>3</v>
      </c>
    </row>
    <row r="19" spans="2:17" x14ac:dyDescent="0.3">
      <c r="B19" t="s">
        <v>303</v>
      </c>
      <c r="K19" s="73">
        <v>6</v>
      </c>
      <c r="L19" s="73">
        <v>8</v>
      </c>
      <c r="O19" s="73">
        <v>5</v>
      </c>
      <c r="P19" s="73">
        <v>6</v>
      </c>
      <c r="Q19">
        <f t="shared" ref="Q19:Q27" si="0">_xlfn.RANK.AVG(O19, $O$18:$P$29, 1)</f>
        <v>7</v>
      </c>
    </row>
    <row r="20" spans="2:17" x14ac:dyDescent="0.3">
      <c r="B20" t="s">
        <v>304</v>
      </c>
      <c r="K20" s="73">
        <v>4</v>
      </c>
      <c r="L20" s="73">
        <v>7</v>
      </c>
      <c r="O20" s="73">
        <v>4</v>
      </c>
      <c r="P20" s="73">
        <v>8</v>
      </c>
      <c r="Q20">
        <f t="shared" si="0"/>
        <v>3</v>
      </c>
    </row>
    <row r="21" spans="2:17" x14ac:dyDescent="0.3">
      <c r="K21" s="73">
        <v>5</v>
      </c>
      <c r="L21" s="73">
        <v>5</v>
      </c>
      <c r="O21" s="73">
        <v>6</v>
      </c>
      <c r="P21" s="73">
        <v>7</v>
      </c>
      <c r="Q21">
        <f t="shared" si="0"/>
        <v>11.5</v>
      </c>
    </row>
    <row r="22" spans="2:17" x14ac:dyDescent="0.3">
      <c r="B22" s="8" t="s">
        <v>222</v>
      </c>
      <c r="D22" s="6">
        <v>0.1</v>
      </c>
      <c r="K22" s="73">
        <v>5</v>
      </c>
      <c r="L22" s="73">
        <v>7</v>
      </c>
      <c r="O22" s="73">
        <v>3</v>
      </c>
      <c r="P22" s="73">
        <v>7</v>
      </c>
      <c r="Q22">
        <f t="shared" si="0"/>
        <v>1</v>
      </c>
    </row>
    <row r="23" spans="2:17" x14ac:dyDescent="0.3">
      <c r="D23" s="6"/>
      <c r="K23" s="71"/>
      <c r="L23" s="73">
        <v>6</v>
      </c>
      <c r="O23" s="73">
        <v>7</v>
      </c>
      <c r="P23" s="73">
        <v>5</v>
      </c>
      <c r="Q23">
        <f t="shared" si="0"/>
        <v>16.5</v>
      </c>
    </row>
    <row r="24" spans="2:17" x14ac:dyDescent="0.3">
      <c r="B24" s="8" t="s">
        <v>282</v>
      </c>
      <c r="K24" s="71"/>
      <c r="L24" s="73">
        <v>7</v>
      </c>
      <c r="O24" s="73">
        <v>6</v>
      </c>
      <c r="P24" s="73">
        <v>8</v>
      </c>
      <c r="Q24">
        <f t="shared" si="0"/>
        <v>11.5</v>
      </c>
    </row>
    <row r="25" spans="2:17" x14ac:dyDescent="0.3">
      <c r="O25" s="73">
        <v>4</v>
      </c>
      <c r="P25" s="73">
        <v>7</v>
      </c>
      <c r="Q25">
        <f t="shared" si="0"/>
        <v>3</v>
      </c>
    </row>
    <row r="26" spans="2:17" x14ac:dyDescent="0.3">
      <c r="B26" t="s">
        <v>280</v>
      </c>
      <c r="D26">
        <f>3-1</f>
        <v>2</v>
      </c>
      <c r="O26" s="73">
        <v>5</v>
      </c>
      <c r="P26" s="73">
        <v>5</v>
      </c>
      <c r="Q26">
        <f t="shared" si="0"/>
        <v>7</v>
      </c>
    </row>
    <row r="27" spans="2:17" x14ac:dyDescent="0.3">
      <c r="O27" s="73">
        <v>5</v>
      </c>
      <c r="P27" s="73">
        <v>7</v>
      </c>
      <c r="Q27">
        <f t="shared" si="0"/>
        <v>7</v>
      </c>
    </row>
    <row r="28" spans="2:17" x14ac:dyDescent="0.3">
      <c r="B28" t="s">
        <v>300</v>
      </c>
      <c r="C28">
        <f>_xlfn.CHISQ.INV.RT(10%, 2)</f>
        <v>4.6051701859880909</v>
      </c>
      <c r="O28" s="71"/>
      <c r="P28" s="73">
        <v>6</v>
      </c>
    </row>
    <row r="29" spans="2:17" x14ac:dyDescent="0.3">
      <c r="B29" t="s">
        <v>281</v>
      </c>
      <c r="O29" s="71"/>
      <c r="P29" s="73">
        <v>7</v>
      </c>
    </row>
    <row r="31" spans="2:17" x14ac:dyDescent="0.3">
      <c r="B31" s="8" t="s">
        <v>298</v>
      </c>
      <c r="P31" t="s">
        <v>316</v>
      </c>
      <c r="Q31">
        <f>SUM(Q18:Q27)</f>
        <v>70.5</v>
      </c>
    </row>
    <row r="32" spans="2:17" x14ac:dyDescent="0.3">
      <c r="B32" s="67" t="s">
        <v>283</v>
      </c>
    </row>
    <row r="33" spans="2:18" x14ac:dyDescent="0.3">
      <c r="B33" s="66" t="s">
        <v>213</v>
      </c>
      <c r="C33" s="68" t="s">
        <v>296</v>
      </c>
      <c r="D33" s="66" t="s">
        <v>211</v>
      </c>
      <c r="E33" s="68" t="s">
        <v>297</v>
      </c>
      <c r="F33" s="66" t="s">
        <v>212</v>
      </c>
      <c r="G33" s="68" t="s">
        <v>299</v>
      </c>
    </row>
    <row r="34" spans="2:18" x14ac:dyDescent="0.3">
      <c r="B34" s="69">
        <v>79</v>
      </c>
      <c r="C34" s="68">
        <f>_xlfn.RANK.AVG(B34,($B$34:$B$38,$D$34:$D$38,$F$34:$F$38),1)</f>
        <v>10</v>
      </c>
      <c r="D34" s="69">
        <v>77</v>
      </c>
      <c r="E34" s="68">
        <f>_xlfn.RANK.AVG(D34,($B$34:$B$38,$D$34:$D$38,$F$34:$F$38),1)</f>
        <v>7</v>
      </c>
      <c r="F34" s="69">
        <v>82</v>
      </c>
      <c r="G34" s="68">
        <f>_xlfn.RANK.AVG(F34,($B$34:$B$38,$D$34:$D$38,$F$34:$F$38),1)</f>
        <v>14</v>
      </c>
    </row>
    <row r="35" spans="2:18" x14ac:dyDescent="0.3">
      <c r="B35" s="69">
        <v>73</v>
      </c>
      <c r="C35" s="68">
        <f>_xlfn.RANK.AVG(B35,($B$34:$B$38,$D$34:$D$38,$F$34:$F$38),1)</f>
        <v>3</v>
      </c>
      <c r="D35" s="69">
        <v>78</v>
      </c>
      <c r="E35" s="68">
        <f>_xlfn.RANK.AVG(D35,($B$34:$B$38,$D$34:$D$38,$F$34:$F$38),1)</f>
        <v>8.5</v>
      </c>
      <c r="F35" s="69">
        <v>80</v>
      </c>
      <c r="G35" s="68">
        <f>_xlfn.RANK.AVG(F35,($B$34:$B$38,$D$34:$D$38,$F$34:$F$38),1)</f>
        <v>11.5</v>
      </c>
      <c r="O35" s="8" t="s">
        <v>317</v>
      </c>
    </row>
    <row r="36" spans="2:18" x14ac:dyDescent="0.3">
      <c r="B36" s="69">
        <v>78</v>
      </c>
      <c r="C36" s="68">
        <f>_xlfn.RANK.AVG(B36,($B$34:$B$38,$D$34:$D$38,$F$34:$F$38),1)</f>
        <v>8.5</v>
      </c>
      <c r="D36" s="69">
        <v>72</v>
      </c>
      <c r="E36" s="68">
        <f>_xlfn.RANK.AVG(D36,($B$34:$B$38,$D$34:$D$38,$F$34:$F$38),1)</f>
        <v>2</v>
      </c>
      <c r="F36" s="69">
        <v>83</v>
      </c>
      <c r="G36" s="68">
        <f>_xlfn.RANK.AVG(F36,($B$34:$B$38,$D$34:$D$38,$F$34:$F$38),1)</f>
        <v>15</v>
      </c>
      <c r="O36" t="s">
        <v>318</v>
      </c>
      <c r="Q36" s="6">
        <v>0.05</v>
      </c>
    </row>
    <row r="37" spans="2:18" x14ac:dyDescent="0.3">
      <c r="B37" s="69">
        <v>81</v>
      </c>
      <c r="C37" s="68">
        <f>_xlfn.RANK.AVG(B37,($B$34:$B$38,$D$34:$D$38,$F$34:$F$38),1)</f>
        <v>13</v>
      </c>
      <c r="D37" s="69">
        <v>71</v>
      </c>
      <c r="E37" s="68">
        <f>_xlfn.RANK.AVG(D37,($B$34:$B$38,$D$34:$D$38,$F$34:$F$38),1)</f>
        <v>1</v>
      </c>
      <c r="F37" s="69">
        <v>80</v>
      </c>
      <c r="G37" s="68">
        <f>_xlfn.RANK.AVG(F37,($B$34:$B$38,$D$34:$D$38,$F$34:$F$38),1)</f>
        <v>11.5</v>
      </c>
      <c r="O37" t="s">
        <v>300</v>
      </c>
      <c r="Q37">
        <f>_xlfn.NORM.S.INV(Q36)</f>
        <v>-1.6448536269514726</v>
      </c>
      <c r="R37" s="7" t="s">
        <v>323</v>
      </c>
    </row>
    <row r="38" spans="2:18" x14ac:dyDescent="0.3">
      <c r="B38" s="69">
        <v>76</v>
      </c>
      <c r="C38" s="68">
        <f>_xlfn.RANK.AVG(B38,($B$34:$B$38,$D$34:$D$38,$F$34:$F$38),1)</f>
        <v>6</v>
      </c>
      <c r="D38" s="69">
        <v>74</v>
      </c>
      <c r="E38" s="68">
        <f>_xlfn.RANK.AVG(D38,($B$34:$B$38,$D$34:$D$38,$F$34:$F$38),1)</f>
        <v>4</v>
      </c>
      <c r="F38" s="69">
        <v>75</v>
      </c>
      <c r="G38" s="68">
        <f>_xlfn.RANK.AVG(F38,($B$34:$B$38,$D$34:$D$38,$F$34:$F$38),1)</f>
        <v>5</v>
      </c>
    </row>
    <row r="39" spans="2:18" x14ac:dyDescent="0.3">
      <c r="O39" t="s">
        <v>319</v>
      </c>
    </row>
    <row r="40" spans="2:18" x14ac:dyDescent="0.3">
      <c r="B40" s="67" t="s">
        <v>284</v>
      </c>
    </row>
    <row r="41" spans="2:18" x14ac:dyDescent="0.3">
      <c r="B41" t="s">
        <v>285</v>
      </c>
      <c r="C41">
        <f>COUNT(C34:C38,E34:E38,G34:G38)</f>
        <v>15</v>
      </c>
    </row>
    <row r="42" spans="2:18" x14ac:dyDescent="0.3">
      <c r="B42" t="s">
        <v>286</v>
      </c>
      <c r="C42">
        <f>15+1</f>
        <v>16</v>
      </c>
    </row>
    <row r="43" spans="2:18" x14ac:dyDescent="0.3">
      <c r="B43" t="s">
        <v>287</v>
      </c>
      <c r="C43">
        <f>12/(C41*C42)</f>
        <v>0.05</v>
      </c>
    </row>
    <row r="44" spans="2:18" x14ac:dyDescent="0.3">
      <c r="B44" t="s">
        <v>288</v>
      </c>
      <c r="C44">
        <f>3*C42</f>
        <v>48</v>
      </c>
    </row>
    <row r="45" spans="2:18" x14ac:dyDescent="0.3">
      <c r="B45" t="s">
        <v>289</v>
      </c>
      <c r="C45">
        <f>SUM(C34:C38)</f>
        <v>40.5</v>
      </c>
      <c r="E45">
        <f>SUM(E34:E38)</f>
        <v>22.5</v>
      </c>
      <c r="G45">
        <f>SUM(G34:G38)</f>
        <v>57</v>
      </c>
      <c r="O45" t="s">
        <v>331</v>
      </c>
      <c r="R45">
        <f>Q31</f>
        <v>70.5</v>
      </c>
    </row>
    <row r="46" spans="2:18" x14ac:dyDescent="0.3">
      <c r="B46" t="s">
        <v>290</v>
      </c>
      <c r="C46">
        <f>C45^2</f>
        <v>1640.25</v>
      </c>
      <c r="E46">
        <f>E45^2</f>
        <v>506.25</v>
      </c>
      <c r="G46">
        <f>G45^2</f>
        <v>3249</v>
      </c>
      <c r="O46" t="s">
        <v>320</v>
      </c>
      <c r="R46">
        <v>10</v>
      </c>
    </row>
    <row r="47" spans="2:18" x14ac:dyDescent="0.3">
      <c r="B47" t="s">
        <v>291</v>
      </c>
      <c r="C47" s="8">
        <f>C46/COUNT(C34:C38)</f>
        <v>328.05</v>
      </c>
      <c r="E47" s="8">
        <f>E46/COUNT(E34:E38)</f>
        <v>101.25</v>
      </c>
      <c r="G47" s="8">
        <f>G46/COUNT(G34:G38)</f>
        <v>649.79999999999995</v>
      </c>
      <c r="O47" t="s">
        <v>321</v>
      </c>
      <c r="R47">
        <v>12</v>
      </c>
    </row>
    <row r="48" spans="2:18" x14ac:dyDescent="0.3">
      <c r="O48" t="s">
        <v>308</v>
      </c>
      <c r="R48">
        <f>R46*R47</f>
        <v>120</v>
      </c>
    </row>
    <row r="49" spans="2:20" x14ac:dyDescent="0.3">
      <c r="O49" t="s">
        <v>309</v>
      </c>
      <c r="R49">
        <f>R47+R46+1</f>
        <v>23</v>
      </c>
    </row>
    <row r="50" spans="2:20" x14ac:dyDescent="0.3">
      <c r="B50" t="s">
        <v>292</v>
      </c>
      <c r="C50">
        <f>SUM(C47,E47,G47)</f>
        <v>1079.0999999999999</v>
      </c>
    </row>
    <row r="52" spans="2:20" x14ac:dyDescent="0.3">
      <c r="B52" t="s">
        <v>293</v>
      </c>
      <c r="C52">
        <f>C43*C50-C44</f>
        <v>5.9549999999999983</v>
      </c>
      <c r="O52" t="s">
        <v>322</v>
      </c>
      <c r="R52">
        <f>(R45-10*R49/2)/SQRT(R48*R49/12)</f>
        <v>-2.9342431066112522</v>
      </c>
    </row>
    <row r="53" spans="2:20" x14ac:dyDescent="0.3">
      <c r="B53" t="s">
        <v>295</v>
      </c>
      <c r="C53">
        <f>_xlfn.CHISQ.DIST.RT(C52, 2)</f>
        <v>5.0919974809522338E-2</v>
      </c>
      <c r="O53" t="s">
        <v>70</v>
      </c>
      <c r="R53">
        <f>_xlfn.NORM.S.DIST(R52,TRUE)</f>
        <v>1.6718110423013977E-3</v>
      </c>
    </row>
    <row r="54" spans="2:20" x14ac:dyDescent="0.3">
      <c r="F54" s="67"/>
    </row>
    <row r="55" spans="2:20" x14ac:dyDescent="0.3">
      <c r="B55" s="7" t="s">
        <v>294</v>
      </c>
    </row>
    <row r="56" spans="2:20" x14ac:dyDescent="0.3">
      <c r="B56" t="s">
        <v>301</v>
      </c>
    </row>
    <row r="57" spans="2:20" x14ac:dyDescent="0.3">
      <c r="B57" t="s">
        <v>302</v>
      </c>
      <c r="O57" s="8" t="s">
        <v>294</v>
      </c>
    </row>
    <row r="58" spans="2:20" x14ac:dyDescent="0.3">
      <c r="O58" s="76" t="s">
        <v>324</v>
      </c>
      <c r="P58" s="76"/>
      <c r="Q58" s="76"/>
      <c r="R58" s="76"/>
      <c r="S58" s="76"/>
      <c r="T58" s="76"/>
    </row>
    <row r="59" spans="2:20" x14ac:dyDescent="0.3">
      <c r="O59" s="76"/>
      <c r="P59" s="76"/>
      <c r="Q59" s="76"/>
      <c r="R59" s="76"/>
      <c r="S59" s="76"/>
      <c r="T59" s="76"/>
    </row>
    <row r="60" spans="2:20" x14ac:dyDescent="0.3">
      <c r="O60" t="s">
        <v>325</v>
      </c>
    </row>
    <row r="61" spans="2:20" x14ac:dyDescent="0.3">
      <c r="O61" t="s">
        <v>326</v>
      </c>
    </row>
  </sheetData>
  <mergeCells count="1">
    <mergeCell ref="O58:T5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T_Tests</vt:lpstr>
      <vt:lpstr>Z_Test</vt:lpstr>
      <vt:lpstr>ANOVA</vt:lpstr>
      <vt:lpstr>Goodness_Chi_Square</vt:lpstr>
      <vt:lpstr>Non_Paramatric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Khang</dc:creator>
  <cp:lastModifiedBy>kiet Ho</cp:lastModifiedBy>
  <dcterms:created xsi:type="dcterms:W3CDTF">2024-06-06T18:23:09Z</dcterms:created>
  <dcterms:modified xsi:type="dcterms:W3CDTF">2024-11-07T02:03:24Z</dcterms:modified>
</cp:coreProperties>
</file>