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5035a4492189b7/Työpöytä/"/>
    </mc:Choice>
  </mc:AlternateContent>
  <xr:revisionPtr revIDLastSave="363" documentId="13_ncr:1_{29236FF7-6674-452F-9620-EB92FAB659A0}" xr6:coauthVersionLast="47" xr6:coauthVersionMax="47" xr10:uidLastSave="{3926048F-0704-4F91-819A-F3AFF6F38BF7}"/>
  <bookViews>
    <workbookView xWindow="-120" yWindow="-120" windowWidth="29040" windowHeight="15840" xr2:uid="{7C8A9551-25C2-4BD7-B0A7-F388478DED1F}"/>
  </bookViews>
  <sheets>
    <sheet name="Calculators" sheetId="7" r:id="rId1"/>
    <sheet name="Body Armor" sheetId="4" r:id="rId2"/>
    <sheet name="Armored Rigs" sheetId="3" r:id="rId3"/>
    <sheet name="Helmets and Masks" sheetId="5" r:id="rId4"/>
    <sheet name="Additional Armor &amp; Visors" sheetId="6" r:id="rId5"/>
    <sheet name="Ammo vs Armor" sheetId="2" r:id="rId6"/>
    <sheet name="Materials and Durability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B14" i="3" s="1"/>
  <c r="G14" i="3"/>
  <c r="H14" i="3"/>
  <c r="J14" i="3"/>
  <c r="K14" i="3"/>
  <c r="L14" i="3"/>
  <c r="M14" i="3"/>
  <c r="N14" i="3"/>
  <c r="Y14" i="3"/>
  <c r="F12" i="3"/>
  <c r="G12" i="3"/>
  <c r="H12" i="3"/>
  <c r="J12" i="3"/>
  <c r="K12" i="3"/>
  <c r="L12" i="3"/>
  <c r="M12" i="3"/>
  <c r="N12" i="3"/>
  <c r="Y12" i="3"/>
  <c r="F24" i="5"/>
  <c r="G24" i="5"/>
  <c r="H24" i="5"/>
  <c r="J24" i="5"/>
  <c r="K24" i="5"/>
  <c r="L24" i="5"/>
  <c r="M24" i="5"/>
  <c r="N24" i="5"/>
  <c r="AB24" i="5"/>
  <c r="B3" i="6"/>
  <c r="B4" i="6"/>
  <c r="B5" i="6"/>
  <c r="B6" i="6"/>
  <c r="B7" i="6"/>
  <c r="B8" i="6"/>
  <c r="B9" i="6"/>
  <c r="B10" i="6"/>
  <c r="B11" i="6"/>
  <c r="B12" i="6"/>
  <c r="B13" i="6"/>
  <c r="T3" i="4"/>
  <c r="T10" i="4"/>
  <c r="T24" i="4"/>
  <c r="T23" i="4"/>
  <c r="T11" i="4"/>
  <c r="T4" i="4"/>
  <c r="T13" i="4"/>
  <c r="T14" i="4"/>
  <c r="T5" i="4"/>
  <c r="T7" i="4"/>
  <c r="T12" i="4"/>
  <c r="T8" i="4"/>
  <c r="T25" i="4"/>
  <c r="T6" i="4"/>
  <c r="T9" i="4"/>
  <c r="T19" i="4"/>
  <c r="T18" i="4"/>
  <c r="T17" i="4"/>
  <c r="T21" i="4"/>
  <c r="T20" i="4"/>
  <c r="T27" i="4"/>
  <c r="T16" i="4"/>
  <c r="T22" i="4"/>
  <c r="T26" i="4"/>
  <c r="T15" i="4"/>
  <c r="AB32" i="5"/>
  <c r="Y11" i="3"/>
  <c r="Y9" i="3"/>
  <c r="Y7" i="3"/>
  <c r="Y13" i="3"/>
  <c r="Y3" i="3"/>
  <c r="Y8" i="3"/>
  <c r="Y15" i="3"/>
  <c r="Y16" i="3"/>
  <c r="Y17" i="3"/>
  <c r="Y5" i="3"/>
  <c r="Y4" i="3"/>
  <c r="Y10" i="3"/>
  <c r="Y6" i="3"/>
  <c r="AB28" i="5"/>
  <c r="AB23" i="5"/>
  <c r="AB21" i="5"/>
  <c r="AB33" i="5"/>
  <c r="AB19" i="5"/>
  <c r="AB31" i="5"/>
  <c r="AB16" i="5"/>
  <c r="AB17" i="5"/>
  <c r="AB18" i="5"/>
  <c r="AB20" i="5"/>
  <c r="AB25" i="5"/>
  <c r="AB8" i="5"/>
  <c r="AB6" i="5"/>
  <c r="AB9" i="5"/>
  <c r="AB34" i="5"/>
  <c r="AB10" i="5"/>
  <c r="AB7" i="5"/>
  <c r="AB29" i="5"/>
  <c r="AB30" i="5"/>
  <c r="AB14" i="5"/>
  <c r="AB5" i="5"/>
  <c r="AB3" i="5"/>
  <c r="AB4" i="5"/>
  <c r="AB13" i="5"/>
  <c r="AB12" i="5"/>
  <c r="AB15" i="5"/>
  <c r="AB11" i="5"/>
  <c r="AB26" i="5"/>
  <c r="AB22" i="5"/>
  <c r="AB27" i="5"/>
  <c r="AB19" i="6"/>
  <c r="AB20" i="6"/>
  <c r="AB21" i="6"/>
  <c r="AB22" i="6"/>
  <c r="AB23" i="6"/>
  <c r="AB24" i="6"/>
  <c r="AB25" i="6"/>
  <c r="AB26" i="6"/>
  <c r="AB27" i="6"/>
  <c r="AB28" i="6"/>
  <c r="AB31" i="6"/>
  <c r="AB29" i="6"/>
  <c r="AB30" i="6"/>
  <c r="AB3" i="6"/>
  <c r="AB6" i="6"/>
  <c r="AB4" i="6"/>
  <c r="AB5" i="6"/>
  <c r="AB7" i="6"/>
  <c r="AB8" i="6"/>
  <c r="AB9" i="6"/>
  <c r="AB10" i="6"/>
  <c r="AB11" i="6"/>
  <c r="AB12" i="6"/>
  <c r="AB13" i="6"/>
  <c r="F31" i="6"/>
  <c r="B31" i="6" s="1"/>
  <c r="G31" i="6"/>
  <c r="H31" i="6"/>
  <c r="J31" i="6"/>
  <c r="K31" i="6"/>
  <c r="L31" i="6"/>
  <c r="M31" i="6"/>
  <c r="N31" i="6"/>
  <c r="C10" i="7"/>
  <c r="C21" i="7" s="1"/>
  <c r="C34" i="7"/>
  <c r="C49" i="7" s="1"/>
  <c r="J3" i="2"/>
  <c r="G3" i="2"/>
  <c r="D3" i="2"/>
  <c r="N19" i="6"/>
  <c r="M19" i="6"/>
  <c r="L19" i="6"/>
  <c r="K19" i="6"/>
  <c r="J19" i="6"/>
  <c r="N22" i="6"/>
  <c r="M22" i="6"/>
  <c r="L22" i="6"/>
  <c r="K22" i="6"/>
  <c r="J22" i="6"/>
  <c r="N20" i="6"/>
  <c r="M20" i="6"/>
  <c r="L20" i="6"/>
  <c r="K20" i="6"/>
  <c r="J20" i="6"/>
  <c r="N21" i="6"/>
  <c r="M21" i="6"/>
  <c r="L21" i="6"/>
  <c r="K21" i="6"/>
  <c r="J21" i="6"/>
  <c r="N25" i="6"/>
  <c r="M25" i="6"/>
  <c r="L25" i="6"/>
  <c r="K25" i="6"/>
  <c r="J25" i="6"/>
  <c r="N23" i="6"/>
  <c r="M23" i="6"/>
  <c r="L23" i="6"/>
  <c r="K23" i="6"/>
  <c r="J23" i="6"/>
  <c r="N26" i="6"/>
  <c r="M26" i="6"/>
  <c r="L26" i="6"/>
  <c r="K26" i="6"/>
  <c r="J26" i="6"/>
  <c r="N27" i="6"/>
  <c r="M27" i="6"/>
  <c r="L27" i="6"/>
  <c r="K27" i="6"/>
  <c r="J27" i="6"/>
  <c r="N24" i="6"/>
  <c r="M24" i="6"/>
  <c r="L24" i="6"/>
  <c r="K24" i="6"/>
  <c r="J24" i="6"/>
  <c r="N28" i="6"/>
  <c r="M28" i="6"/>
  <c r="L28" i="6"/>
  <c r="K28" i="6"/>
  <c r="J28" i="6"/>
  <c r="N30" i="6"/>
  <c r="M30" i="6"/>
  <c r="L30" i="6"/>
  <c r="K30" i="6"/>
  <c r="J30" i="6"/>
  <c r="N29" i="6"/>
  <c r="M29" i="6"/>
  <c r="L29" i="6"/>
  <c r="K29" i="6"/>
  <c r="J29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5" i="6"/>
  <c r="M5" i="6"/>
  <c r="L5" i="6"/>
  <c r="K5" i="6"/>
  <c r="J5" i="6"/>
  <c r="N3" i="6"/>
  <c r="M3" i="6"/>
  <c r="L3" i="6"/>
  <c r="K3" i="6"/>
  <c r="J3" i="6"/>
  <c r="N8" i="6"/>
  <c r="M8" i="6"/>
  <c r="L8" i="6"/>
  <c r="K8" i="6"/>
  <c r="J8" i="6"/>
  <c r="N7" i="6"/>
  <c r="M7" i="6"/>
  <c r="L7" i="6"/>
  <c r="K7" i="6"/>
  <c r="J7" i="6"/>
  <c r="N13" i="6"/>
  <c r="M13" i="6"/>
  <c r="L13" i="6"/>
  <c r="K13" i="6"/>
  <c r="J13" i="6"/>
  <c r="N12" i="6"/>
  <c r="M12" i="6"/>
  <c r="L12" i="6"/>
  <c r="K12" i="6"/>
  <c r="J12" i="6"/>
  <c r="N6" i="6"/>
  <c r="M6" i="6"/>
  <c r="L6" i="6"/>
  <c r="K6" i="6"/>
  <c r="J6" i="6"/>
  <c r="N4" i="6"/>
  <c r="M4" i="6"/>
  <c r="L4" i="6"/>
  <c r="K4" i="6"/>
  <c r="J4" i="6"/>
  <c r="N33" i="5"/>
  <c r="M33" i="5"/>
  <c r="L33" i="5"/>
  <c r="K33" i="5"/>
  <c r="J33" i="5"/>
  <c r="N34" i="5"/>
  <c r="M34" i="5"/>
  <c r="L34" i="5"/>
  <c r="K34" i="5"/>
  <c r="J34" i="5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32" i="5"/>
  <c r="M32" i="5"/>
  <c r="L32" i="5"/>
  <c r="K32" i="5"/>
  <c r="J32" i="5"/>
  <c r="N26" i="5"/>
  <c r="M26" i="5"/>
  <c r="L26" i="5"/>
  <c r="K26" i="5"/>
  <c r="J26" i="5"/>
  <c r="N28" i="5"/>
  <c r="M28" i="5"/>
  <c r="L28" i="5"/>
  <c r="K28" i="5"/>
  <c r="J28" i="5"/>
  <c r="N12" i="5"/>
  <c r="M12" i="5"/>
  <c r="L12" i="5"/>
  <c r="K12" i="5"/>
  <c r="J12" i="5"/>
  <c r="N14" i="5"/>
  <c r="M14" i="5"/>
  <c r="L14" i="5"/>
  <c r="K14" i="5"/>
  <c r="J14" i="5"/>
  <c r="N25" i="5"/>
  <c r="M25" i="5"/>
  <c r="L25" i="5"/>
  <c r="K25" i="5"/>
  <c r="J25" i="5"/>
  <c r="N23" i="5"/>
  <c r="M23" i="5"/>
  <c r="L23" i="5"/>
  <c r="K23" i="5"/>
  <c r="J23" i="5"/>
  <c r="N27" i="5"/>
  <c r="M27" i="5"/>
  <c r="L27" i="5"/>
  <c r="K27" i="5"/>
  <c r="J27" i="5"/>
  <c r="N20" i="5"/>
  <c r="M20" i="5"/>
  <c r="L20" i="5"/>
  <c r="K20" i="5"/>
  <c r="J20" i="5"/>
  <c r="N19" i="5"/>
  <c r="M19" i="5"/>
  <c r="L19" i="5"/>
  <c r="K19" i="5"/>
  <c r="J19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6" i="5"/>
  <c r="M6" i="5"/>
  <c r="L6" i="5"/>
  <c r="K6" i="5"/>
  <c r="J6" i="5"/>
  <c r="N13" i="5"/>
  <c r="M13" i="5"/>
  <c r="L13" i="5"/>
  <c r="K13" i="5"/>
  <c r="J13" i="5"/>
  <c r="N22" i="5"/>
  <c r="M22" i="5"/>
  <c r="L22" i="5"/>
  <c r="K22" i="5"/>
  <c r="J22" i="5"/>
  <c r="N21" i="5"/>
  <c r="M21" i="5"/>
  <c r="L21" i="5"/>
  <c r="K21" i="5"/>
  <c r="J21" i="5"/>
  <c r="N10" i="5"/>
  <c r="M10" i="5"/>
  <c r="L10" i="5"/>
  <c r="K10" i="5"/>
  <c r="J10" i="5"/>
  <c r="N9" i="5"/>
  <c r="M9" i="5"/>
  <c r="L9" i="5"/>
  <c r="K9" i="5"/>
  <c r="J9" i="5"/>
  <c r="N18" i="5"/>
  <c r="M18" i="5"/>
  <c r="L18" i="5"/>
  <c r="K18" i="5"/>
  <c r="J18" i="5"/>
  <c r="N8" i="5"/>
  <c r="M8" i="5"/>
  <c r="L8" i="5"/>
  <c r="K8" i="5"/>
  <c r="J8" i="5"/>
  <c r="N7" i="5"/>
  <c r="M7" i="5"/>
  <c r="L7" i="5"/>
  <c r="K7" i="5"/>
  <c r="J7" i="5"/>
  <c r="N5" i="5"/>
  <c r="M5" i="5"/>
  <c r="L5" i="5"/>
  <c r="K5" i="5"/>
  <c r="J5" i="5"/>
  <c r="N3" i="5"/>
  <c r="M3" i="5"/>
  <c r="L3" i="5"/>
  <c r="K3" i="5"/>
  <c r="J3" i="5"/>
  <c r="N4" i="5"/>
  <c r="M4" i="5"/>
  <c r="L4" i="5"/>
  <c r="K4" i="5"/>
  <c r="J4" i="5"/>
  <c r="N11" i="5"/>
  <c r="M11" i="5"/>
  <c r="L11" i="5"/>
  <c r="K11" i="5"/>
  <c r="J11" i="5"/>
  <c r="N7" i="3"/>
  <c r="M7" i="3"/>
  <c r="L7" i="3"/>
  <c r="K7" i="3"/>
  <c r="J7" i="3"/>
  <c r="N17" i="3"/>
  <c r="M17" i="3"/>
  <c r="L17" i="3"/>
  <c r="K17" i="3"/>
  <c r="J17" i="3"/>
  <c r="N10" i="3"/>
  <c r="M10" i="3"/>
  <c r="L10" i="3"/>
  <c r="K10" i="3"/>
  <c r="J10" i="3"/>
  <c r="N8" i="3"/>
  <c r="M8" i="3"/>
  <c r="L8" i="3"/>
  <c r="K8" i="3"/>
  <c r="J8" i="3"/>
  <c r="N5" i="3"/>
  <c r="M5" i="3"/>
  <c r="L5" i="3"/>
  <c r="K5" i="3"/>
  <c r="J5" i="3"/>
  <c r="N15" i="3"/>
  <c r="M15" i="3"/>
  <c r="L15" i="3"/>
  <c r="K15" i="3"/>
  <c r="J15" i="3"/>
  <c r="N9" i="3"/>
  <c r="M9" i="3"/>
  <c r="L9" i="3"/>
  <c r="K9" i="3"/>
  <c r="J9" i="3"/>
  <c r="N3" i="3"/>
  <c r="M3" i="3"/>
  <c r="L3" i="3"/>
  <c r="K3" i="3"/>
  <c r="J3" i="3"/>
  <c r="N13" i="3"/>
  <c r="M13" i="3"/>
  <c r="L13" i="3"/>
  <c r="K13" i="3"/>
  <c r="J13" i="3"/>
  <c r="N6" i="3"/>
  <c r="M6" i="3"/>
  <c r="L6" i="3"/>
  <c r="K6" i="3"/>
  <c r="J6" i="3"/>
  <c r="N4" i="3"/>
  <c r="M4" i="3"/>
  <c r="L4" i="3"/>
  <c r="K4" i="3"/>
  <c r="J4" i="3"/>
  <c r="N16" i="3"/>
  <c r="M16" i="3"/>
  <c r="L16" i="3"/>
  <c r="K16" i="3"/>
  <c r="J16" i="3"/>
  <c r="N11" i="3"/>
  <c r="M11" i="3"/>
  <c r="L11" i="3"/>
  <c r="K11" i="3"/>
  <c r="J11" i="3"/>
  <c r="N26" i="4"/>
  <c r="M26" i="4"/>
  <c r="L26" i="4"/>
  <c r="K26" i="4"/>
  <c r="J26" i="4"/>
  <c r="N27" i="4"/>
  <c r="M27" i="4"/>
  <c r="L27" i="4"/>
  <c r="K27" i="4"/>
  <c r="J27" i="4"/>
  <c r="N22" i="4"/>
  <c r="M22" i="4"/>
  <c r="L22" i="4"/>
  <c r="K22" i="4"/>
  <c r="J22" i="4"/>
  <c r="N20" i="4"/>
  <c r="M20" i="4"/>
  <c r="L20" i="4"/>
  <c r="K20" i="4"/>
  <c r="J20" i="4"/>
  <c r="N21" i="4"/>
  <c r="M21" i="4"/>
  <c r="L21" i="4"/>
  <c r="K21" i="4"/>
  <c r="J21" i="4"/>
  <c r="N18" i="4"/>
  <c r="M18" i="4"/>
  <c r="L18" i="4"/>
  <c r="K18" i="4"/>
  <c r="J18" i="4"/>
  <c r="N16" i="4"/>
  <c r="M16" i="4"/>
  <c r="L16" i="4"/>
  <c r="K16" i="4"/>
  <c r="J16" i="4"/>
  <c r="N17" i="4"/>
  <c r="M17" i="4"/>
  <c r="L17" i="4"/>
  <c r="K17" i="4"/>
  <c r="J17" i="4"/>
  <c r="N13" i="4"/>
  <c r="M13" i="4"/>
  <c r="L13" i="4"/>
  <c r="K13" i="4"/>
  <c r="J13" i="4"/>
  <c r="N19" i="4"/>
  <c r="M19" i="4"/>
  <c r="L19" i="4"/>
  <c r="K19" i="4"/>
  <c r="J19" i="4"/>
  <c r="N12" i="4"/>
  <c r="M12" i="4"/>
  <c r="L12" i="4"/>
  <c r="K12" i="4"/>
  <c r="J12" i="4"/>
  <c r="N25" i="4"/>
  <c r="M25" i="4"/>
  <c r="L25" i="4"/>
  <c r="K25" i="4"/>
  <c r="J25" i="4"/>
  <c r="N15" i="4"/>
  <c r="M15" i="4"/>
  <c r="L15" i="4"/>
  <c r="K15" i="4"/>
  <c r="J15" i="4"/>
  <c r="N24" i="4"/>
  <c r="M24" i="4"/>
  <c r="L24" i="4"/>
  <c r="K24" i="4"/>
  <c r="J24" i="4"/>
  <c r="N9" i="4"/>
  <c r="M9" i="4"/>
  <c r="L9" i="4"/>
  <c r="K9" i="4"/>
  <c r="J9" i="4"/>
  <c r="N8" i="4"/>
  <c r="M8" i="4"/>
  <c r="L8" i="4"/>
  <c r="K8" i="4"/>
  <c r="J8" i="4"/>
  <c r="N14" i="4"/>
  <c r="M14" i="4"/>
  <c r="L14" i="4"/>
  <c r="K14" i="4"/>
  <c r="J14" i="4"/>
  <c r="N11" i="4"/>
  <c r="M11" i="4"/>
  <c r="L11" i="4"/>
  <c r="K11" i="4"/>
  <c r="J11" i="4"/>
  <c r="N23" i="4"/>
  <c r="M23" i="4"/>
  <c r="L23" i="4"/>
  <c r="K23" i="4"/>
  <c r="J23" i="4"/>
  <c r="N5" i="4"/>
  <c r="M5" i="4"/>
  <c r="L5" i="4"/>
  <c r="K5" i="4"/>
  <c r="J5" i="4"/>
  <c r="N7" i="4"/>
  <c r="M7" i="4"/>
  <c r="L7" i="4"/>
  <c r="K7" i="4"/>
  <c r="J7" i="4"/>
  <c r="N10" i="4"/>
  <c r="M10" i="4"/>
  <c r="L10" i="4"/>
  <c r="K10" i="4"/>
  <c r="J10" i="4"/>
  <c r="N6" i="4"/>
  <c r="M6" i="4"/>
  <c r="L6" i="4"/>
  <c r="K6" i="4"/>
  <c r="J6" i="4"/>
  <c r="N4" i="4"/>
  <c r="M4" i="4"/>
  <c r="L4" i="4"/>
  <c r="K4" i="4"/>
  <c r="J4" i="4"/>
  <c r="N3" i="4"/>
  <c r="M3" i="4"/>
  <c r="L3" i="4"/>
  <c r="K3" i="4"/>
  <c r="J3" i="4"/>
  <c r="H33" i="5"/>
  <c r="G33" i="5"/>
  <c r="F33" i="5"/>
  <c r="B33" i="5" s="1"/>
  <c r="H34" i="5"/>
  <c r="G34" i="5"/>
  <c r="F34" i="5"/>
  <c r="B34" i="5" s="1"/>
  <c r="H31" i="5"/>
  <c r="G31" i="5"/>
  <c r="F31" i="5"/>
  <c r="B31" i="5" s="1"/>
  <c r="H30" i="5"/>
  <c r="G30" i="5"/>
  <c r="F30" i="5"/>
  <c r="B30" i="5" s="1"/>
  <c r="H29" i="5"/>
  <c r="G29" i="5"/>
  <c r="F29" i="5"/>
  <c r="B29" i="5" s="1"/>
  <c r="H32" i="5"/>
  <c r="G32" i="5"/>
  <c r="F32" i="5"/>
  <c r="B32" i="5" s="1"/>
  <c r="H26" i="5"/>
  <c r="G26" i="5"/>
  <c r="F26" i="5"/>
  <c r="B26" i="5" s="1"/>
  <c r="H28" i="5"/>
  <c r="G28" i="5"/>
  <c r="F28" i="5"/>
  <c r="B28" i="5" s="1"/>
  <c r="H12" i="5"/>
  <c r="G12" i="5"/>
  <c r="F12" i="5"/>
  <c r="B12" i="5" s="1"/>
  <c r="H14" i="5"/>
  <c r="G14" i="5"/>
  <c r="F14" i="5"/>
  <c r="B14" i="5" s="1"/>
  <c r="H25" i="5"/>
  <c r="G25" i="5"/>
  <c r="F25" i="5"/>
  <c r="B25" i="5" s="1"/>
  <c r="H23" i="5"/>
  <c r="G23" i="5"/>
  <c r="F23" i="5"/>
  <c r="H27" i="5"/>
  <c r="G27" i="5"/>
  <c r="F27" i="5"/>
  <c r="B27" i="5" s="1"/>
  <c r="H20" i="5"/>
  <c r="G20" i="5"/>
  <c r="F20" i="5"/>
  <c r="B20" i="5" s="1"/>
  <c r="H19" i="5"/>
  <c r="G19" i="5"/>
  <c r="F19" i="5"/>
  <c r="B19" i="5" s="1"/>
  <c r="H17" i="5"/>
  <c r="G17" i="5"/>
  <c r="F17" i="5"/>
  <c r="B17" i="5" s="1"/>
  <c r="H16" i="5"/>
  <c r="G16" i="5"/>
  <c r="F16" i="5"/>
  <c r="B16" i="5" s="1"/>
  <c r="H15" i="5"/>
  <c r="G15" i="5"/>
  <c r="F15" i="5"/>
  <c r="B15" i="5" s="1"/>
  <c r="H6" i="5"/>
  <c r="G6" i="5"/>
  <c r="F6" i="5"/>
  <c r="B6" i="5" s="1"/>
  <c r="H13" i="5"/>
  <c r="G13" i="5"/>
  <c r="F13" i="5"/>
  <c r="B13" i="5" s="1"/>
  <c r="H22" i="5"/>
  <c r="G22" i="5"/>
  <c r="F22" i="5"/>
  <c r="B22" i="5" s="1"/>
  <c r="H21" i="5"/>
  <c r="G21" i="5"/>
  <c r="F21" i="5"/>
  <c r="B21" i="5" s="1"/>
  <c r="H10" i="5"/>
  <c r="G10" i="5"/>
  <c r="F10" i="5"/>
  <c r="B10" i="5" s="1"/>
  <c r="H9" i="5"/>
  <c r="G9" i="5"/>
  <c r="F9" i="5"/>
  <c r="B9" i="5" s="1"/>
  <c r="H18" i="5"/>
  <c r="G18" i="5"/>
  <c r="F18" i="5"/>
  <c r="H8" i="5"/>
  <c r="G8" i="5"/>
  <c r="F8" i="5"/>
  <c r="B8" i="5" s="1"/>
  <c r="H7" i="5"/>
  <c r="G7" i="5"/>
  <c r="F7" i="5"/>
  <c r="B7" i="5" s="1"/>
  <c r="H5" i="5"/>
  <c r="G5" i="5"/>
  <c r="F5" i="5"/>
  <c r="B5" i="5" s="1"/>
  <c r="H3" i="5"/>
  <c r="G3" i="5"/>
  <c r="F3" i="5"/>
  <c r="B3" i="5" s="1"/>
  <c r="H4" i="5"/>
  <c r="G4" i="5"/>
  <c r="F4" i="5"/>
  <c r="B4" i="5" s="1"/>
  <c r="H11" i="5"/>
  <c r="G11" i="5"/>
  <c r="F11" i="5"/>
  <c r="B11" i="5" s="1"/>
  <c r="H4" i="6"/>
  <c r="H30" i="6"/>
  <c r="G30" i="6"/>
  <c r="F30" i="6"/>
  <c r="B30" i="6" s="1"/>
  <c r="H29" i="6"/>
  <c r="G29" i="6"/>
  <c r="F29" i="6"/>
  <c r="B29" i="6" s="1"/>
  <c r="H28" i="6"/>
  <c r="G28" i="6"/>
  <c r="F28" i="6"/>
  <c r="B28" i="6" s="1"/>
  <c r="H27" i="6"/>
  <c r="G27" i="6"/>
  <c r="F27" i="6"/>
  <c r="B27" i="6" s="1"/>
  <c r="H26" i="6"/>
  <c r="G26" i="6"/>
  <c r="F26" i="6"/>
  <c r="B26" i="6" s="1"/>
  <c r="H25" i="6"/>
  <c r="G25" i="6"/>
  <c r="F25" i="6"/>
  <c r="B25" i="6" s="1"/>
  <c r="H24" i="6"/>
  <c r="G24" i="6"/>
  <c r="F24" i="6"/>
  <c r="B24" i="6" s="1"/>
  <c r="H23" i="6"/>
  <c r="G23" i="6"/>
  <c r="F23" i="6"/>
  <c r="B23" i="6" s="1"/>
  <c r="H22" i="6"/>
  <c r="G22" i="6"/>
  <c r="F22" i="6"/>
  <c r="B22" i="6" s="1"/>
  <c r="H21" i="6"/>
  <c r="G21" i="6"/>
  <c r="F21" i="6"/>
  <c r="B21" i="6" s="1"/>
  <c r="H20" i="6"/>
  <c r="G20" i="6"/>
  <c r="F20" i="6"/>
  <c r="B20" i="6" s="1"/>
  <c r="H19" i="6"/>
  <c r="G19" i="6"/>
  <c r="F19" i="6"/>
  <c r="B19" i="6" s="1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5" i="6"/>
  <c r="G5" i="6"/>
  <c r="F5" i="6"/>
  <c r="G4" i="6"/>
  <c r="F4" i="6"/>
  <c r="H6" i="6"/>
  <c r="G6" i="6"/>
  <c r="F6" i="6"/>
  <c r="H3" i="6"/>
  <c r="G3" i="6"/>
  <c r="F3" i="6"/>
  <c r="H27" i="4"/>
  <c r="G27" i="4"/>
  <c r="F27" i="4"/>
  <c r="B27" i="4" s="1"/>
  <c r="H26" i="4"/>
  <c r="G26" i="4"/>
  <c r="F26" i="4"/>
  <c r="B26" i="4" s="1"/>
  <c r="H13" i="4"/>
  <c r="G13" i="4"/>
  <c r="F13" i="4"/>
  <c r="B13" i="4" s="1"/>
  <c r="H22" i="4"/>
  <c r="G22" i="4"/>
  <c r="F22" i="4"/>
  <c r="B22" i="4" s="1"/>
  <c r="H21" i="4"/>
  <c r="G21" i="4"/>
  <c r="F21" i="4"/>
  <c r="B21" i="4" s="1"/>
  <c r="H20" i="4"/>
  <c r="G20" i="4"/>
  <c r="F20" i="4"/>
  <c r="B20" i="4" s="1"/>
  <c r="H9" i="4"/>
  <c r="G9" i="4"/>
  <c r="F9" i="4"/>
  <c r="B9" i="4" s="1"/>
  <c r="H19" i="4"/>
  <c r="G19" i="4"/>
  <c r="F19" i="4"/>
  <c r="B19" i="4" s="1"/>
  <c r="H8" i="4"/>
  <c r="G8" i="4"/>
  <c r="F8" i="4"/>
  <c r="B8" i="4" s="1"/>
  <c r="H12" i="4"/>
  <c r="G12" i="4"/>
  <c r="F12" i="4"/>
  <c r="B12" i="4" s="1"/>
  <c r="H11" i="4"/>
  <c r="G11" i="4"/>
  <c r="F11" i="4"/>
  <c r="B11" i="4" s="1"/>
  <c r="H18" i="4"/>
  <c r="G18" i="4"/>
  <c r="F18" i="4"/>
  <c r="B18" i="4" s="1"/>
  <c r="H17" i="4"/>
  <c r="G17" i="4"/>
  <c r="F17" i="4"/>
  <c r="B17" i="4" s="1"/>
  <c r="H16" i="4"/>
  <c r="G16" i="4"/>
  <c r="F16" i="4"/>
  <c r="B16" i="4" s="1"/>
  <c r="H15" i="4"/>
  <c r="G15" i="4"/>
  <c r="F15" i="4"/>
  <c r="B15" i="4" s="1"/>
  <c r="H5" i="4"/>
  <c r="G5" i="4"/>
  <c r="F5" i="4"/>
  <c r="B5" i="4" s="1"/>
  <c r="H25" i="4"/>
  <c r="G25" i="4"/>
  <c r="F25" i="4"/>
  <c r="B25" i="4" s="1"/>
  <c r="H7" i="4"/>
  <c r="G7" i="4"/>
  <c r="F7" i="4"/>
  <c r="B7" i="4" s="1"/>
  <c r="H4" i="4"/>
  <c r="G4" i="4"/>
  <c r="F4" i="4"/>
  <c r="B4" i="4" s="1"/>
  <c r="H14" i="4"/>
  <c r="G14" i="4"/>
  <c r="F14" i="4"/>
  <c r="B14" i="4" s="1"/>
  <c r="H6" i="4"/>
  <c r="G6" i="4"/>
  <c r="F6" i="4"/>
  <c r="B6" i="4" s="1"/>
  <c r="H24" i="4"/>
  <c r="G24" i="4"/>
  <c r="F24" i="4"/>
  <c r="B24" i="4" s="1"/>
  <c r="H3" i="4"/>
  <c r="G3" i="4"/>
  <c r="F3" i="4"/>
  <c r="B3" i="4" s="1"/>
  <c r="H23" i="4"/>
  <c r="G23" i="4"/>
  <c r="F23" i="4"/>
  <c r="B23" i="4" s="1"/>
  <c r="H10" i="4"/>
  <c r="G10" i="4"/>
  <c r="F10" i="4"/>
  <c r="B10" i="4" s="1"/>
  <c r="H17" i="3"/>
  <c r="G17" i="3"/>
  <c r="F17" i="3"/>
  <c r="H15" i="3"/>
  <c r="G15" i="3"/>
  <c r="F15" i="3"/>
  <c r="H16" i="3"/>
  <c r="G16" i="3"/>
  <c r="F16" i="3"/>
  <c r="H10" i="3"/>
  <c r="G10" i="3"/>
  <c r="F10" i="3"/>
  <c r="H11" i="3"/>
  <c r="G11" i="3"/>
  <c r="F11" i="3"/>
  <c r="H7" i="3"/>
  <c r="G7" i="3"/>
  <c r="F7" i="3"/>
  <c r="H13" i="3"/>
  <c r="G13" i="3"/>
  <c r="F13" i="3"/>
  <c r="H9" i="3"/>
  <c r="G9" i="3"/>
  <c r="F9" i="3"/>
  <c r="H5" i="3"/>
  <c r="G5" i="3"/>
  <c r="F5" i="3"/>
  <c r="B5" i="3" s="1"/>
  <c r="H8" i="3"/>
  <c r="G8" i="3"/>
  <c r="F8" i="3"/>
  <c r="H4" i="3"/>
  <c r="G4" i="3"/>
  <c r="F4" i="3"/>
  <c r="B4" i="3" s="1"/>
  <c r="H6" i="3"/>
  <c r="G6" i="3"/>
  <c r="F6" i="3"/>
  <c r="B6" i="3" s="1"/>
  <c r="H3" i="3"/>
  <c r="G3" i="3"/>
  <c r="F3" i="3"/>
  <c r="H9" i="2"/>
  <c r="E9" i="2"/>
  <c r="D9" i="2"/>
  <c r="C9" i="2"/>
  <c r="H8" i="2"/>
  <c r="J9" i="2" s="1"/>
  <c r="E8" i="2"/>
  <c r="G9" i="2" s="1"/>
  <c r="D8" i="2"/>
  <c r="C8" i="2"/>
  <c r="H7" i="2"/>
  <c r="E7" i="2"/>
  <c r="D7" i="2"/>
  <c r="C7" i="2"/>
  <c r="H6" i="2"/>
  <c r="E6" i="2"/>
  <c r="D6" i="2"/>
  <c r="C6" i="2"/>
  <c r="H5" i="2"/>
  <c r="E5" i="2"/>
  <c r="G6" i="2" s="1"/>
  <c r="D5" i="2"/>
  <c r="C5" i="2"/>
  <c r="H4" i="2"/>
  <c r="I4" i="2" s="1"/>
  <c r="E4" i="2"/>
  <c r="D4" i="2"/>
  <c r="C4" i="2"/>
  <c r="H3" i="2"/>
  <c r="E3" i="2"/>
  <c r="C3" i="2"/>
  <c r="B9" i="3" l="1"/>
  <c r="B16" i="3"/>
  <c r="B12" i="3"/>
  <c r="B11" i="3"/>
  <c r="B7" i="3"/>
  <c r="B15" i="3"/>
  <c r="B13" i="3"/>
  <c r="B8" i="3"/>
  <c r="B17" i="3"/>
  <c r="B3" i="3"/>
  <c r="B10" i="3"/>
  <c r="B18" i="5"/>
  <c r="B24" i="5"/>
  <c r="B23" i="5"/>
  <c r="C27" i="7"/>
  <c r="C25" i="7"/>
  <c r="C26" i="7"/>
  <c r="F34" i="7"/>
  <c r="F44" i="7" s="1"/>
  <c r="I34" i="7"/>
  <c r="I47" i="7" s="1"/>
  <c r="L34" i="7"/>
  <c r="L53" i="7" s="1"/>
  <c r="O34" i="7"/>
  <c r="O44" i="7" s="1"/>
  <c r="C50" i="7"/>
  <c r="C35" i="7"/>
  <c r="C51" i="7"/>
  <c r="C36" i="7"/>
  <c r="C37" i="7"/>
  <c r="C52" i="7"/>
  <c r="C48" i="7"/>
  <c r="C38" i="7"/>
  <c r="C53" i="7"/>
  <c r="C39" i="7"/>
  <c r="C55" i="7"/>
  <c r="C45" i="7"/>
  <c r="C40" i="7"/>
  <c r="C46" i="7"/>
  <c r="C41" i="7"/>
  <c r="C47" i="7"/>
  <c r="C42" i="7"/>
  <c r="C43" i="7"/>
  <c r="C54" i="7"/>
  <c r="C44" i="7"/>
  <c r="C11" i="7"/>
  <c r="C22" i="7" s="1"/>
  <c r="C12" i="7"/>
  <c r="C13" i="7"/>
  <c r="C16" i="7"/>
  <c r="C17" i="7"/>
  <c r="C18" i="7"/>
  <c r="C14" i="7"/>
  <c r="C19" i="7"/>
  <c r="C20" i="7"/>
  <c r="C15" i="7"/>
  <c r="J6" i="2"/>
  <c r="G8" i="2"/>
  <c r="J7" i="2"/>
  <c r="J8" i="2"/>
  <c r="J4" i="2"/>
  <c r="G4" i="2"/>
  <c r="G7" i="2"/>
  <c r="F8" i="2"/>
  <c r="I3" i="2"/>
  <c r="F3" i="2"/>
  <c r="G5" i="2"/>
  <c r="I8" i="2"/>
  <c r="I5" i="2"/>
  <c r="F4" i="2"/>
  <c r="J5" i="2"/>
  <c r="F7" i="2"/>
  <c r="I7" i="2"/>
  <c r="F6" i="2"/>
  <c r="F9" i="2"/>
  <c r="I9" i="2"/>
  <c r="I6" i="2"/>
  <c r="F5" i="2"/>
  <c r="F39" i="7" l="1"/>
  <c r="L40" i="7"/>
  <c r="I54" i="7"/>
  <c r="L50" i="7"/>
  <c r="L35" i="7"/>
  <c r="I53" i="7"/>
  <c r="L55" i="7"/>
  <c r="L41" i="7"/>
  <c r="F36" i="7"/>
  <c r="L37" i="7"/>
  <c r="L42" i="7"/>
  <c r="L51" i="7"/>
  <c r="F49" i="7"/>
  <c r="F41" i="7"/>
  <c r="I46" i="7"/>
  <c r="L38" i="7"/>
  <c r="L49" i="7"/>
  <c r="L45" i="7"/>
  <c r="L43" i="7"/>
  <c r="I38" i="7"/>
  <c r="F42" i="7"/>
  <c r="F37" i="7"/>
  <c r="I35" i="7"/>
  <c r="F46" i="7"/>
  <c r="L48" i="7"/>
  <c r="L44" i="7"/>
  <c r="L47" i="7"/>
  <c r="L54" i="7"/>
  <c r="F47" i="7"/>
  <c r="I40" i="7"/>
  <c r="I36" i="7"/>
  <c r="F52" i="7"/>
  <c r="I37" i="7"/>
  <c r="L52" i="7"/>
  <c r="L36" i="7"/>
  <c r="I52" i="7"/>
  <c r="F43" i="7"/>
  <c r="L39" i="7"/>
  <c r="F55" i="7"/>
  <c r="I44" i="7"/>
  <c r="I42" i="7"/>
  <c r="I39" i="7"/>
  <c r="I41" i="7"/>
  <c r="I49" i="7"/>
  <c r="I43" i="7"/>
  <c r="I50" i="7"/>
  <c r="F35" i="7"/>
  <c r="F54" i="7"/>
  <c r="I51" i="7"/>
  <c r="F38" i="7"/>
  <c r="I45" i="7"/>
  <c r="I55" i="7"/>
  <c r="F45" i="7"/>
  <c r="F40" i="7"/>
  <c r="I48" i="7"/>
  <c r="F50" i="7"/>
  <c r="F53" i="7"/>
  <c r="F51" i="7"/>
  <c r="F48" i="7"/>
  <c r="L46" i="7"/>
  <c r="O50" i="7"/>
  <c r="O40" i="7"/>
  <c r="O45" i="7"/>
  <c r="O43" i="7"/>
  <c r="O54" i="7"/>
  <c r="O35" i="7"/>
  <c r="O42" i="7"/>
  <c r="O41" i="7"/>
  <c r="O51" i="7"/>
  <c r="O36" i="7"/>
  <c r="O38" i="7"/>
  <c r="O52" i="7"/>
  <c r="O46" i="7"/>
  <c r="O55" i="7"/>
  <c r="O49" i="7"/>
  <c r="O39" i="7"/>
  <c r="O37" i="7"/>
  <c r="O53" i="7"/>
  <c r="O47" i="7"/>
  <c r="O48" i="7"/>
  <c r="C24" i="7"/>
  <c r="C23" i="7"/>
  <c r="F19" i="7" l="1"/>
  <c r="F22" i="7" s="1"/>
  <c r="I29" i="7"/>
  <c r="L14" i="7" s="1"/>
  <c r="I28" i="7"/>
  <c r="L13" i="7" s="1"/>
  <c r="F12" i="7"/>
  <c r="F14" i="7" s="1"/>
  <c r="I19" i="7"/>
  <c r="I20" i="7" s="1"/>
  <c r="I30" i="7"/>
  <c r="L15" i="7" s="1"/>
  <c r="I27" i="7"/>
  <c r="L12" i="7" s="1"/>
  <c r="I12" i="7"/>
  <c r="I13" i="7" s="1"/>
  <c r="I31" i="7"/>
  <c r="L16" i="7" s="1"/>
  <c r="F26" i="7"/>
  <c r="F25" i="7" s="1"/>
  <c r="I25" i="7"/>
  <c r="I26" i="7"/>
  <c r="L11" i="7" s="1"/>
  <c r="F18" i="7" l="1"/>
  <c r="F23" i="7"/>
  <c r="F21" i="7"/>
  <c r="F20" i="7"/>
  <c r="I22" i="7"/>
  <c r="I23" i="7"/>
  <c r="I21" i="7"/>
  <c r="I18" i="7"/>
  <c r="F29" i="7"/>
  <c r="F15" i="7"/>
  <c r="F11" i="7"/>
  <c r="F27" i="7"/>
  <c r="F16" i="7"/>
  <c r="F13" i="7"/>
  <c r="F28" i="7"/>
  <c r="I16" i="7"/>
  <c r="F30" i="7"/>
  <c r="I11" i="7"/>
  <c r="I14" i="7"/>
  <c r="I15" i="7"/>
</calcChain>
</file>

<file path=xl/sharedStrings.xml><?xml version="1.0" encoding="utf-8"?>
<sst xmlns="http://schemas.openxmlformats.org/spreadsheetml/2006/main" count="914" uniqueCount="319">
  <si>
    <t>Destructibility</t>
  </si>
  <si>
    <t>Explosive Destructibility</t>
  </si>
  <si>
    <t>Material</t>
  </si>
  <si>
    <t>Aramid</t>
  </si>
  <si>
    <t>Combined Materials</t>
  </si>
  <si>
    <t>Titan</t>
  </si>
  <si>
    <t>Ceramic</t>
  </si>
  <si>
    <t>Glass</t>
  </si>
  <si>
    <t>Armor Steel</t>
  </si>
  <si>
    <t>Repairability</t>
  </si>
  <si>
    <t>Very Good</t>
  </si>
  <si>
    <t>Good</t>
  </si>
  <si>
    <t>Average</t>
  </si>
  <si>
    <t>Aluminium</t>
  </si>
  <si>
    <t>Bad</t>
  </si>
  <si>
    <t>Very Bad</t>
  </si>
  <si>
    <t>Body Armor</t>
  </si>
  <si>
    <t>Armor</t>
  </si>
  <si>
    <t>Durability</t>
  </si>
  <si>
    <t>Effective Durability</t>
  </si>
  <si>
    <t>Armor Level</t>
  </si>
  <si>
    <t>% durability</t>
  </si>
  <si>
    <t>Explosive Durability</t>
  </si>
  <si>
    <t>&lt; lvl 5</t>
  </si>
  <si>
    <t>&lt; lvl 4</t>
  </si>
  <si>
    <t>&lt; lvl 3</t>
  </si>
  <si>
    <t>&lt; lvl 2</t>
  </si>
  <si>
    <t>&lt; lvl 1</t>
  </si>
  <si>
    <t>Turn Speed</t>
  </si>
  <si>
    <t>Movement Speed</t>
  </si>
  <si>
    <t>Ergonomics</t>
  </si>
  <si>
    <t>Weight</t>
  </si>
  <si>
    <t>Stomach</t>
  </si>
  <si>
    <t>Arms</t>
  </si>
  <si>
    <t>UHMWPE</t>
  </si>
  <si>
    <t>Armor Level 6</t>
  </si>
  <si>
    <t>Armor Level 5</t>
  </si>
  <si>
    <t>Armor Level 4</t>
  </si>
  <si>
    <t>Armor Level 3</t>
  </si>
  <si>
    <t>Armor Level 2</t>
  </si>
  <si>
    <t>Armored Rigs</t>
  </si>
  <si>
    <t>1 Slots</t>
  </si>
  <si>
    <t>2 Slots</t>
  </si>
  <si>
    <t>3 Slots</t>
  </si>
  <si>
    <t>4 Slots</t>
  </si>
  <si>
    <t>Total Slots</t>
  </si>
  <si>
    <t>Nape</t>
  </si>
  <si>
    <t>Ears</t>
  </si>
  <si>
    <t>Eyes</t>
  </si>
  <si>
    <t>Jaws</t>
  </si>
  <si>
    <t>Helmet</t>
  </si>
  <si>
    <t>Ricochet chance</t>
  </si>
  <si>
    <t>Sound reduction</t>
  </si>
  <si>
    <t>Blocks Headset</t>
  </si>
  <si>
    <t>SSSh-95 Sfera-S</t>
  </si>
  <si>
    <t>High</t>
  </si>
  <si>
    <t>Medium</t>
  </si>
  <si>
    <t>None</t>
  </si>
  <si>
    <t>Low</t>
  </si>
  <si>
    <t>Blocks Eyeware</t>
  </si>
  <si>
    <t>Blindness Protection</t>
  </si>
  <si>
    <t>Kiver face shield</t>
  </si>
  <si>
    <t>K1S visor</t>
  </si>
  <si>
    <t>ZSH-1-2M face shield</t>
  </si>
  <si>
    <t>LShZ-2DTM face shield</t>
  </si>
  <si>
    <t>Vulkan-5 face shield</t>
  </si>
  <si>
    <t>Altyn face shield</t>
  </si>
  <si>
    <t>Rys-T face shield</t>
  </si>
  <si>
    <t>Visor</t>
  </si>
  <si>
    <t>Visors</t>
  </si>
  <si>
    <t>Durability where the armor acts identically or worse than a level n armor</t>
  </si>
  <si>
    <t>Helmets and masks</t>
  </si>
  <si>
    <t>Sources: Tarkov Wiki, Veritas' BattleBuddy, Gigabeef</t>
  </si>
  <si>
    <t>Overall value</t>
  </si>
  <si>
    <t>Measured with ANA Tactical Aplha rig</t>
  </si>
  <si>
    <t xml:space="preserve">   % of all </t>
  </si>
  <si>
    <t xml:space="preserve">9x19mm  </t>
  </si>
  <si>
    <t xml:space="preserve">5.45x39mm </t>
  </si>
  <si>
    <t>BT</t>
  </si>
  <si>
    <t xml:space="preserve">5.56x45mm </t>
  </si>
  <si>
    <t>M855A1</t>
  </si>
  <si>
    <t xml:space="preserve">7.62x39mm </t>
  </si>
  <si>
    <t>BP</t>
  </si>
  <si>
    <t>PS</t>
  </si>
  <si>
    <t xml:space="preserve">7.62x51mm </t>
  </si>
  <si>
    <t>M61</t>
  </si>
  <si>
    <t>AP 6.3</t>
  </si>
  <si>
    <t>M856A1</t>
  </si>
  <si>
    <t>BS</t>
  </si>
  <si>
    <t>M80</t>
  </si>
  <si>
    <t>M995</t>
  </si>
  <si>
    <t xml:space="preserve">12x70mm </t>
  </si>
  <si>
    <t>AP-20</t>
  </si>
  <si>
    <t xml:space="preserve">7.62x54mmR </t>
  </si>
  <si>
    <t>SNB</t>
  </si>
  <si>
    <t>M855</t>
  </si>
  <si>
    <t>M856</t>
  </si>
  <si>
    <t>7.62x51mm</t>
  </si>
  <si>
    <t>M62</t>
  </si>
  <si>
    <t>5.45x39mm</t>
  </si>
  <si>
    <t>8.5mm Magnum</t>
  </si>
  <si>
    <t xml:space="preserve">6.5mm </t>
  </si>
  <si>
    <t>7mm</t>
  </si>
  <si>
    <t>AP SX</t>
  </si>
  <si>
    <t>FMJ SX</t>
  </si>
  <si>
    <t>Subsonic SX</t>
  </si>
  <si>
    <t>SP8</t>
  </si>
  <si>
    <t>SP7</t>
  </si>
  <si>
    <t>PMM</t>
  </si>
  <si>
    <t>PBM</t>
  </si>
  <si>
    <t>FMJ</t>
  </si>
  <si>
    <t>T45M1 gzh</t>
  </si>
  <si>
    <t>PSO gzh</t>
  </si>
  <si>
    <t>.366 TKM</t>
  </si>
  <si>
    <t>AP</t>
  </si>
  <si>
    <t>EKO</t>
  </si>
  <si>
    <t xml:space="preserve">9x39mm  </t>
  </si>
  <si>
    <t>SPP</t>
  </si>
  <si>
    <t>SP6</t>
  </si>
  <si>
    <t>SP5</t>
  </si>
  <si>
    <t xml:space="preserve">23x75mm </t>
  </si>
  <si>
    <t>Shrap-10</t>
  </si>
  <si>
    <t>Shrap-25</t>
  </si>
  <si>
    <t>RIP</t>
  </si>
  <si>
    <t xml:space="preserve">.45 ACP </t>
  </si>
  <si>
    <t>Lasermatch FMJ</t>
  </si>
  <si>
    <t>Match FMJ</t>
  </si>
  <si>
    <t xml:space="preserve">.338 Lapua Magnum </t>
  </si>
  <si>
    <t>.300 AAC Blackout</t>
  </si>
  <si>
    <t>BCP FMJ</t>
  </si>
  <si>
    <t xml:space="preserve">12.7x55 mm </t>
  </si>
  <si>
    <t>PS12</t>
  </si>
  <si>
    <t>PS12A</t>
  </si>
  <si>
    <t>PS12B</t>
  </si>
  <si>
    <t>Flechette</t>
  </si>
  <si>
    <t>SuperPerformance</t>
  </si>
  <si>
    <t>4.6x30mm</t>
  </si>
  <si>
    <t>9x18mm</t>
  </si>
  <si>
    <t>Luger CCI</t>
  </si>
  <si>
    <t>Pst gzh</t>
  </si>
  <si>
    <t>Lps gzh</t>
  </si>
  <si>
    <t>P gzh</t>
  </si>
  <si>
    <t>9x21mm</t>
  </si>
  <si>
    <t>5.7x29mm</t>
  </si>
  <si>
    <t>SS190</t>
  </si>
  <si>
    <t>SB193</t>
  </si>
  <si>
    <t>Warmageddon</t>
  </si>
  <si>
    <t>Lead Slug</t>
  </si>
  <si>
    <t>SSA AP</t>
  </si>
  <si>
    <t>MAI AP</t>
  </si>
  <si>
    <t>M993</t>
  </si>
  <si>
    <t>PRS</t>
  </si>
  <si>
    <t>T</t>
  </si>
  <si>
    <t>Action SX</t>
  </si>
  <si>
    <t>Caliber</t>
  </si>
  <si>
    <t>Ammo</t>
  </si>
  <si>
    <t>Penetration</t>
  </si>
  <si>
    <t xml:space="preserve">5.25mm </t>
  </si>
  <si>
    <t>PPBS gs "Igolnik"</t>
  </si>
  <si>
    <t>7.62x54mmrR</t>
  </si>
  <si>
    <t>7.62x54mmR</t>
  </si>
  <si>
    <t>Commonly used ammo</t>
  </si>
  <si>
    <t># of common ammo</t>
  </si>
  <si>
    <t>Ammo vs armor</t>
  </si>
  <si>
    <t>META ammo</t>
  </si>
  <si>
    <t># of META ammo</t>
  </si>
  <si>
    <t>% of META</t>
  </si>
  <si>
    <t>Level of armor</t>
  </si>
  <si>
    <t>Overall # that penetrates</t>
  </si>
  <si>
    <t>Geksa</t>
  </si>
  <si>
    <t>7.62x25mm</t>
  </si>
  <si>
    <t>FMJ43</t>
  </si>
  <si>
    <t>Penetration chance &gt;=50%</t>
  </si>
  <si>
    <t>PBP gzh</t>
  </si>
  <si>
    <t>Increased chance for downgdaring</t>
  </si>
  <si>
    <t>% of common</t>
  </si>
  <si>
    <t>Increased chance</t>
  </si>
  <si>
    <t>lncreased chance</t>
  </si>
  <si>
    <t>Additional armor</t>
  </si>
  <si>
    <t>Armor  mega sheet</t>
  </si>
  <si>
    <t>Materials and destructibility</t>
  </si>
  <si>
    <t>Durability of level X armor where it starts to act like a level Y one</t>
  </si>
  <si>
    <t>Body Armor/Chest Rig:</t>
  </si>
  <si>
    <t>Additional armor 1:</t>
  </si>
  <si>
    <t>Additional armor 2:</t>
  </si>
  <si>
    <t>Additional armor 3:</t>
  </si>
  <si>
    <t>Additional armor 4:</t>
  </si>
  <si>
    <t>Helmet/Mask:</t>
  </si>
  <si>
    <t>Armor level:</t>
  </si>
  <si>
    <t>Weight:</t>
  </si>
  <si>
    <t>Stomach:</t>
  </si>
  <si>
    <t>Arms:</t>
  </si>
  <si>
    <t>Top</t>
  </si>
  <si>
    <t>Top:</t>
  </si>
  <si>
    <t>Nape:</t>
  </si>
  <si>
    <t>Jaws:</t>
  </si>
  <si>
    <t>Ears:</t>
  </si>
  <si>
    <t>Eyes:</t>
  </si>
  <si>
    <t>Highcom Trooper TFO armor</t>
  </si>
  <si>
    <t>5.11 Hexgrid plate carrier</t>
  </si>
  <si>
    <t>NFM THOR Integrated Carrier body armor</t>
  </si>
  <si>
    <t>LBT 6094A Slick Plate Carrier</t>
  </si>
  <si>
    <t>Zhuk-6a heavy armor</t>
  </si>
  <si>
    <t>6B43 Zabralo-Sh 6A Armor</t>
  </si>
  <si>
    <t>BNTI Korund-VM armor</t>
  </si>
  <si>
    <t>FORT Redut-M body armor</t>
  </si>
  <si>
    <t>6B13 M assault armor (tan)(Killa)</t>
  </si>
  <si>
    <t>OTV Gen4 armor (high mobility kit)</t>
  </si>
  <si>
    <t>BNTI Gzhel-K armor</t>
  </si>
  <si>
    <t>FORT Defender-2 body armor</t>
  </si>
  <si>
    <t>IOTV Gen4 armor (assault kit)</t>
  </si>
  <si>
    <t>IOTV Gen4 armor (full protection)</t>
  </si>
  <si>
    <t>FORT Redut-T5 body armor</t>
  </si>
  <si>
    <t>NFM THOR Concealable Vest body armor</t>
  </si>
  <si>
    <t>6B13 assault armor</t>
  </si>
  <si>
    <t>6B23-2 armor (mountain flora pattern)</t>
  </si>
  <si>
    <t>MF-UNTAR armor vest</t>
  </si>
  <si>
    <t>Zhuk-3 Press armor</t>
  </si>
  <si>
    <t>6B23-1 armor (digital flora pattern)</t>
  </si>
  <si>
    <t>BNTI Kirasa-N armor</t>
  </si>
  <si>
    <t>PACA Soft Armor</t>
  </si>
  <si>
    <t>6B2 armor (flora)</t>
  </si>
  <si>
    <t>Module-3M bodyarmor</t>
  </si>
  <si>
    <t>CQC Osprey MK4A plate carrier (Protection, MTP</t>
  </si>
  <si>
    <t>Ars Arma CPC MOD.2 plate carrier</t>
  </si>
  <si>
    <t>5.11 Tactec plate carrier</t>
  </si>
  <si>
    <t>Wartech TV-110 plate carrier</t>
  </si>
  <si>
    <t>Crye Precision AVS platecarrier</t>
  </si>
  <si>
    <t>CQC Osprey MK4A plate carrier (Assault, MTP)</t>
  </si>
  <si>
    <t>Ars Arma A18 Skanda plate carrier</t>
  </si>
  <si>
    <t>ANA Tactical M2 armored rig</t>
  </si>
  <si>
    <t>ANA Tactical M1 armored rig</t>
  </si>
  <si>
    <t>6B5-15 Zh -86 "Uley" armored rig</t>
  </si>
  <si>
    <t>6B3TM-01M armored rig</t>
  </si>
  <si>
    <t>6B5-16 Zh -86 "Uley" armored rig</t>
  </si>
  <si>
    <t>Crye Precision MBAV (Tagilla Edition)</t>
  </si>
  <si>
    <t>Durability:</t>
  </si>
  <si>
    <t>Effective Armor:</t>
  </si>
  <si>
    <t>Penetrating rounds</t>
  </si>
  <si>
    <t>Common penetrating rounds</t>
  </si>
  <si>
    <t>Penetrating META rounds</t>
  </si>
  <si>
    <t>Ricochet chance:</t>
  </si>
  <si>
    <t>Other:</t>
  </si>
  <si>
    <t>Blocks Eyeware:</t>
  </si>
  <si>
    <t>Blindness protection:</t>
  </si>
  <si>
    <t>Turn speed:</t>
  </si>
  <si>
    <t>Ergo:</t>
  </si>
  <si>
    <t>Movement Speed2</t>
  </si>
  <si>
    <t>Movement speed:</t>
  </si>
  <si>
    <t>Blocks headset:</t>
  </si>
  <si>
    <t>Armor:</t>
  </si>
  <si>
    <t>Ops-Core FAST Visor</t>
  </si>
  <si>
    <t>Maska 1Sch face shield</t>
  </si>
  <si>
    <t>Multi-hit ballistic face shield-visor</t>
  </si>
  <si>
    <t>TW EXFIL Ballistic helmet face shield</t>
  </si>
  <si>
    <t>Caiman Fixed Arm Visor</t>
  </si>
  <si>
    <t>Additional armor for the Bastion helmet</t>
  </si>
  <si>
    <t>SLAAP armor Plate (Tan)</t>
  </si>
  <si>
    <t>LSHZ-2DTM Aventail</t>
  </si>
  <si>
    <t>Caiman Hybrid Ballistic Applique (black)</t>
  </si>
  <si>
    <t>Ops-Core Fast Side Armor</t>
  </si>
  <si>
    <t>Crye Airframe Ears</t>
  </si>
  <si>
    <t>TW EXFIL Ear Covers</t>
  </si>
  <si>
    <t>Crye Airframe Chops</t>
  </si>
  <si>
    <t>Ops-Core Fast GUNSIGHT Mandible</t>
  </si>
  <si>
    <t>Caiman Ballistic Guard Mandible</t>
  </si>
  <si>
    <t>Tac-Kek Heavy Trooper mask</t>
  </si>
  <si>
    <t>Vulkan-5 (LShZ-5) heavy helmet</t>
  </si>
  <si>
    <t>Rys-T helmet</t>
  </si>
  <si>
    <t>Altyn helmet</t>
  </si>
  <si>
    <t>MSA ACH TC-2001 MICH Series Helmet</t>
  </si>
  <si>
    <t>MSA ACH TC-2002 MICH Series Helmet</t>
  </si>
  <si>
    <t>MSA Gallet TC 800 High Cut combat helmet</t>
  </si>
  <si>
    <t xml:space="preserve">Highcom Striker ACHHC IIIA helmet	</t>
  </si>
  <si>
    <t>ZSh-1-2M helmet</t>
  </si>
  <si>
    <t>Highcom Striker ULACH IIIA helmet</t>
  </si>
  <si>
    <t>Diamond Age Bastion Helmet</t>
  </si>
  <si>
    <t>Ops-Core Fast MT SUPER HIGH CUT Helmet</t>
  </si>
  <si>
    <t>Crye Precision Airframe Tan</t>
  </si>
  <si>
    <t>Team Wendy EXFIL Ballistic Helmet</t>
  </si>
  <si>
    <t>Galvion Caiman Ballistic Helmet</t>
  </si>
  <si>
    <t>BNTI LSHZ-2DTM Helmet</t>
  </si>
  <si>
    <t>Maska 1Sch helmet</t>
  </si>
  <si>
    <t>UNTAR helmet</t>
  </si>
  <si>
    <t>6B47 Ratnik-BSh Helmet</t>
  </si>
  <si>
    <t>LZSh light helmet</t>
  </si>
  <si>
    <t>SSh-68 helmet</t>
  </si>
  <si>
    <t>Kiver-M Helmet</t>
  </si>
  <si>
    <t>DEVTAC Ronin ballistic helmet</t>
  </si>
  <si>
    <t>Kolpak-1S riot helmet</t>
  </si>
  <si>
    <t>SHPM Firefighter's helmet</t>
  </si>
  <si>
    <t>PSH-97 "Djeta" helmet</t>
  </si>
  <si>
    <t>Jack-o'-lantern tactical pumpkin helmet</t>
  </si>
  <si>
    <t>Tac-Kek Fast MT Helmet (non-ballistic replica)</t>
  </si>
  <si>
    <t>Soft tank crew helmet TSH-4M-L</t>
  </si>
  <si>
    <t>Tagilla's welding mask</t>
  </si>
  <si>
    <t>Light armored Shattered mask</t>
  </si>
  <si>
    <t>Overall:</t>
  </si>
  <si>
    <t>Item:</t>
  </si>
  <si>
    <t>Slot:</t>
  </si>
  <si>
    <t>Head</t>
  </si>
  <si>
    <t>Additional armor 1</t>
  </si>
  <si>
    <t>Thorax</t>
  </si>
  <si>
    <t>Additional armor 4</t>
  </si>
  <si>
    <t>Additional armor 3</t>
  </si>
  <si>
    <t>Additional armor 2</t>
  </si>
  <si>
    <t>NPP KlASS Condor glasses</t>
  </si>
  <si>
    <t>% Common penetrating rounds</t>
  </si>
  <si>
    <t>Calculators for armor:</t>
  </si>
  <si>
    <t>(Type the name of the item into the corresponding field on the left)</t>
  </si>
  <si>
    <t>Bomber Beanie</t>
  </si>
  <si>
    <t>condor</t>
  </si>
  <si>
    <t>fast mt</t>
  </si>
  <si>
    <t>side ar</t>
  </si>
  <si>
    <t>osprey</t>
  </si>
  <si>
    <t>slaap</t>
  </si>
  <si>
    <t>gunsi</t>
  </si>
  <si>
    <t>Eagle Industries "MMAC" plate carrier (Ranger Green)</t>
  </si>
  <si>
    <t>FirstSpear "Strandhogg" plate carrier rig (Ranger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</si>
</sst>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0" fillId="4" borderId="10" xfId="0" applyNumberFormat="1" applyFill="1" applyBorder="1" applyAlignment="1">
      <alignment horizontal="center"/>
    </xf>
    <xf numFmtId="9" fontId="0" fillId="4" borderId="8" xfId="0" applyNumberFormat="1" applyFont="1" applyFill="1" applyBorder="1" applyAlignment="1">
      <alignment horizontal="center"/>
    </xf>
    <xf numFmtId="9" fontId="0" fillId="5" borderId="8" xfId="0" applyNumberFormat="1" applyFont="1" applyFill="1" applyBorder="1" applyAlignment="1">
      <alignment horizontal="center"/>
    </xf>
    <xf numFmtId="9" fontId="0" fillId="6" borderId="8" xfId="0" applyNumberFormat="1" applyFont="1" applyFill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9" fontId="0" fillId="3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10" fontId="0" fillId="19" borderId="6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8" xfId="0" quotePrefix="1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6" borderId="8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10" fontId="0" fillId="10" borderId="1" xfId="0" applyNumberFormat="1" applyFill="1" applyBorder="1" applyAlignment="1">
      <alignment horizontal="center"/>
    </xf>
    <xf numFmtId="10" fontId="0" fillId="10" borderId="8" xfId="0" applyNumberForma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10" fontId="0" fillId="17" borderId="10" xfId="0" applyNumberFormat="1" applyFill="1" applyBorder="1" applyAlignment="1">
      <alignment horizontal="center"/>
    </xf>
    <xf numFmtId="10" fontId="0" fillId="17" borderId="11" xfId="0" applyNumberFormat="1" applyFill="1" applyBorder="1" applyAlignment="1">
      <alignment horizontal="center"/>
    </xf>
    <xf numFmtId="10" fontId="0" fillId="17" borderId="1" xfId="0" applyNumberForma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0" fontId="0" fillId="4" borderId="5" xfId="0" quotePrefix="1" applyNumberFormat="1" applyFill="1" applyBorder="1" applyAlignment="1">
      <alignment horizontal="center"/>
    </xf>
    <xf numFmtId="10" fontId="0" fillId="19" borderId="5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0" fontId="0" fillId="17" borderId="8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0" fillId="17" borderId="1" xfId="0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0" xfId="0" applyFon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9" fontId="0" fillId="3" borderId="8" xfId="0" applyNumberFormat="1" applyFont="1" applyFill="1" applyBorder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5" borderId="10" xfId="0" applyNumberForma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9" fontId="0" fillId="6" borderId="10" xfId="0" applyNumberFormat="1" applyFill="1" applyBorder="1" applyAlignment="1">
      <alignment horizontal="center"/>
    </xf>
    <xf numFmtId="9" fontId="0" fillId="4" borderId="10" xfId="0" applyNumberFormat="1" applyFont="1" applyFill="1" applyBorder="1" applyAlignment="1">
      <alignment horizontal="center"/>
    </xf>
    <xf numFmtId="9" fontId="0" fillId="3" borderId="10" xfId="0" applyNumberFormat="1" applyFont="1" applyFill="1" applyBorder="1" applyAlignment="1">
      <alignment horizontal="center"/>
    </xf>
    <xf numFmtId="9" fontId="0" fillId="6" borderId="11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10" fontId="0" fillId="10" borderId="10" xfId="0" applyNumberForma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10" fontId="0" fillId="4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6" borderId="1" xfId="0" applyNumberFormat="1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0" fontId="0" fillId="2" borderId="5" xfId="0" applyNumberFormat="1" applyFont="1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0" fontId="0" fillId="3" borderId="10" xfId="0" applyNumberFormat="1" applyFont="1" applyFill="1" applyBorder="1" applyAlignment="1">
      <alignment horizontal="center"/>
    </xf>
    <xf numFmtId="10" fontId="0" fillId="6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10" fontId="0" fillId="5" borderId="5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97"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\ 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\ %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13" formatCode="0\ 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13" formatCode="0\ %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\ 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13" formatCode="0\ %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\ 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\ 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13" formatCode="0\ %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DE207D-894A-4457-9A40-64713B2849E1}" name="Table120" displayName="Table120" ref="A2:T27" totalsRowShown="0" headerRowDxfId="211" dataDxfId="209" headerRowBorderDxfId="210" tableBorderDxfId="208" totalsRowBorderDxfId="207">
  <autoFilter ref="A2:T27" xr:uid="{F1DE207D-894A-4457-9A40-64713B2849E1}"/>
  <sortState xmlns:xlrd2="http://schemas.microsoft.com/office/spreadsheetml/2017/richdata2" ref="A3:T27">
    <sortCondition ref="C2:C27"/>
  </sortState>
  <tableColumns count="20">
    <tableColumn id="1" xr3:uid="{B9A3A0A2-19F6-4B9C-B7E5-9E23BB84A425}" name="Armor" dataDxfId="206"/>
    <tableColumn id="19" xr3:uid="{6A4FBB5F-5105-4EF2-81D3-3FA966B31714}" name="Overall value" dataDxfId="205">
      <calculatedColumnFormula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calculatedColumnFormula>
    </tableColumn>
    <tableColumn id="2" xr3:uid="{50160D49-82BE-4F5A-8203-70B36CA77B68}" name="Armor Level" dataDxfId="204"/>
    <tableColumn id="3" xr3:uid="{5EFB07D3-068B-4CF3-BD74-5736D1EEEEA0}" name="Material" dataDxfId="203"/>
    <tableColumn id="4" xr3:uid="{7B793992-4730-4031-A2D0-83DB0CF14E9B}" name="Durability" dataDxfId="202"/>
    <tableColumn id="5" xr3:uid="{43BE64DB-0675-461F-9832-5D6B9963C2A5}" name="Effective Durability" dataDxfId="201">
      <calculatedColumnFormula>ROUNDDOWN(E3/VLOOKUP(D3,Table2[#All],2,FALSE),0)</calculatedColumnFormula>
    </tableColumn>
    <tableColumn id="6" xr3:uid="{3B699D9F-457E-412B-B15F-9787852280E1}" name="Explosive Durability" dataDxfId="200">
      <calculatedColumnFormula>ROUNDDOWN(E3/VLOOKUP(D3,Table2[#All],3,FALSE),0)</calculatedColumnFormula>
    </tableColumn>
    <tableColumn id="7" xr3:uid="{EFEE7204-7282-4446-BF03-2EE062E30E10}" name="Repairability" dataDxfId="199">
      <calculatedColumnFormula>VLOOKUP(D3,Table2[#All],4,FALSE)</calculatedColumnFormula>
    </tableColumn>
    <tableColumn id="8" xr3:uid="{C2E8F27F-E545-4D5A-B53A-30BC53D458F4}" name="Weight" dataDxfId="198"/>
    <tableColumn id="9" xr3:uid="{FF7367E9-7F25-4851-9FD2-41822C921CCC}" name="&lt; lvl 5" dataDxfId="197">
      <calculatedColumnFormula>IF(C3&gt;5,E3*VLOOKUP(5,Table3[#All],2,FALSE),"N/A")</calculatedColumnFormula>
    </tableColumn>
    <tableColumn id="10" xr3:uid="{BF0E25C2-1C76-41D6-A6D2-9297A85A6F45}" name="&lt; lvl 4" dataDxfId="196">
      <calculatedColumnFormula>IF(C3 = 6,E3*VLOOKUP(4,Table3[#All],2,FALSE),IF(C3 =5,E3*VLOOKUP(4,Table4[#All],2,FALSE),"N/A"))</calculatedColumnFormula>
    </tableColumn>
    <tableColumn id="11" xr3:uid="{2F247736-E0C8-4B42-9918-F2717BAD4472}" name="&lt; lvl 3" dataDxfId="195">
      <calculatedColumnFormula>IF(C3 = 6,E3*VLOOKUP(3,Table3[#All],2,FALSE),IF(C3 =5,E3*VLOOKUP(3,Table4[#All],2,FALSE),IF(C3 =4,E3*VLOOKUP(3,Table5[#All],2,FALSE),"N/A")))</calculatedColumnFormula>
    </tableColumn>
    <tableColumn id="12" xr3:uid="{AC267E6D-55B9-4843-87E0-B728C2E23C36}" name="&lt; lvl 2" dataDxfId="194">
      <calculatedColumnFormula>IF(C3 = 6,E3*VLOOKUP(2,Table3[#All],2,FALSE),IF(C3 =5,E3*VLOOKUP(2,Table4[#All],2,FALSE),IF(C3 =4,E3*VLOOKUP(2,Table5[#All],2,FALSE),IF(C3 =3,E3*VLOOKUP(2,Table6[#All],2,FALSE),"N/A"))))</calculatedColumnFormula>
    </tableColumn>
    <tableColumn id="13" xr3:uid="{D20DC7B1-F5FD-41DE-92E1-B91B5739283F}" name="&lt; lvl 1" dataDxfId="193">
      <calculatedColumnFormula>IF(C3 = 6,E3*VLOOKUP(1,Table3[#All],2,FALSE),IF(C3 =5,E3*VLOOKUP(1,Table4[#All],2,FALSE),IF(C3 =4,E3*VLOOKUP(1,Table5[#All],2,FALSE),IF(C3 =3,E3*VLOOKUP(1,Table6[#All],2,FALSE),IF(C3 =2,E3*VLOOKUP(1,Table7[#All],2,FALSE),"N/A")))))</calculatedColumnFormula>
    </tableColumn>
    <tableColumn id="14" xr3:uid="{20A0ED10-F9B8-4E2C-91D8-0C70D9E82F7A}" name="Movement Speed" dataDxfId="192"/>
    <tableColumn id="15" xr3:uid="{8607D508-A47A-467E-A169-C00561A04962}" name="Turn Speed" dataDxfId="191"/>
    <tableColumn id="16" xr3:uid="{9D137C1D-397C-4B2A-A44B-51839AE81398}" name="Ergonomics" dataDxfId="190"/>
    <tableColumn id="17" xr3:uid="{C4CC12EA-2152-4B4A-97EA-DCF40FE3A468}" name="Stomach" dataDxfId="189"/>
    <tableColumn id="18" xr3:uid="{890DB126-0C1C-4658-BC8C-B1A4F2F3EC12}" name="Arms" dataDxfId="188"/>
    <tableColumn id="20" xr3:uid="{8082C154-C810-43B9-86ED-DE5EFD8D5494}" name="% Common penetrating rounds" dataDxfId="187">
      <calculatedColumnFormula>VLOOKUP(Table120[[#This Row],[Armor Level]],Table1217[#All],6,FALSE)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014A0-8D49-493F-BC78-6FF71D98BEF8}" name="Table3" displayName="Table3" ref="A20:B25" totalsRowShown="0" headerRowDxfId="23" dataDxfId="22" tableBorderDxfId="21">
  <autoFilter ref="A20:B25" xr:uid="{876014A0-8D49-493F-BC78-6FF71D98BEF8}"/>
  <sortState xmlns:xlrd2="http://schemas.microsoft.com/office/spreadsheetml/2017/richdata2" ref="A21:B25">
    <sortCondition descending="1" ref="A20:A25"/>
  </sortState>
  <tableColumns count="2">
    <tableColumn id="1" xr3:uid="{C5539EA1-57C0-41C8-A1AC-6E7EEE2478A8}" name="Armor Level 6" dataDxfId="20"/>
    <tableColumn id="2" xr3:uid="{62726AB9-47E1-476A-B5A6-3C9548EA693C}" name="% durability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6B345D-D57C-41E9-A33A-DF74692C79F9}" name="Table4" displayName="Table4" ref="A27:B31" totalsRowShown="0" headerRowDxfId="18" dataDxfId="17" tableBorderDxfId="16">
  <autoFilter ref="A27:B31" xr:uid="{346B345D-D57C-41E9-A33A-DF74692C79F9}"/>
  <tableColumns count="2">
    <tableColumn id="1" xr3:uid="{5F3F9012-3DF9-4BF6-81BA-1F9F7D1904B8}" name="Armor Level 5" dataDxfId="15"/>
    <tableColumn id="2" xr3:uid="{2089D6BE-3D8E-48A6-BE72-04C005DAAB47}" name="% durability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648F9C-FC25-4827-BC6A-BD75BB9D325D}" name="Table5" displayName="Table5" ref="A33:B36" totalsRowShown="0" headerRowDxfId="13" dataDxfId="12" tableBorderDxfId="11">
  <autoFilter ref="A33:B36" xr:uid="{99648F9C-FC25-4827-BC6A-BD75BB9D325D}"/>
  <tableColumns count="2">
    <tableColumn id="1" xr3:uid="{65ED405E-C5F1-4E69-8101-1E398A9891CB}" name="Armor Level 4" dataDxfId="10"/>
    <tableColumn id="2" xr3:uid="{FF6561F6-9BE8-4C2A-A9A4-48437AE80CF5}" name="% durability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2A373B-7F32-48E3-B68E-A4CE1B92CCAB}" name="Table6" displayName="Table6" ref="A38:B40" totalsRowShown="0" headerRowDxfId="8" tableBorderDxfId="7">
  <autoFilter ref="A38:B40" xr:uid="{FB2A373B-7F32-48E3-B68E-A4CE1B92CCAB}"/>
  <tableColumns count="2">
    <tableColumn id="1" xr3:uid="{33CC03FE-AF45-417B-8245-B17EC8C7CD73}" name="Armor Level 3" dataDxfId="6"/>
    <tableColumn id="2" xr3:uid="{822B8B3B-D53B-4BA7-A94B-38FA57AC69F4}" name="% durability" dataDxf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955DC8-B760-476E-AC9E-08DA2769BC06}" name="Table7" displayName="Table7" ref="A42:B43" totalsRowShown="0" headerRowDxfId="4" dataDxfId="3" tableBorderDxfId="2">
  <autoFilter ref="A42:B43" xr:uid="{09955DC8-B760-476E-AC9E-08DA2769BC06}"/>
  <tableColumns count="2">
    <tableColumn id="1" xr3:uid="{A6E8DD66-4944-4F17-ADD3-2CD294BAE872}" name="Armor Level 2" dataDxfId="1"/>
    <tableColumn id="2" xr3:uid="{925A0672-F64F-46B0-843C-486930D75AEA}" name="% durabilit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F97F82D-A2AD-4D8F-A34E-8D46E43E3954}" name="Table819" displayName="Table819" ref="A2:Y17" totalsRowShown="0" headerRowDxfId="186" dataDxfId="184" headerRowBorderDxfId="185" tableBorderDxfId="183" totalsRowBorderDxfId="182">
  <autoFilter ref="A2:Y17" xr:uid="{4F97F82D-A2AD-4D8F-A34E-8D46E43E3954}"/>
  <sortState xmlns:xlrd2="http://schemas.microsoft.com/office/spreadsheetml/2017/richdata2" ref="A3:Y17">
    <sortCondition descending="1" ref="B2:B17"/>
  </sortState>
  <tableColumns count="25">
    <tableColumn id="1" xr3:uid="{D14FC818-C612-4CB5-B01D-C5A5A5C621F2}" name="Armor" dataDxfId="181"/>
    <tableColumn id="24" xr3:uid="{295FDDFC-A536-4D60-A4BC-5A3FA7185A0D}" name="Overall value" dataDxfId="180">
      <calculatedColumnFormula>ROUNDDOWN((#REF!*(IF(#REF!,#REF!/2,#REF!) + IF(#REF!,#REF!/4,#REF!)/2)/#REF!) - (#REF!*(IF(#REF!,#REF!/2,#REF!) + IF(#REF!,#REF!/4,#REF!)/2)/#REF!)*#REF!,1)</calculatedColumnFormula>
    </tableColumn>
    <tableColumn id="2" xr3:uid="{5BB3F816-A445-4400-9DD9-D5C597BE16D6}" name="Armor Level" dataDxfId="179"/>
    <tableColumn id="3" xr3:uid="{B9CE3027-D557-46AC-9F3C-C142EB0C8DA8}" name="Material" dataDxfId="178"/>
    <tableColumn id="4" xr3:uid="{E905807B-7856-41EE-862D-E36465B5A14F}" name="Durability" dataDxfId="177"/>
    <tableColumn id="5" xr3:uid="{7D6B366A-BE10-4628-BFDD-AA7968FC7C35}" name="Effective Durability" dataDxfId="176">
      <calculatedColumnFormula>ROUNDDOWN(E3/VLOOKUP(D3,Table2[#All],2,FALSE),0)</calculatedColumnFormula>
    </tableColumn>
    <tableColumn id="6" xr3:uid="{B9BEBC12-F1A0-47E5-965B-15BE4C640D94}" name="Explosive Durability" dataDxfId="175">
      <calculatedColumnFormula>ROUNDDOWN(E3/VLOOKUP(D3,Table2[#All],3,FALSE),0)</calculatedColumnFormula>
    </tableColumn>
    <tableColumn id="7" xr3:uid="{072A5C45-DC1C-451A-9BA8-3E93A9B9DFBB}" name="Repairability" dataDxfId="174">
      <calculatedColumnFormula>VLOOKUP(D3,Table2[#All],4,FALSE)</calculatedColumnFormula>
    </tableColumn>
    <tableColumn id="8" xr3:uid="{A3D21D0A-D41F-41B6-B412-AEB33F2A0C60}" name="Weight" dataDxfId="173"/>
    <tableColumn id="9" xr3:uid="{678AE654-1727-4BFA-88AE-2AD39F393110}" name="&lt; lvl 5" dataDxfId="172">
      <calculatedColumnFormula>IF(C3&gt;5,E3*VLOOKUP(5,Table3[#All],2,FALSE),"N/A")</calculatedColumnFormula>
    </tableColumn>
    <tableColumn id="10" xr3:uid="{FE61A45E-2554-41FD-93EA-3271FF9E2C4B}" name="&lt; lvl 4" dataDxfId="171">
      <calculatedColumnFormula>IF(C3 = 6,E3*VLOOKUP(4,Table3[#All],2,FALSE),IF(C3 =5,E3*VLOOKUP(4,Table4[#All],2,FALSE),"N/A"))</calculatedColumnFormula>
    </tableColumn>
    <tableColumn id="11" xr3:uid="{06917D19-58F8-4CD8-A073-396450ED6E54}" name="&lt; lvl 3" dataDxfId="170">
      <calculatedColumnFormula>IF(C3 = 6,E3*VLOOKUP(3,Table3[#All],2,FALSE),IF(C3 =5,E3*VLOOKUP(3,Table4[#All],2,FALSE),IF(C3 =4,E3*VLOOKUP(3,Table5[#All],2,FALSE),"N/A")))</calculatedColumnFormula>
    </tableColumn>
    <tableColumn id="12" xr3:uid="{B237ABB9-F1D8-4427-9CE4-FB2B004B0E80}" name="&lt; lvl 2" dataDxfId="169">
      <calculatedColumnFormula>IF(C3 = 6,E3*VLOOKUP(2,Table3[#All],2,FALSE),IF(C3 =5,E3*VLOOKUP(2,Table4[#All],2,FALSE),IF(C3 =4,E3*VLOOKUP(2,Table5[#All],2,FALSE),IF(C3 =3,E3*VLOOKUP(2,Table6[#All],2,FALSE),"N/A"))))</calculatedColumnFormula>
    </tableColumn>
    <tableColumn id="13" xr3:uid="{BECE95FD-A00E-422A-B63E-AACBE9AD4D69}" name="&lt; lvl 1" dataDxfId="168">
      <calculatedColumnFormula>IF(C3 = 6,E3*VLOOKUP(1,Table3[#All],2,FALSE),IF(C3 =5,E3*VLOOKUP(1,Table4[#All],2,FALSE),IF(C3 =4,E3*VLOOKUP(1,Table5[#All],2,FALSE),IF(C3 =3,E3*VLOOKUP(1,Table6[#All],2,FALSE),IF(C3 =2,E3*VLOOKUP(1,Table7[#All],2,FALSE),"N/A")))))</calculatedColumnFormula>
    </tableColumn>
    <tableColumn id="14" xr3:uid="{1B65D670-6081-4476-BC78-3EAC233798E3}" name="Movement Speed" dataDxfId="167"/>
    <tableColumn id="15" xr3:uid="{4A69229A-5B5D-4BA6-9651-A7D4F9DD5F9A}" name="Turn Speed" dataDxfId="166"/>
    <tableColumn id="16" xr3:uid="{3F695665-560E-4BAB-8677-A6AC10454B81}" name="Ergonomics" dataDxfId="165"/>
    <tableColumn id="17" xr3:uid="{3B2977DF-98E1-459F-8A73-AA477F4484A8}" name="Stomach" dataDxfId="164"/>
    <tableColumn id="18" xr3:uid="{8F172AEE-1450-49BA-9AAF-D3746B822A33}" name="Arms" dataDxfId="163"/>
    <tableColumn id="19" xr3:uid="{A23CB065-405D-4DF8-8DC2-8F8184D36998}" name="1 Slots" dataDxfId="162"/>
    <tableColumn id="20" xr3:uid="{663439DD-66C1-4745-895D-EB6D1EC14AE6}" name="2 Slots" dataDxfId="161"/>
    <tableColumn id="21" xr3:uid="{7DF261ED-509F-4C30-B227-CF3946BFA56B}" name="3 Slots" dataDxfId="160"/>
    <tableColumn id="22" xr3:uid="{D1FC10B8-1C1E-4E92-9217-AB6351A8766A}" name="4 Slots" dataDxfId="159"/>
    <tableColumn id="23" xr3:uid="{AA661DF9-4D7B-4AA6-B1AE-E41B513F9D2A}" name="Total Slots" dataDxfId="158"/>
    <tableColumn id="25" xr3:uid="{594A3D94-6241-4315-923E-9F96E47CF833}" name="% Common penetrating rounds" dataDxfId="157">
      <calculatedColumnFormula>VLOOKUP(Table819[[#This Row],[Armor Level]],Table1217[#All],6,FALSE)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B861575-EB89-459D-813B-47D2E49D4AAB}" name="Table921" displayName="Table921" ref="A2:AB34" totalsRowShown="0" headerRowDxfId="156" dataDxfId="154" headerRowBorderDxfId="155" tableBorderDxfId="153" totalsRowBorderDxfId="152">
  <autoFilter ref="A2:AB34" xr:uid="{8B861575-EB89-459D-813B-47D2E49D4AAB}"/>
  <sortState xmlns:xlrd2="http://schemas.microsoft.com/office/spreadsheetml/2017/richdata2" ref="A3:AB34">
    <sortCondition descending="1" ref="B2:B34"/>
  </sortState>
  <tableColumns count="28">
    <tableColumn id="28" xr3:uid="{20EFFF45-6C3B-418D-9E46-09150B42F123}" name="Helmet" dataDxfId="151"/>
    <tableColumn id="1" xr3:uid="{8AD131AC-8F85-45D4-8A52-E64071C3EC95}" name="Overall value" dataDxfId="150">
      <calculatedColumnFormula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calculatedColumnFormula>
    </tableColumn>
    <tableColumn id="2" xr3:uid="{5232586A-8295-491C-BC80-6C3286A0FF78}" name="Armor Level" dataDxfId="149"/>
    <tableColumn id="3" xr3:uid="{C33F771F-2AF6-4533-9DD3-BC3F10C907A5}" name="Material" dataDxfId="148"/>
    <tableColumn id="4" xr3:uid="{010FDCC8-1523-4B7A-8E38-76D92FC5A0DF}" name="Durability" dataDxfId="147"/>
    <tableColumn id="5" xr3:uid="{13342B90-1EBF-408B-B38F-20272F87167C}" name="Effective Durability" dataDxfId="146">
      <calculatedColumnFormula>ROUNDDOWN(E3/VLOOKUP(D3,Table2[#All],2,FALSE),0)</calculatedColumnFormula>
    </tableColumn>
    <tableColumn id="6" xr3:uid="{31CDC23E-4F15-436C-99A5-D4E901FF2C5B}" name="Explosive Durability" dataDxfId="145">
      <calculatedColumnFormula>ROUNDDOWN(E3/VLOOKUP(D3,Table2[#All],3,FALSE),0)</calculatedColumnFormula>
    </tableColumn>
    <tableColumn id="7" xr3:uid="{906787EB-776B-43DE-9539-F8AE8D5EF03A}" name="Repairability" dataDxfId="144">
      <calculatedColumnFormula>VLOOKUP(D3,Table2[#All],4,FALSE)</calculatedColumnFormula>
    </tableColumn>
    <tableColumn id="8" xr3:uid="{4C09B4E4-9589-4E99-9E4D-55A3284AD2A2}" name="Weight" dataDxfId="143"/>
    <tableColumn id="9" xr3:uid="{381D1E72-02A4-4F44-BD1C-F5F79EBDB033}" name="&lt; lvl 5" dataDxfId="142">
      <calculatedColumnFormula>IF(C3&gt;5,E3*VLOOKUP(5,Table3[#All],2,FALSE),NA())</calculatedColumnFormula>
    </tableColumn>
    <tableColumn id="10" xr3:uid="{976E83C6-4F20-43D0-A22C-AF1D24460320}" name="&lt; lvl 4" dataDxfId="141">
      <calculatedColumnFormula>IF(C3 = 6,E3*VLOOKUP(4,Table3[#All],2,FALSE),IF(C3 =5,E3*VLOOKUP(4,Table4[#All],2,FALSE),NA()))</calculatedColumnFormula>
    </tableColumn>
    <tableColumn id="11" xr3:uid="{21C8BB66-EC89-4393-9463-DBFF3C48ECF2}" name="&lt; lvl 3" dataDxfId="140">
      <calculatedColumnFormula>IF(C3 = 6,E3*VLOOKUP(3,Table3[#All],2,FALSE),IF(C3 =5,E3*VLOOKUP(3,Table4[#All],2,FALSE),IF(C3 =4,E3*VLOOKUP(3,Table5[#All],2,FALSE),NA())))</calculatedColumnFormula>
    </tableColumn>
    <tableColumn id="12" xr3:uid="{937FF78E-DDC6-431F-AC64-5B8F79072069}" name="&lt; lvl 2" dataDxfId="139">
      <calculatedColumnFormula>IF(C3 = 6,E3*VLOOKUP(2,Table3[#All],2,FALSE),IF(C3 =5,E3*VLOOKUP(2,Table4[#All],2,FALSE),IF(C3 =4,E3*VLOOKUP(2,Table5[#All],2,FALSE),IF(C3 =3,E3*VLOOKUP(2,Table6[#All],2,FALSE),NA()))))</calculatedColumnFormula>
    </tableColumn>
    <tableColumn id="13" xr3:uid="{79DE25C1-27FB-4B5B-901A-BC30B79C512B}" name="&lt; lvl 1" dataDxfId="138">
      <calculatedColumnFormula>IF(C3 = 6,E3*VLOOKUP(1,Table3[#All],2,FALSE),IF(C3 =5,E3*VLOOKUP(1,Table4[#All],2,FALSE),IF(C3 =4,E3*VLOOKUP(1,Table5[#All],2,FALSE),IF(C3 =3,E3*VLOOKUP(1,Table6[#All],2,FALSE),IF(C3 =2,E3*VLOOKUP(1,Table7[#All],2,FALSE),NA())))))</calculatedColumnFormula>
    </tableColumn>
    <tableColumn id="14" xr3:uid="{76034E83-C891-4672-B009-82EAA965E939}" name="Ricochet chance" dataDxfId="137"/>
    <tableColumn id="15" xr3:uid="{8B9EA5C8-9935-418E-998F-BDE92A40C8D8}" name="Sound reduction" dataDxfId="136"/>
    <tableColumn id="16" xr3:uid="{0B299B86-6DD4-443F-9FD6-36EBA7BC743E}" name="Blocks Headset" dataDxfId="135"/>
    <tableColumn id="17" xr3:uid="{4B39BE44-337E-4865-99F8-DB31C553D2B3}" name="Movement Speed" dataDxfId="134"/>
    <tableColumn id="18" xr3:uid="{A8D1B82C-60FD-4792-A1D4-69CDD519F9B6}" name="Turn Speed" dataDxfId="133"/>
    <tableColumn id="19" xr3:uid="{6480A54C-95C7-429F-9921-F9E201A3B7FE}" name="Ergonomics" dataDxfId="132"/>
    <tableColumn id="29" xr3:uid="{229C879C-AFE5-45DD-8473-9116CED7C057}" name="Top" dataDxfId="131"/>
    <tableColumn id="20" xr3:uid="{9EE95252-D246-4756-9C20-8DF4EC019F79}" name="Nape" dataDxfId="130"/>
    <tableColumn id="21" xr3:uid="{C02C6F0C-AFDF-4F08-B349-058A9AF81B06}" name="Ears" dataDxfId="129"/>
    <tableColumn id="22" xr3:uid="{50A48083-9160-40B7-926D-09A4E4EACB2A}" name="Eyes" dataDxfId="128"/>
    <tableColumn id="23" xr3:uid="{9A67CE2C-A1D8-473F-98E6-1FE1E58E332E}" name="Jaws" dataDxfId="127"/>
    <tableColumn id="24" xr3:uid="{25F0A7A6-DBAD-470E-98AE-7EE782AD12F7}" name="Blocks Eyeware" dataDxfId="126"/>
    <tableColumn id="25" xr3:uid="{98DB13B5-DDDE-4883-97BC-CEB3BC8EEE29}" name="Blindness Protection" dataDxfId="125"/>
    <tableColumn id="26" xr3:uid="{CB9DEDEC-FDF7-4D35-88A2-6C5AD6C4FC87}" name="% Common penetrating rounds" dataDxfId="124">
      <calculatedColumnFormula>VLOOKUP(Table921[[#This Row],[Armor Level]],Table1217[#All],6,FALSE)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3544BE-752C-44E6-B26C-C09EBFA12F2D}" name="Table1022" displayName="Table1022" ref="A2:AB13" totalsRowShown="0" headerRowDxfId="123" dataDxfId="121" headerRowBorderDxfId="122" tableBorderDxfId="120" totalsRowBorderDxfId="119">
  <autoFilter ref="A2:AB13" xr:uid="{A03544BE-752C-44E6-B26C-C09EBFA12F2D}"/>
  <sortState xmlns:xlrd2="http://schemas.microsoft.com/office/spreadsheetml/2017/richdata2" ref="A3:AB13">
    <sortCondition descending="1" ref="B2:B13"/>
  </sortState>
  <tableColumns count="28">
    <tableColumn id="1" xr3:uid="{05F1C80C-73DF-47D4-A761-EAE90E35A01F}" name="Armor" dataDxfId="118"/>
    <tableColumn id="25" xr3:uid="{A82ED408-280F-4BE0-9EEA-1032E38EC1AC}" name="Overall value" dataDxfId="117">
      <calculatedColumnFormula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calculatedColumnFormula>
    </tableColumn>
    <tableColumn id="2" xr3:uid="{34CAB3B2-59BE-42B4-894A-67D5A903276C}" name="Armor Level" dataDxfId="116"/>
    <tableColumn id="3" xr3:uid="{49EA97A7-32CF-4394-ABA2-B2D5C42FB581}" name="Material" dataDxfId="115"/>
    <tableColumn id="4" xr3:uid="{48B49891-2C96-4AAC-91B4-D3AFD757BD39}" name="Durability" dataDxfId="114"/>
    <tableColumn id="5" xr3:uid="{1B715C33-CAB1-477B-BE64-D9B890D8187C}" name="Effective Durability" dataDxfId="113">
      <calculatedColumnFormula>ROUNDDOWN(E3/VLOOKUP(D3,Table2[#All],2,FALSE),0)</calculatedColumnFormula>
    </tableColumn>
    <tableColumn id="6" xr3:uid="{FB693B4E-6E9B-4001-AA55-C8AA8A63E07D}" name="Explosive Durability" dataDxfId="112">
      <calculatedColumnFormula>ROUNDDOWN(E3/VLOOKUP(D3,Table2[#All],3,FALSE),0)</calculatedColumnFormula>
    </tableColumn>
    <tableColumn id="7" xr3:uid="{BBEC1CAF-49FD-481E-B746-F3E2503D11FD}" name="Repairability" dataDxfId="111">
      <calculatedColumnFormula>VLOOKUP(D3,Table2[#All],4,FALSE)</calculatedColumnFormula>
    </tableColumn>
    <tableColumn id="8" xr3:uid="{C9E6B51A-0C76-4489-9859-C516CFEC2455}" name="Weight" dataDxfId="110"/>
    <tableColumn id="9" xr3:uid="{9A49CCF0-CDC5-4F96-A6B8-5883F3720B69}" name="&lt; lvl 5" dataDxfId="109">
      <calculatedColumnFormula>IF(C3&gt;5,E3*VLOOKUP(5,Table3[#All],2,FALSE),"N/A")</calculatedColumnFormula>
    </tableColumn>
    <tableColumn id="10" xr3:uid="{17758A45-453F-4139-8BC6-1F1F9CAD6F52}" name="&lt; lvl 4" dataDxfId="108">
      <calculatedColumnFormula>IF(C3 = 6,E3*VLOOKUP(4,Table3[#All],2,FALSE),IF(C3 =5,E3*VLOOKUP(4,Table4[#All],2,FALSE),"N/A"))</calculatedColumnFormula>
    </tableColumn>
    <tableColumn id="11" xr3:uid="{0AFF08BE-46CB-4629-A2E8-BBA5AAE551D2}" name="&lt; lvl 3" dataDxfId="107">
      <calculatedColumnFormula>IF(C3 = 6,E3*VLOOKUP(3,Table3[#All],2,FALSE),IF(C3 =5,E3*VLOOKUP(3,Table4[#All],2,FALSE),IF(C3 =4,E3*VLOOKUP(3,Table5[#All],2,FALSE),"N/A")))</calculatedColumnFormula>
    </tableColumn>
    <tableColumn id="12" xr3:uid="{6B7A31FB-EF89-450B-AA3A-7ACA4481FE65}" name="&lt; lvl 2" dataDxfId="106">
      <calculatedColumnFormula>IF(C3 = 6,E3*VLOOKUP(2,Table3[#All],2,FALSE),IF(C3 =5,E3*VLOOKUP(2,Table4[#All],2,FALSE),IF(C3 =4,E3*VLOOKUP(2,Table5[#All],2,FALSE),IF(C3 =3,E3*VLOOKUP(2,Table6[#All],2,FALSE),"N/A"))))</calculatedColumnFormula>
    </tableColumn>
    <tableColumn id="13" xr3:uid="{3BEB5F15-74D7-4009-9996-9F067B6A5778}" name="&lt; lvl 1" dataDxfId="105">
      <calculatedColumnFormula>IF(C3 = 6,E3*VLOOKUP(1,Table3[#All],2,FALSE),IF(C3 =5,E3*VLOOKUP(1,Table4[#All],2,FALSE),IF(C3 =4,E3*VLOOKUP(1,Table5[#All],2,FALSE),IF(C3 =3,E3*VLOOKUP(1,Table6[#All],2,FALSE),IF(C3 =2,E3*VLOOKUP(1,Table7[#All],2,FALSE),"N/A")))))</calculatedColumnFormula>
    </tableColumn>
    <tableColumn id="14" xr3:uid="{A43E1801-0F49-4412-B5C1-9E464C5D3F25}" name="Ricochet chance" dataDxfId="104"/>
    <tableColumn id="15" xr3:uid="{7CC9B751-B923-43E4-89C4-D6E5D51CE629}" name="Sound reduction" dataDxfId="103"/>
    <tableColumn id="26" xr3:uid="{49183577-0341-4C95-A80F-893695810B2C}" name="Blocks Headset" dataDxfId="102"/>
    <tableColumn id="27" xr3:uid="{DBBB02C3-FAAD-466B-BE73-7CE6976F0DE9}" name="Movement Speed2" dataDxfId="101"/>
    <tableColumn id="16" xr3:uid="{AFC7F80C-5760-4877-98C6-67602925EDE5}" name="Turn Speed" dataDxfId="100"/>
    <tableColumn id="17" xr3:uid="{D6F1133B-1B73-4894-8D57-B8BC605CD060}" name="Ergonomics" dataDxfId="99"/>
    <tableColumn id="23" xr3:uid="{5879AF45-6629-4564-AC9D-A3B3D5BEE6CD}" name="Top" dataDxfId="98"/>
    <tableColumn id="18" xr3:uid="{9D691199-953F-4D2B-BA0E-2A2F06526564}" name="Nape" dataDxfId="97"/>
    <tableColumn id="19" xr3:uid="{F4FB8E89-2EED-4672-A953-C140FA499803}" name="Ears" dataDxfId="96"/>
    <tableColumn id="20" xr3:uid="{9E5A3DFD-4C7C-426B-9CBF-5654AE677D3D}" name="Eyes" dataDxfId="95"/>
    <tableColumn id="21" xr3:uid="{D06AA8C5-2EC8-445C-8C31-8157461F1A4D}" name="Jaws" dataDxfId="94"/>
    <tableColumn id="24" xr3:uid="{F2AFBC16-2E94-49C8-B216-FC369800F72A}" name="Blocks Eyeware" dataDxfId="93"/>
    <tableColumn id="22" xr3:uid="{D7182CC1-D967-4007-99CC-442CD7E583CC}" name="Blindness Protection" dataDxfId="92"/>
    <tableColumn id="28" xr3:uid="{3057E6B5-F695-4960-A206-EA7B17E90491}" name="% Common penetrating rounds" dataDxfId="91">
      <calculatedColumnFormula>VLOOKUP(Table1022[[#This Row],[Armor Level]],Table1217[#All],6,FALSE)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57D58F0-586F-4CF2-8A37-3E4F88B7EBDA}" name="Table1123" displayName="Table1123" ref="A18:AB31" totalsRowShown="0" headerRowDxfId="90" headerRowBorderDxfId="89" tableBorderDxfId="88" totalsRowBorderDxfId="87">
  <autoFilter ref="A18:AB31" xr:uid="{B57D58F0-586F-4CF2-8A37-3E4F88B7EBDA}"/>
  <sortState xmlns:xlrd2="http://schemas.microsoft.com/office/spreadsheetml/2017/richdata2" ref="A19:AB31">
    <sortCondition descending="1" ref="B18:B31"/>
  </sortState>
  <tableColumns count="28">
    <tableColumn id="1" xr3:uid="{1C24921A-7ECA-4C55-9A74-0ADD437E6F0E}" name="Visor" dataDxfId="86"/>
    <tableColumn id="19" xr3:uid="{DD9CB396-A2FB-4A35-85B3-7621DA0A6479}" name="Overall value" dataDxfId="85">
      <calculatedColumnFormula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calculatedColumnFormula>
    </tableColumn>
    <tableColumn id="2" xr3:uid="{3C514B58-229F-4D57-B421-7262327DC59C}" name="Armor Level" dataDxfId="84"/>
    <tableColumn id="3" xr3:uid="{C9B399D3-336C-4C41-B875-BF4C08130A7A}" name="Material" dataDxfId="83"/>
    <tableColumn id="4" xr3:uid="{DE18715D-D955-4AF9-BDB6-72F97652A1AC}" name="Durability" dataDxfId="82"/>
    <tableColumn id="5" xr3:uid="{C8C116B0-1E7A-4901-A68F-C51B49E0D63A}" name="Effective Durability" dataDxfId="81">
      <calculatedColumnFormula>ROUNDDOWN(E19/VLOOKUP(D19,Table2[#All],2,FALSE),0)</calculatedColumnFormula>
    </tableColumn>
    <tableColumn id="6" xr3:uid="{C008803B-8B77-4654-B327-54468A0F4531}" name="Explosive Durability" dataDxfId="80">
      <calculatedColumnFormula>ROUNDDOWN(E19/VLOOKUP(D19,Table2[#All],3,FALSE),0)</calculatedColumnFormula>
    </tableColumn>
    <tableColumn id="7" xr3:uid="{00418202-966A-4761-B337-1E1617F30C97}" name="Repairability" dataDxfId="79">
      <calculatedColumnFormula>VLOOKUP(D19,Table2[#All],4,FALSE)</calculatedColumnFormula>
    </tableColumn>
    <tableColumn id="8" xr3:uid="{97FDECB6-958B-4C46-B210-BCDB501FE868}" name="Weight" dataDxfId="78"/>
    <tableColumn id="9" xr3:uid="{4C6A41A2-549D-43AB-9D13-0ECA91859A5F}" name="&lt; lvl 5" dataDxfId="77">
      <calculatedColumnFormula>IF(C19&gt;5,E19*VLOOKUP(5,Table3[#All],2,FALSE),"N/A")</calculatedColumnFormula>
    </tableColumn>
    <tableColumn id="10" xr3:uid="{37A9E937-74A0-47CF-9A61-6D10D3364A76}" name="&lt; lvl 4" dataDxfId="76">
      <calculatedColumnFormula>IF(C19 = 6,E19*VLOOKUP(4,Table3[#All],2,FALSE),IF(C19 =5,E19*VLOOKUP(4,Table4[#All],2,FALSE),"N/A"))</calculatedColumnFormula>
    </tableColumn>
    <tableColumn id="11" xr3:uid="{98B796D2-4537-4F9A-AD2E-1AF9BB14107A}" name="&lt; lvl 3" dataDxfId="75">
      <calculatedColumnFormula>IF(C19 = 6,E19*VLOOKUP(3,Table3[#All],2,FALSE),IF(C19 =5,E19*VLOOKUP(3,Table4[#All],2,FALSE),IF(C19 =4,E19*VLOOKUP(3,Table5[#All],2,FALSE),"N/A")))</calculatedColumnFormula>
    </tableColumn>
    <tableColumn id="12" xr3:uid="{DE56A40A-F9E2-4200-B541-8EDB363D0A7C}" name="&lt; lvl 2" dataDxfId="74">
      <calculatedColumnFormula>IF(C19 = 6,E19*VLOOKUP(2,Table3[#All],2,FALSE),IF(C19 =5,E19*VLOOKUP(2,Table4[#All],2,FALSE),IF(C19 =4,E19*VLOOKUP(2,Table5[#All],2,FALSE),IF(C19 =3,E19*VLOOKUP(2,Table6[#All],2,FALSE),"N/A"))))</calculatedColumnFormula>
    </tableColumn>
    <tableColumn id="13" xr3:uid="{119DF096-EB6E-4CF4-8CAE-E692A56BC71B}" name="&lt; lvl 1" dataDxfId="73">
      <calculatedColumnFormula>IF(C19 = 6,E19*VLOOKUP(1,Table3[#All],2,FALSE),IF(C19 =5,E19*VLOOKUP(1,Table4[#All],2,FALSE),IF(C19 =4,E19*VLOOKUP(1,Table5[#All],2,FALSE),IF(C19 =3,E19*VLOOKUP(1,Table6[#All],2,FALSE),IF(C19 =2,E19*VLOOKUP(1,Table7[#All],2,FALSE),"N/A")))))</calculatedColumnFormula>
    </tableColumn>
    <tableColumn id="14" xr3:uid="{4FF272AA-F624-4632-B650-964874669565}" name="Ricochet chance" dataDxfId="72"/>
    <tableColumn id="22" xr3:uid="{C5BE8AC4-AD31-43AE-A821-B3274E1722DF}" name="Sound reduction" dataDxfId="71"/>
    <tableColumn id="27" xr3:uid="{D635C673-08F7-4356-AFE7-1DF3BF6BDA9C}" name="Blocks Headset" dataDxfId="70"/>
    <tableColumn id="26" xr3:uid="{79154630-1D57-4438-A41F-82D48A4DCDD2}" name="Movement Speed" dataDxfId="69"/>
    <tableColumn id="15" xr3:uid="{0681BD93-E07E-4956-8947-5D793F310E59}" name="Turn Speed" dataDxfId="68"/>
    <tableColumn id="16" xr3:uid="{835C59C1-9341-4769-A45C-F12FD676720D}" name="Ergonomics" dataDxfId="67"/>
    <tableColumn id="24" xr3:uid="{8A9AB778-CED0-4260-955B-E87F41FDAF34}" name="Top" dataDxfId="66"/>
    <tableColumn id="23" xr3:uid="{0B379E6A-48AA-4184-966C-E5826D54A764}" name="Nape" dataDxfId="65"/>
    <tableColumn id="20" xr3:uid="{C7828AA9-A230-409B-899B-BEBC3F98BD47}" name="Ears" dataDxfId="64"/>
    <tableColumn id="21" xr3:uid="{6F154682-B640-4662-BEC3-19BAAC5F63BE}" name="Eyes" dataDxfId="63"/>
    <tableColumn id="17" xr3:uid="{4DF21CFC-359C-4AB4-9FCE-AB72007B5EB2}" name="Jaws" dataDxfId="62"/>
    <tableColumn id="25" xr3:uid="{C35B5702-2D8E-4D61-B3DC-DA0062408838}" name="Blocks Eyeware" dataDxfId="61"/>
    <tableColumn id="18" xr3:uid="{39174CFB-8DDE-48ED-A695-6AD6209BAF41}" name="Blindness Protection" dataDxfId="60"/>
    <tableColumn id="28" xr3:uid="{4C587B45-B334-419E-B210-B18C49FCA1D3}" name="% Common penetrating rounds" dataDxfId="59">
      <calculatedColumnFormula>VLOOKUP(Table1123[[#This Row],[Armor Level]],Table1217[#All],6,FALSE)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362C2D-B252-4AD8-BCD4-5D842E2FB671}" name="Table1316" displayName="Table1316" ref="A12:C88" totalsRowShown="0" headerRowDxfId="58" headerRowBorderDxfId="57" tableBorderDxfId="56" totalsRowBorderDxfId="55">
  <autoFilter ref="A12:C88" xr:uid="{75362C2D-B252-4AD8-BCD4-5D842E2FB671}"/>
  <sortState xmlns:xlrd2="http://schemas.microsoft.com/office/spreadsheetml/2017/richdata2" ref="A13:C88">
    <sortCondition descending="1" ref="C12:C88"/>
  </sortState>
  <tableColumns count="3">
    <tableColumn id="1" xr3:uid="{C649E2A7-93CD-4723-89FA-5CA50379EDE9}" name="Caliber" dataDxfId="54"/>
    <tableColumn id="2" xr3:uid="{738B15CB-7029-42C0-96F6-78949EF16315}" name="Ammo" dataDxfId="53"/>
    <tableColumn id="3" xr3:uid="{5C500EBA-3FC1-4034-A83C-92ED7667BD40}" name="Penetration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3375CB-227D-4A6E-8390-63DFA80CC076}" name="Table1217" displayName="Table1217" ref="A2:J9" totalsRowShown="0" headerRowDxfId="51" headerRowBorderDxfId="50" tableBorderDxfId="49" totalsRowBorderDxfId="48">
  <autoFilter ref="A2:J9" xr:uid="{003375CB-227D-4A6E-8390-63DFA80CC076}"/>
  <tableColumns count="10">
    <tableColumn id="1" xr3:uid="{5722DEBB-B45B-4059-AD8E-BC8C60F9FBBE}" name="Level of armor" dataDxfId="47"/>
    <tableColumn id="2" xr3:uid="{DCD7E0AF-12BC-4047-80ED-4243B5D969C8}" name="Overall # that penetrates" dataDxfId="46"/>
    <tableColumn id="3" xr3:uid="{88752095-67F0-4833-B305-962CF3B854E9}" name="   % of all " dataDxfId="45"/>
    <tableColumn id="4" xr3:uid="{365C826D-80D3-432F-9B92-E0523695F2A2}" name="Increased chance for downgdaring" dataDxfId="44"/>
    <tableColumn id="5" xr3:uid="{5961C91F-2516-4395-ABB8-2A30DEC48CC9}" name="# of common ammo" dataDxfId="43"/>
    <tableColumn id="6" xr3:uid="{1A25C0BB-F947-444D-9464-84699D625611}" name="% of common" dataDxfId="42"/>
    <tableColumn id="7" xr3:uid="{9E9C5D68-CF43-48AB-916E-84B0DBF9B26D}" name="Increased chance" dataDxfId="41"/>
    <tableColumn id="8" xr3:uid="{B21C8FDD-090C-4A8D-8266-CF5752B2828B}" name="# of META ammo" dataDxfId="40"/>
    <tableColumn id="9" xr3:uid="{5AEA4B7C-A6F2-47A1-A8D1-804B58C2B39C}" name="% of META" dataDxfId="39"/>
    <tableColumn id="10" xr3:uid="{7B6F25FB-6517-4328-8F8D-7FAED75EAED5}" name="lncreased chance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B77BD7A-61D7-442A-8B37-D812406CF8B9}" name="Table131518" displayName="Table131518" ref="E12:G44" totalsRowShown="0" headerRowDxfId="37" headerRowBorderDxfId="36" tableBorderDxfId="35" totalsRowBorderDxfId="34">
  <autoFilter ref="E12:G44" xr:uid="{CB77BD7A-61D7-442A-8B37-D812406CF8B9}"/>
  <sortState xmlns:xlrd2="http://schemas.microsoft.com/office/spreadsheetml/2017/richdata2" ref="E13:G44">
    <sortCondition descending="1" ref="G12:G44"/>
  </sortState>
  <tableColumns count="3">
    <tableColumn id="1" xr3:uid="{15629665-F7C1-4699-935B-AC1DCF52CF1E}" name="Caliber" dataDxfId="33"/>
    <tableColumn id="2" xr3:uid="{D8B9431C-BD30-46F9-9EF6-DBDC4063DEB4}" name="Ammo" dataDxfId="32"/>
    <tableColumn id="3" xr3:uid="{0FB7A046-DD6A-4942-8212-3AE2AB9B0586}" name="Penetration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114FBD-176D-43A2-B3F7-8406F313CA21}" name="Table2" displayName="Table2" ref="A8:D16" totalsRowShown="0" headerRowDxfId="26" tableBorderDxfId="25">
  <autoFilter ref="A8:D16" xr:uid="{9D114FBD-176D-43A2-B3F7-8406F313CA21}"/>
  <sortState xmlns:xlrd2="http://schemas.microsoft.com/office/spreadsheetml/2017/richdata2" ref="A9:D16">
    <sortCondition ref="B8:B16"/>
  </sortState>
  <tableColumns count="4">
    <tableColumn id="1" xr3:uid="{8D1504D7-186C-404A-B22B-A0ECAF996B97}" name="Material" dataDxfId="24"/>
    <tableColumn id="2" xr3:uid="{85ED0037-A380-4755-B604-EAD8F628C661}" name="Destructibility"/>
    <tableColumn id="3" xr3:uid="{15588D73-361F-477B-B3C3-9E612CB0E89E}" name="Explosive Destructibility"/>
    <tableColumn id="4" xr3:uid="{DFB6F4EA-F956-4C14-820D-24C90A49F88C}" name="Repair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ED2E-086B-4765-8EC7-B66D5AFAB770}">
  <dimension ref="B1:O55"/>
  <sheetViews>
    <sheetView tabSelected="1" zoomScale="85" zoomScaleNormal="85" workbookViewId="0">
      <selection activeCell="C2" sqref="C2"/>
    </sheetView>
  </sheetViews>
  <sheetFormatPr defaultColWidth="9.140625" defaultRowHeight="15" x14ac:dyDescent="0.25"/>
  <cols>
    <col min="1" max="1" width="4.42578125" style="1" customWidth="1"/>
    <col min="2" max="2" width="26.28515625" style="1" bestFit="1" customWidth="1"/>
    <col min="3" max="3" width="43.85546875" style="1" bestFit="1" customWidth="1"/>
    <col min="4" max="4" width="10" style="1" customWidth="1"/>
    <col min="5" max="5" width="26.28515625" style="1" bestFit="1" customWidth="1"/>
    <col min="6" max="6" width="43.85546875" style="1" bestFit="1" customWidth="1"/>
    <col min="7" max="7" width="9.28515625" style="1" customWidth="1"/>
    <col min="8" max="8" width="26.28515625" style="1" bestFit="1" customWidth="1"/>
    <col min="9" max="9" width="30.42578125" style="1" bestFit="1" customWidth="1"/>
    <col min="10" max="10" width="9.7109375" style="1" customWidth="1"/>
    <col min="11" max="11" width="20" style="1" bestFit="1" customWidth="1"/>
    <col min="12" max="12" width="25" style="1" bestFit="1" customWidth="1"/>
    <col min="13" max="13" width="15.85546875" style="1" bestFit="1" customWidth="1"/>
    <col min="14" max="14" width="20" style="1" bestFit="1" customWidth="1"/>
    <col min="15" max="15" width="25" style="1" bestFit="1" customWidth="1"/>
    <col min="16" max="16384" width="9.140625" style="1"/>
  </cols>
  <sheetData>
    <row r="1" spans="2:12" x14ac:dyDescent="0.25">
      <c r="B1" s="130" t="s">
        <v>299</v>
      </c>
      <c r="C1" s="133" t="s">
        <v>298</v>
      </c>
      <c r="D1" s="152"/>
      <c r="E1" s="156"/>
      <c r="F1" s="156"/>
      <c r="G1" s="156"/>
      <c r="H1" s="156"/>
      <c r="I1" s="152"/>
    </row>
    <row r="2" spans="2:12" ht="18.75" x14ac:dyDescent="0.3">
      <c r="B2" s="120" t="s">
        <v>182</v>
      </c>
      <c r="C2" s="151" t="s">
        <v>314</v>
      </c>
      <c r="D2" s="152"/>
      <c r="E2" s="153"/>
      <c r="F2" s="154" t="s">
        <v>308</v>
      </c>
      <c r="G2" s="153"/>
      <c r="H2" s="153"/>
      <c r="I2" s="152"/>
    </row>
    <row r="3" spans="2:12" ht="15.75" x14ac:dyDescent="0.25">
      <c r="B3" s="120" t="s">
        <v>187</v>
      </c>
      <c r="C3" s="151" t="s">
        <v>312</v>
      </c>
      <c r="D3" s="152"/>
      <c r="E3" s="153"/>
      <c r="F3" s="155" t="s">
        <v>309</v>
      </c>
      <c r="G3" s="153"/>
      <c r="H3" s="153"/>
      <c r="I3" s="152"/>
    </row>
    <row r="4" spans="2:12" x14ac:dyDescent="0.25">
      <c r="B4" s="120" t="s">
        <v>183</v>
      </c>
      <c r="C4" s="151" t="s">
        <v>311</v>
      </c>
      <c r="D4" s="152"/>
      <c r="E4" s="153"/>
      <c r="F4" s="153"/>
      <c r="G4" s="153"/>
      <c r="H4" s="153"/>
      <c r="I4" s="152"/>
    </row>
    <row r="5" spans="2:12" x14ac:dyDescent="0.25">
      <c r="B5" s="120" t="s">
        <v>184</v>
      </c>
      <c r="C5" s="151" t="s">
        <v>315</v>
      </c>
      <c r="D5" s="152"/>
      <c r="E5" s="156"/>
      <c r="F5" s="156"/>
      <c r="G5" s="156"/>
      <c r="H5" s="156"/>
      <c r="I5" s="152"/>
    </row>
    <row r="6" spans="2:12" x14ac:dyDescent="0.25">
      <c r="B6" s="120" t="s">
        <v>185</v>
      </c>
      <c r="C6" s="151" t="s">
        <v>313</v>
      </c>
      <c r="D6" s="152"/>
      <c r="E6" s="152"/>
      <c r="F6" s="152"/>
      <c r="G6" s="152"/>
      <c r="H6" s="152"/>
      <c r="I6" s="152"/>
    </row>
    <row r="7" spans="2:12" x14ac:dyDescent="0.25">
      <c r="B7" s="120" t="s">
        <v>186</v>
      </c>
      <c r="C7" s="13" t="s">
        <v>316</v>
      </c>
    </row>
    <row r="9" spans="2:12" ht="18.75" x14ac:dyDescent="0.3">
      <c r="B9" s="182" t="s">
        <v>302</v>
      </c>
      <c r="C9" s="182"/>
    </row>
    <row r="10" spans="2:12" x14ac:dyDescent="0.25">
      <c r="B10" s="120" t="s">
        <v>250</v>
      </c>
      <c r="C10" s="13" t="str">
        <f>IF(C2="",NA(),IF(ISNA(VLOOKUP("*"&amp;C2&amp;"*",Table120[#All],1,)),IF(ISNA(VLOOKUP("*"&amp;C2&amp;"*",Table819[#All],1,)),NA(),VLOOKUP("*"&amp;C2&amp;"*",Table819[#All],1,)),VLOOKUP("*"&amp;C2&amp;"*",Table120[#All],1,)))</f>
        <v>CQC Osprey MK4A plate carrier (Protection, MTP</v>
      </c>
      <c r="E10" s="183" t="s">
        <v>193</v>
      </c>
      <c r="F10" s="184"/>
      <c r="H10" s="183" t="s">
        <v>197</v>
      </c>
      <c r="I10" s="184"/>
      <c r="K10" s="185" t="s">
        <v>297</v>
      </c>
      <c r="L10" s="185"/>
    </row>
    <row r="11" spans="2:12" x14ac:dyDescent="0.25">
      <c r="B11" s="120" t="s">
        <v>188</v>
      </c>
      <c r="C11" s="13">
        <f>IF(ISNA(VLOOKUP("*"&amp;C10&amp;"*",Table120[#All],3,)),IF(ISNA(VLOOKUP("*"&amp;C10&amp;"*",Table819[#All],3,)),NA(),VLOOKUP("*"&amp;C10&amp;"*",Table819[#All],3,)),VLOOKUP("*"&amp;C10&amp;"*",Table120[#All],3,))</f>
        <v>5</v>
      </c>
      <c r="E11" s="120" t="s">
        <v>250</v>
      </c>
      <c r="F11" s="1" t="str">
        <f>IF(ISNA(C34),NA(),IF(AND(IF(ISNA(F35),0,F35)=F12,IF(ISNA(F49),FALSE,F49),IF(ISNA(F34),FALSE,TRUE)),F34,IF(AND(IF(ISNA(I35),0,I35)=F12,IF(ISNA(I49),FALSE,I49),IF(ISNA(I34),FALSE,TRUE)),I34,IF(AND(IF(ISNA(L35),0,L35)=F12,IF(ISNA(L49),FALSE,L49),IF(ISNA(L34),FALSE,TRUE)),L34,IF(AND(IF(ISNA(O35),0,O35)=F12,IF(ISNA(O49),FALSE,O49),IF(ISNA(O34),FALSE,TRUE)),O34,IF(AND(IF(ISNA(C35),0,C35)=F12,IF(ISNA(C49),FALSE,C49),IF(ISNA(C34),FALSE,TRUE)),C34,NA()))))))</f>
        <v>SLAAP armor Plate (Tan)</v>
      </c>
      <c r="H11" s="120" t="s">
        <v>250</v>
      </c>
      <c r="I11" s="1" t="str">
        <f>IF(ISNA(C34),NA(),IF(AND(IF(ISNA(F35),0,F35)=I12,IF(ISNA(F52),FALSE,F52),IF(ISNA(F34),FALSE,TRUE)),F34,IF(AND(IF(ISNA(I35),0,I35)=I12,IF(ISNA(I52),FALSE,I52),IF(ISNA(I34),FALSE,TRUE)),I34,IF(AND(IF(ISNA(L35),0,L35)=I12,IF(ISNA(L52),FALSE,L52),IF(ISNA(L34),FALSE,TRUE)),L34,IF(AND(IF(ISNA(O35),0,O35)=I12,IF(ISNA(O52),FALSE,O52),IF(ISNA(O34),FALSE,TRUE)),O34,IF(AND(IF(ISNA(C35),0,C35)=I12,IF(ISNA(C52),FALSE,C52),IF(ISNA(C34),FALSE,TRUE)),C34,NA()))))))</f>
        <v>NPP KlASS Condor glasses</v>
      </c>
      <c r="K11" s="120" t="s">
        <v>243</v>
      </c>
      <c r="L11" s="13" t="b">
        <f>IF(ISNA(I26),FALSE,I26)</f>
        <v>1</v>
      </c>
    </row>
    <row r="12" spans="2:12" x14ac:dyDescent="0.25">
      <c r="B12" s="120" t="s">
        <v>236</v>
      </c>
      <c r="C12" s="13">
        <f>IF(ISNA(VLOOKUP("*"&amp;C10&amp;"*",Table120[#All],5,)),IF(ISNA(VLOOKUP("*"&amp;C10&amp;"*",Table819[#All],5,)),NA(),VLOOKUP("*"&amp;C10&amp;"*",Table819[#All],5,)),VLOOKUP("*"&amp;C10&amp;"*",Table120[#All],5,))</f>
        <v>55</v>
      </c>
      <c r="E12" s="120" t="s">
        <v>188</v>
      </c>
      <c r="F12" s="13">
        <f>IF(ISNA(C34),0,MAX(IF(ISNA(C34),0,IF(C49,C35,0)),IF(ISNA(F34),0,IF(F49,F35,0)),IF(ISNA(I34),0,IF(I49,I35,0)),IF(ISNA(L34),0,IF(L49,L35,0)),IF(ISNA(O34),0,IF(O49,O35,0))))</f>
        <v>5</v>
      </c>
      <c r="H12" s="120" t="s">
        <v>188</v>
      </c>
      <c r="I12" s="13">
        <f>IF(ISNA(C34),0,MAX(IF(ISNA(C34),0,IF(C52,C35,0)),IF(ISNA(F34),0,IF(F52,F35,0)),IF(ISNA(I34),0,IF(I52,I35,0)),IF(ISNA(L34),0,IF(L52,L35,0)),IF(ISNA(O34),0,IF(O52,O35,0))))</f>
        <v>1</v>
      </c>
      <c r="K12" s="120" t="s">
        <v>248</v>
      </c>
      <c r="L12" s="131">
        <f>SUM(IF(ISNA(I27),0,I27),IF(ISNA(C25),0,C25))</f>
        <v>-0.17</v>
      </c>
    </row>
    <row r="13" spans="2:12" x14ac:dyDescent="0.25">
      <c r="B13" s="120" t="s">
        <v>237</v>
      </c>
      <c r="C13" s="13">
        <f>IF(ISNA(VLOOKUP("*"&amp;C10&amp;"*",Table120[#All],6,)),IF(ISNA(VLOOKUP("*"&amp;C10&amp;"*",Table819[#All],6,)),NA(),VLOOKUP("*"&amp;C10&amp;"*",Table819[#All],6,)),VLOOKUP("*"&amp;C10&amp;"*",Table120[#All],6,))</f>
        <v>110</v>
      </c>
      <c r="E13" s="120" t="s">
        <v>241</v>
      </c>
      <c r="F13" s="13" t="str">
        <f>IF(ISNA(C34),"None",IF(AND(IF(ISNA(F35),0,F35)=F12,IF(ISNA(F49),FALSE,F49),IF(ISNA(F34),FALSE,TRUE)),F44,IF(AND(IF(ISNA(I35),0,I35)=F12,IF(ISNA(I49),FALSE,I49),IF(ISNA(I34),FALSE,TRUE)),I44,IF(AND(IF(ISNA(L35),0,L35)=F12,IF(ISNA(L49),FALSE,L49),IF(ISNA(L34),FALSE,TRUE)),L44,IF(AND(IF(ISNA(O35),0,O35)=F12,IF(ISNA(O49),FALSE,O49),IF(ISNA(O34),FALSE,TRUE)),O44,IF(AND(IF(ISNA(C35),0,C35)=F12,IF(ISNA(C49),FALSE,C49),IF(ISNA(C34),FALSE,TRUE)),C44,"None"))))))</f>
        <v>High</v>
      </c>
      <c r="H13" s="120" t="s">
        <v>241</v>
      </c>
      <c r="I13" s="13" t="str">
        <f>IF(AND(IF(ISNA(F35),0,F35)=I12,IF(ISNA(F52),FALSE,F52),IF(ISNA(F34),FALSE,TRUE)),F44,IF(AND(IF(ISNA(I35),0,I35)=I12,IF(ISNA(I52),FALSE,I52),IF(ISNA(I34),FALSE,TRUE)),I44,IF(AND(IF(ISNA(L35),0,L35)=I12,IF(ISNA(L52),FALSE,L52),IF(ISNA(L34),FALSE,TRUE)),L44,IF(AND(IF(ISNA(O35),0,O35)=I12,IF(ISNA(O52),FALSE,O52),IF(ISNA(O34),FALSE,TRUE)),O44,IF(AND(IF(ISNA(C35),0,C35)=I12,IF(ISNA(C52),FALSE,C52),IF(ISNA(C34),FALSE,TRUE)),C44,"None")))))</f>
        <v>Medium</v>
      </c>
      <c r="K13" s="120" t="s">
        <v>245</v>
      </c>
      <c r="L13" s="131">
        <f>SUM(IF(ISNA(I28),0,I28),IF(ISNA(C26),0,C26))</f>
        <v>-0.26</v>
      </c>
    </row>
    <row r="14" spans="2:12" x14ac:dyDescent="0.25">
      <c r="B14" s="120" t="s">
        <v>189</v>
      </c>
      <c r="C14" s="13">
        <f>IF(ISNA(VLOOKUP("*"&amp;C10&amp;"*",Table120[#All],9,)),IF(ISNA(VLOOKUP("*"&amp;C10&amp;"*",Table819[#All],9,)),NA(),VLOOKUP("*"&amp;C10&amp;"*",Table819[#All],9,)),VLOOKUP("*"&amp;C10&amp;"*",Table120[#All],9,))</f>
        <v>12.5</v>
      </c>
      <c r="E14" s="120" t="s">
        <v>238</v>
      </c>
      <c r="F14" s="124" t="str">
        <f>_xlfn.CONCAT(TEXT(VLOOKUP(F12,Table1217[#All],3,),"0,00%")," (", VLOOKUP(F12,Table1217[#All],2,),")")</f>
        <v>11,59% (16)</v>
      </c>
      <c r="H14" s="120" t="s">
        <v>238</v>
      </c>
      <c r="I14" s="124" t="str">
        <f>_xlfn.CONCAT(TEXT(VLOOKUP(I12,Table1217[#All],3,),"0,00%")," (", VLOOKUP(I12,Table1217[#All],2,),")")</f>
        <v>82,61% (114)</v>
      </c>
      <c r="K14" s="120" t="s">
        <v>246</v>
      </c>
      <c r="L14" s="13">
        <f>SUM(IF(ISNA(C27),0,C27),IF(ISNA(I29),0,I29))</f>
        <v>-32</v>
      </c>
    </row>
    <row r="15" spans="2:12" x14ac:dyDescent="0.25">
      <c r="B15" s="8" t="s">
        <v>23</v>
      </c>
      <c r="C15" s="8" t="e">
        <f>IF(ISNA(VLOOKUP("*"&amp;C10&amp;"*",Table120[#All],10,)),IF(ISNA(VLOOKUP("*"&amp;C10&amp;"*",Table819[#All],10,)),NA(),VLOOKUP("*"&amp;C10&amp;"*",Table819[#All],10,)),VLOOKUP("*"&amp;C10&amp;"*",Table120[#All],10,))</f>
        <v>#N/A</v>
      </c>
      <c r="E15" s="120" t="s">
        <v>239</v>
      </c>
      <c r="F15" s="124" t="str">
        <f>_xlfn.CONCAT(TEXT(VLOOKUP(F12,Table1217[#All],6,),"0,00%")," (", VLOOKUP(F12,Table1217[#All],5,),")")</f>
        <v>21,05% (16)</v>
      </c>
      <c r="H15" s="120" t="s">
        <v>239</v>
      </c>
      <c r="I15" s="124" t="str">
        <f>_xlfn.CONCAT(TEXT(VLOOKUP(I12,Table1217[#All],6,),"0,00%")," (", VLOOKUP(I12,Table1217[#All],5,),")")</f>
        <v>86,84% (66)</v>
      </c>
      <c r="K15" s="120" t="s">
        <v>189</v>
      </c>
      <c r="L15" s="13">
        <f>SUM(IF(ISNA(I30),0,I30),IF(ISNA(C14),0,C14))</f>
        <v>17.13</v>
      </c>
    </row>
    <row r="16" spans="2:12" x14ac:dyDescent="0.25">
      <c r="B16" s="9" t="s">
        <v>24</v>
      </c>
      <c r="C16" s="9">
        <f>IF(ISNA(VLOOKUP("*"&amp;C10&amp;"*",Table120[#All],11,)),IF(ISNA(VLOOKUP("*"&amp;C10&amp;"*",Table819[#All],11,)),NA(),VLOOKUP("*"&amp;C10&amp;"*",Table819[#All],11,)),VLOOKUP("*"&amp;C10&amp;"*",Table120[#All],11,))</f>
        <v>22</v>
      </c>
      <c r="E16" s="120" t="s">
        <v>240</v>
      </c>
      <c r="F16" s="124" t="str">
        <f>_xlfn.CONCAT(TEXT(VLOOKUP(F12,Table1217[#All],9,),"0,00%")," (", VLOOKUP(F12,Table1217[#All],8,),")")</f>
        <v>50,00% (16)</v>
      </c>
      <c r="H16" s="120" t="s">
        <v>240</v>
      </c>
      <c r="I16" s="124" t="str">
        <f>_xlfn.CONCAT(TEXT(VLOOKUP(I12,Table1217[#All],9,),"0,00%")," (", VLOOKUP(I12,Table1217[#All],8,),")")</f>
        <v>90,63% (29)</v>
      </c>
      <c r="K16" s="120" t="s">
        <v>249</v>
      </c>
      <c r="L16" s="13" t="b">
        <f>IF(ISNA(I31),FALSE,I31)</f>
        <v>0</v>
      </c>
    </row>
    <row r="17" spans="2:9" x14ac:dyDescent="0.25">
      <c r="B17" s="10" t="s">
        <v>25</v>
      </c>
      <c r="C17" s="10">
        <f>IF(ISNA(VLOOKUP("*"&amp;C10&amp;"*",Table120[#All],12,)),IF(ISNA(VLOOKUP("*"&amp;C10&amp;"*",Table819[#All],12,)),NA(),VLOOKUP("*"&amp;C10&amp;"*",Table819[#All],12,)),VLOOKUP("*"&amp;C10&amp;"*",Table120[#All],12,))</f>
        <v>11</v>
      </c>
      <c r="E17" s="183" t="s">
        <v>194</v>
      </c>
      <c r="F17" s="184"/>
      <c r="H17" s="183" t="s">
        <v>196</v>
      </c>
      <c r="I17" s="184"/>
    </row>
    <row r="18" spans="2:9" x14ac:dyDescent="0.25">
      <c r="B18" s="11" t="s">
        <v>26</v>
      </c>
      <c r="C18" s="11">
        <f>IF(ISNA(VLOOKUP("*"&amp;C10&amp;"*",Table120[#All],13,)),IF(ISNA(VLOOKUP("*"&amp;C10&amp;"*",Table819[#All],13,)),NA(),VLOOKUP("*"&amp;C10&amp;"*",Table819[#All],13,)),VLOOKUP("*"&amp;C10&amp;"*",Table120[#All],13,))</f>
        <v>5.5</v>
      </c>
      <c r="E18" s="120" t="s">
        <v>250</v>
      </c>
      <c r="F18" s="1" t="str">
        <f>IF(ISNA(C34),NA(),IF(AND(IF(ISNA(F35),0,F35)=F19,IF(ISNA(F50),FALSE,F50),IF(ISNA(F34),FALSE,TRUE)),F34,IF(AND(IF(ISNA(I35),0,I35)=F19,IF(ISNA(I50),FALSE,I50),IF(ISNA(I34),FALSE,TRUE)),I34,IF(AND(IF(ISNA(L35),0,L35)=F19,IF(ISNA(L50),FALSE,L50),IF(ISNA(L34),FALSE,TRUE)),L34,IF(AND(IF(ISNA(O35),0,O35)=F19,IF(ISNA(O50),FALSE,O50),IF(ISNA(O34),FALSE,TRUE)),O34,IF(AND(IF(ISNA(C35),0,C35)=F19,IF(ISNA(C50),FALSE,C50),IF(ISNA(C34),FALSE,TRUE)),C34,NA()))))))</f>
        <v>Ops-Core Fast MT SUPER HIGH CUT Helmet</v>
      </c>
      <c r="H18" s="120" t="s">
        <v>250</v>
      </c>
      <c r="I18" s="1" t="str">
        <f>IF(ISNA(C34),NA(),IF(AND(IF(ISNA(F35),0,F35)=I19,IF(ISNA(F51),FALSE,F51),IF(ISNA(F34),FALSE,TRUE)),F34,IF(AND(IF(ISNA(I35),0,I35)=I19,IF(ISNA(I51),FALSE,I51),IF(ISNA(I34),FALSE,TRUE)),I34,IF(AND(IF(ISNA(L35),0,L35)=I19,IF(ISNA(L51),FALSE,L51),IF(ISNA(L34),FALSE,TRUE)),L34,IF(AND(IF(ISNA(O35),0,O35)=I19,IF(ISNA(O51),FALSE,O51),IF(ISNA(O34),FALSE,TRUE)),O34,IF(AND(IF(ISNA(C35),0,C35)=I19,IF(ISNA(C51),FALSE,C51),IF(ISNA(C34),FALSE,TRUE)),C34,NA()))))))</f>
        <v>Ops-Core Fast Side Armor</v>
      </c>
    </row>
    <row r="19" spans="2:9" x14ac:dyDescent="0.25">
      <c r="B19" s="12" t="s">
        <v>27</v>
      </c>
      <c r="C19" s="12">
        <f>IF(ISNA(VLOOKUP("*"&amp;C10&amp;"*",Table120[#All],14,)),IF(ISNA(VLOOKUP("*"&amp;C10&amp;"*",Table819[#All],14,)),NA(),VLOOKUP("*"&amp;C10&amp;"*",Table819[#All],14,)),VLOOKUP("*"&amp;C10&amp;"*",Table120[#All],14,))</f>
        <v>1.1000000000000001</v>
      </c>
      <c r="E19" s="120" t="s">
        <v>188</v>
      </c>
      <c r="F19" s="13">
        <f>IF(ISNA(C34),0,MAX(IF(ISNA(C34),0,IF(C50,C35,0)),IF(ISNA(F34),0,IF(F50,F35,0)),IF(ISNA(I34),0,IF(I50,I35,0)),IF(ISNA(L34),0,IF(L50,L35,0)),IF(ISNA(O34),0,IF(O50,O35,0))))</f>
        <v>4</v>
      </c>
      <c r="H19" s="120" t="s">
        <v>188</v>
      </c>
      <c r="I19" s="13">
        <f>IF(ISNA(C34),0,MAX(IF(ISNA(C34),0,IF(C51,C35,0)),IF(ISNA(F34),0,IF(F51,F35,0)),IF(ISNA(I34),0,IF(I51,I35,0)),IF(ISNA(L34),0,IF(L51,L35,0)),IF(ISNA(O34),0,IF(O51,O35,0))))</f>
        <v>3</v>
      </c>
    </row>
    <row r="20" spans="2:9" x14ac:dyDescent="0.25">
      <c r="B20" s="120" t="s">
        <v>190</v>
      </c>
      <c r="C20" s="13" t="b">
        <f>IF(ISNA(VLOOKUP("*"&amp;C10&amp;"*",Table120[#All],18,)),IF(ISNA(VLOOKUP("*"&amp;C10&amp;"*",Table819[#All],18,)),NA(),VLOOKUP("*"&amp;C10&amp;"*",Table819[#All],18,)),VLOOKUP("*"&amp;C10&amp;"*",Table120[#All],18,))</f>
        <v>0</v>
      </c>
      <c r="E20" s="120" t="s">
        <v>241</v>
      </c>
      <c r="F20" s="13" t="str">
        <f>IF(ISNA(C34),"None",IF(AND(IF(ISNA(F35),0,F35)=F19,IF(ISNA(F50),FALSE,F50),IF(ISNA(F34),FALSE,TRUE)),F44,IF(AND(IF(ISNA(I35),0,I35)=F19,IF(ISNA(I50),FALSE,I50),IF(ISNA(I34),FALSE,TRUE)),I44,IF(AND(IF(ISNA(L35),0,L35)=F19,IF(ISNA(L50),FALSE,L50),IF(ISNA(L34),FALSE,TRUE)),L44,IF(AND(IF(ISNA(O35),0,O35)=F19,IF(ISNA(O50),FALSE,O50),IF(ISNA(O34),FALSE,TRUE)),O44,IF(AND(IF(ISNA(C35),0,C35)=F19,IF(ISNA(C50),FALSE,C50),IF(ISNA(C34),FALSE,TRUE)),C44,"None"))))))</f>
        <v>High</v>
      </c>
      <c r="H20" s="120" t="s">
        <v>241</v>
      </c>
      <c r="I20" s="13" t="str">
        <f>IF(ISNA(C34),"None",IF(AND(IF(ISNA(F35),0,F35)=I19,IF(ISNA(F51),FALSE,F51),IF(ISNA(F34),FALSE,TRUE)),F44,IF(AND(IF(ISNA(I35),0,I35)=I19,IF(ISNA(I51),FALSE,I51),IF(ISNA(I34),FALSE,TRUE)),I44,IF(AND(IF(ISNA(L35),0,L35)=I19,IF(ISNA(L51),FALSE,L51),IF(ISNA(L34),FALSE,TRUE)),L44,IF(AND(IF(ISNA(O35),0,O35)=I19,IF(ISNA(O51),FALSE,O51),IF(ISNA(O34),FALSE,TRUE)),O44,IF(AND(IF(ISNA(C35),0,C35)=I19,IF(ISNA(C51),FALSE,C51),IF(ISNA(C34),FALSE,TRUE)),C44,"None"))))))</f>
        <v>High</v>
      </c>
    </row>
    <row r="21" spans="2:9" x14ac:dyDescent="0.25">
      <c r="B21" s="120" t="s">
        <v>191</v>
      </c>
      <c r="C21" s="13" t="b">
        <f>IF(ISNA(VLOOKUP("*"&amp;C10&amp;"*",Table120[#All],19,)),IF(ISNA(VLOOKUP("*"&amp;C10&amp;"*",Table819[#All],19,)),NA(),VLOOKUP("*"&amp;C10&amp;"*",Table819[#All],19,)),VLOOKUP("*"&amp;C10&amp;"*",Table120[#All],19,))</f>
        <v>1</v>
      </c>
      <c r="E21" s="120" t="s">
        <v>238</v>
      </c>
      <c r="F21" s="124" t="str">
        <f>_xlfn.CONCAT(TEXT(VLOOKUP(F19,Table1217[#All],3,),"0,00%")," (", VLOOKUP(F19,Table1217[#All],2,),")")</f>
        <v>25,36% (35)</v>
      </c>
      <c r="H21" s="120" t="s">
        <v>238</v>
      </c>
      <c r="I21" s="124" t="str">
        <f>_xlfn.CONCAT(TEXT(VLOOKUP(I19,Table1217[#All],3,),"0,00%")," (", VLOOKUP(I19,Table1217[#All],2,),")")</f>
        <v>40,58% (56)</v>
      </c>
    </row>
    <row r="22" spans="2:9" x14ac:dyDescent="0.25">
      <c r="B22" s="120" t="s">
        <v>238</v>
      </c>
      <c r="C22" s="116" t="str">
        <f>_xlfn.CONCAT(TEXT(VLOOKUP(C11,Table1217[#All],3,),"0,00%")," (", VLOOKUP(C11,Table1217[#All],2,),")")</f>
        <v>11,59% (16)</v>
      </c>
      <c r="E22" s="120" t="s">
        <v>239</v>
      </c>
      <c r="F22" s="124" t="str">
        <f>_xlfn.CONCAT(TEXT(VLOOKUP(F19,Table1217[#All],6,),"0,00%")," (", VLOOKUP(F19,Table1217[#All],5,),")")</f>
        <v>43,42% (33)</v>
      </c>
      <c r="H22" s="120" t="s">
        <v>239</v>
      </c>
      <c r="I22" s="124" t="str">
        <f>_xlfn.CONCAT(TEXT(VLOOKUP(I19,Table1217[#All],6,),"0,00%")," (", VLOOKUP(I19,Table1217[#All],5,),")")</f>
        <v>63,16% (48)</v>
      </c>
    </row>
    <row r="23" spans="2:9" x14ac:dyDescent="0.25">
      <c r="B23" s="120" t="s">
        <v>239</v>
      </c>
      <c r="C23" s="116" t="str">
        <f>_xlfn.CONCAT(TEXT(VLOOKUP(C11,Table1217[#All],6,),"0,00%")," (", VLOOKUP(C11,Table1217[#All],5,),")")</f>
        <v>21,05% (16)</v>
      </c>
      <c r="E23" s="120" t="s">
        <v>240</v>
      </c>
      <c r="F23" s="124" t="str">
        <f>_xlfn.CONCAT(TEXT(VLOOKUP(F19,Table1217[#All],9,),"0,00%")," (", VLOOKUP(F19,Table1217[#All],8,),")")</f>
        <v>75,00% (24)</v>
      </c>
      <c r="H23" s="120" t="s">
        <v>240</v>
      </c>
      <c r="I23" s="124" t="str">
        <f>_xlfn.CONCAT(TEXT(VLOOKUP(I19,Table1217[#All],9,),"0,00%")," (", VLOOKUP(I19,Table1217[#All],8,),")")</f>
        <v>84,38% (27)</v>
      </c>
    </row>
    <row r="24" spans="2:9" x14ac:dyDescent="0.25">
      <c r="B24" s="120" t="s">
        <v>240</v>
      </c>
      <c r="C24" s="116" t="str">
        <f>_xlfn.CONCAT(TEXT(VLOOKUP(C11,Table1217[#All],9,),"0,00%")," (", VLOOKUP(C11,Table1217[#All],8,),")")</f>
        <v>50,00% (16)</v>
      </c>
      <c r="E24" s="183" t="s">
        <v>195</v>
      </c>
      <c r="F24" s="184"/>
      <c r="H24" s="183" t="s">
        <v>242</v>
      </c>
      <c r="I24" s="184"/>
    </row>
    <row r="25" spans="2:9" x14ac:dyDescent="0.25">
      <c r="B25" s="120" t="s">
        <v>248</v>
      </c>
      <c r="C25" s="131">
        <f>IF(ISNA(VLOOKUP("*"&amp;C10&amp;"*",Table120[#All],15,)),IF(ISNA(VLOOKUP("*"&amp;C10&amp;"*",Table819[#All],15,)),NA(),VLOOKUP("*"&amp;C10&amp;"*",Table819[#All],15,)),VLOOKUP("*"&amp;C10&amp;"*",Table120[#All],15,))*-1</f>
        <v>-0.16</v>
      </c>
      <c r="E25" s="120" t="s">
        <v>250</v>
      </c>
      <c r="F25" s="1" t="str">
        <f>IF(ISNA(C34),NA(),IF(AND(IF(ISNA(F35),0,F35)=F26,IF(ISNA(F53),FALSE,F53),IF(ISNA(F34),FALSE,TRUE)),F34,IF(AND(IF(ISNA(I35),0,I35)=F26,IF(ISNA(I53),FALSE,I53),IF(ISNA(I34),FALSE,TRUE)),I34,IF(AND(IF(ISNA(L35),0,L35)=F26,IF(ISNA(L53),FALSE,L53),IF(ISNA(L34),FALSE,TRUE)),L34,IF(AND(IF(ISNA(O35),0,O35)=F26,IF(ISNA(O53),FALSE,O53),IF(ISNA(O34),FALSE,TRUE)),O34,IF(AND(IF(ISNA(C35),0,C35)=F26,IF(ISNA(C53),FALSE,C53),IF(ISNA(C34),FALSE,TRUE)),C34,NA()))))))</f>
        <v>Ops-Core Fast GUNSIGHT Mandible</v>
      </c>
      <c r="H25" s="120" t="s">
        <v>244</v>
      </c>
      <c r="I25" s="132">
        <f>SUM(IF(ISNA(C55),0,C55),IF(ISNA(F55),0,F55),IF(ISNA(I55),0,I55),IF(ISNA(L55),0,L55),IF(ISNA(O55),0,O55))</f>
        <v>0.1</v>
      </c>
    </row>
    <row r="26" spans="2:9" x14ac:dyDescent="0.25">
      <c r="B26" s="120" t="s">
        <v>245</v>
      </c>
      <c r="C26" s="131">
        <f>IF(ISNA(VLOOKUP("*"&amp;C10&amp;"*",Table120[#All],16,)),IF(ISNA(VLOOKUP("*"&amp;C10&amp;"*",Table819[#All],16,)),NA(),VLOOKUP("*"&amp;C10&amp;"*",Table819[#All],16,)),VLOOKUP("*"&amp;C10&amp;"*",Table120[#All],16,))*-1</f>
        <v>-0.11</v>
      </c>
      <c r="E26" s="120" t="s">
        <v>188</v>
      </c>
      <c r="F26" s="13">
        <f>IF(ISNA(C34),0,MAX(IF(ISNA(C34),0,IF(C53,C35,0)),IF(ISNA(F34),0,IF(F53,F35,0)),IF(ISNA(I34),0,IF(I53,I35,0)),IF(ISNA(L34),0,IF(L53,L35,0)),IF(ISNA(O34),0,IF(O53,O35,0))))</f>
        <v>2</v>
      </c>
      <c r="H26" s="120" t="s">
        <v>243</v>
      </c>
      <c r="I26" s="124" t="b">
        <f>OR(IF(ISNA(C54),FALSE,C54),IF(ISNA(F54),FALSE,F54),IF(ISNA(I54),FALSE,I54),IF(ISNA(L54),FALSE,L54),IF(ISNA(O54),FALSE,O54),)</f>
        <v>1</v>
      </c>
    </row>
    <row r="27" spans="2:9" x14ac:dyDescent="0.25">
      <c r="B27" s="120" t="s">
        <v>246</v>
      </c>
      <c r="C27" s="13">
        <f>IF(ISNA(VLOOKUP("*"&amp;C10&amp;"*",Table120[#All],17,)),IF(ISNA(VLOOKUP("*"&amp;C10&amp;"*",Table819[#All],17,)),NA(),VLOOKUP("*"&amp;C10&amp;"*",Table819[#All],17,)),VLOOKUP("*"&amp;C10&amp;"*",Table120[#All],17,))</f>
        <v>-11</v>
      </c>
      <c r="E27" s="120" t="s">
        <v>241</v>
      </c>
      <c r="F27" s="13" t="str">
        <f>IF(ISNA(C34),"None",IF(AND(IF(ISNA(F35),0,F35)=F26,IF(ISNA(F53),FALSE,F53),IF(ISNA(F34),FALSE,TRUE)),F44,IF(AND(IF(ISNA(I35),0,I35)=F26,IF(ISNA(I53),FALSE,I53),IF(ISNA(I34),FALSE,TRUE)),I44,IF(AND(IF(ISNA(L35),0,L35)=F26,IF(ISNA(L53),FALSE,L53),IF(ISNA(L34),FALSE,TRUE)),L44,IF(AND(IF(ISNA(O35),0,O35)=F26,IF(ISNA(O53),FALSE,O53),IF(ISNA(O34),FALSE,TRUE)),O44,IF(AND(IF(ISNA(C35),0,C35)=F26,IF(ISNA(C53),FALSE,C53),IF(ISNA(C34),FALSE,TRUE)),C44,"None"))))))</f>
        <v>None</v>
      </c>
      <c r="H27" s="120" t="s">
        <v>248</v>
      </c>
      <c r="I27" s="132">
        <f>SUM(IF(ISNA(C46),0,C46),IF(ISNA(F46),0,F46),IF(ISNA(I46),0,I46),IF(ISNA(L46),0,L46),IF(ISNA(O46),0,O46))</f>
        <v>-0.01</v>
      </c>
    </row>
    <row r="28" spans="2:9" x14ac:dyDescent="0.25">
      <c r="E28" s="120" t="s">
        <v>238</v>
      </c>
      <c r="F28" s="124" t="str">
        <f>_xlfn.CONCAT(TEXT(VLOOKUP(F26,Table1217[#All],3,),"0,00%")," (", VLOOKUP(F26,Table1217[#All],2,),")")</f>
        <v>57,97% (80)</v>
      </c>
      <c r="H28" s="120" t="s">
        <v>245</v>
      </c>
      <c r="I28" s="132">
        <f>SUM(IF(ISNA(C47),0,C47),IF(ISNA(F47),0,F47),IF(ISNA(I47),0,I47),IF(ISNA(L47),0,L47),IF(ISNA(O47),0,O47))</f>
        <v>-0.15000000000000002</v>
      </c>
    </row>
    <row r="29" spans="2:9" x14ac:dyDescent="0.25">
      <c r="E29" s="120" t="s">
        <v>239</v>
      </c>
      <c r="F29" s="124" t="str">
        <f>_xlfn.CONCAT(TEXT(VLOOKUP(F26,Table1217[#All],6,),"0,00%")," (", VLOOKUP(F26,Table1217[#All],5,),")")</f>
        <v>75,00% (57)</v>
      </c>
      <c r="H29" s="120" t="s">
        <v>246</v>
      </c>
      <c r="I29" s="126">
        <f>SUM(IF(ISNA(C48),0,C48),IF(ISNA(F48),0,F48),IF(ISNA(I48),0,I48),IF(ISNA(L48),0,L48),IF(ISNA(O48),0,O48))</f>
        <v>-21</v>
      </c>
    </row>
    <row r="30" spans="2:9" x14ac:dyDescent="0.25">
      <c r="E30" s="120" t="s">
        <v>240</v>
      </c>
      <c r="F30" s="124" t="str">
        <f>_xlfn.CONCAT(TEXT(VLOOKUP(F26,Table1217[#All],9,),"0,00%")," (", VLOOKUP(F26,Table1217[#All],8,),")")</f>
        <v>84,38% (27)</v>
      </c>
      <c r="H30" s="120" t="s">
        <v>189</v>
      </c>
      <c r="I30" s="126">
        <f>SUM(IF(ISNA(C38),0,C38),IF(ISNA(F38),0,F38),IF(ISNA(I38),0,I38),IF(ISNA(L38),0,L38),IF(ISNA(O38),0,O38))</f>
        <v>4.63</v>
      </c>
    </row>
    <row r="31" spans="2:9" x14ac:dyDescent="0.25">
      <c r="H31" s="120" t="s">
        <v>249</v>
      </c>
      <c r="I31" s="13" t="b">
        <f>OR(IF(ISNA(C45),FALSE,C45),IF(ISNA(F45),FALSE,F45),IF(ISNA(I45),FALSE,I45),IF(ISNA(L45),FALSE,L45),IF(ISNA(O45),FALSE,O45),)</f>
        <v>0</v>
      </c>
    </row>
    <row r="33" spans="2:15" ht="18.75" x14ac:dyDescent="0.3">
      <c r="B33" s="182" t="s">
        <v>300</v>
      </c>
      <c r="C33" s="182"/>
      <c r="E33" s="182" t="s">
        <v>301</v>
      </c>
      <c r="F33" s="182"/>
      <c r="H33" s="182" t="s">
        <v>305</v>
      </c>
      <c r="I33" s="182"/>
      <c r="K33" s="182" t="s">
        <v>304</v>
      </c>
      <c r="L33" s="182"/>
      <c r="N33" s="182" t="s">
        <v>303</v>
      </c>
      <c r="O33" s="182"/>
    </row>
    <row r="34" spans="2:15" x14ac:dyDescent="0.25">
      <c r="B34" s="120" t="s">
        <v>250</v>
      </c>
      <c r="C34" s="13" t="str">
        <f>IF(C3="",NA(),IF(ISNA(VLOOKUP("*"&amp;C3&amp;"*",Table921[#All],1,)),NA(),VLOOKUP("*"&amp;C3&amp;"*",Table921[#All],1,)))</f>
        <v>Ops-Core Fast MT SUPER HIGH CUT Helmet</v>
      </c>
      <c r="E34" s="120" t="s">
        <v>250</v>
      </c>
      <c r="F34" s="13" t="str">
        <f>IF(ISNA(C34),NA(),IF(C4="",NA(),IF(ISNA(VLOOKUP("*"&amp;C4&amp;"*",Table1022[#All],1,)),IF(ISNA(VLOOKUP("*"&amp;C4&amp;"*",Table1123[#All],1,)),NA(),VLOOKUP("*"&amp;C4&amp;"*",Table1123[#All],1,)),VLOOKUP("*"&amp;C4&amp;"*",Table1022[#All],1,))))</f>
        <v>NPP KlASS Condor glasses</v>
      </c>
      <c r="H34" s="120" t="s">
        <v>250</v>
      </c>
      <c r="I34" s="13" t="str">
        <f>IF(ISNA(C34),NA(),IF(C5="",NA(),IF(ISNA(VLOOKUP("*"&amp;C5&amp;"*",Table1022[#All],1,)),IF(ISNA(VLOOKUP("*"&amp;C5&amp;"*",Table1123[#All],1,)),NA(),VLOOKUP("*"&amp;C5&amp;"*",Table1123[#All],1,)),VLOOKUP("*"&amp;C5&amp;"*",Table1022[#All],1,))))</f>
        <v>SLAAP armor Plate (Tan)</v>
      </c>
      <c r="K34" s="120" t="s">
        <v>250</v>
      </c>
      <c r="L34" s="13" t="str">
        <f>IF(ISNA(C34),NA(),IF(C6="",NA(),IF(ISNA(VLOOKUP("*"&amp;C6&amp;"*",Table1022[#All],1,)),IF(ISNA(VLOOKUP("*"&amp;C6&amp;"*",Table1123[#All],1,)),NA(),VLOOKUP("*"&amp;C6&amp;"*",Table1123[#All],1,)),VLOOKUP("*"&amp;C6&amp;"*",Table1022[#All],1,))))</f>
        <v>Ops-Core Fast Side Armor</v>
      </c>
      <c r="N34" s="120" t="s">
        <v>250</v>
      </c>
      <c r="O34" s="13" t="str">
        <f>IF(ISNA(C34),NA(),IF(C7="",NA(),IF(ISNA(VLOOKUP("*"&amp;C7&amp;"*",Table1022[#All],1,)),IF(ISNA(VLOOKUP("*"&amp;C7&amp;"*",Table1123[#All],1,)),NA(),VLOOKUP("*"&amp;C7&amp;"*",Table1123[#All],1,)),VLOOKUP("*"&amp;C7&amp;"*",Table1022[#All],1,))))</f>
        <v>Ops-Core Fast GUNSIGHT Mandible</v>
      </c>
    </row>
    <row r="35" spans="2:15" x14ac:dyDescent="0.25">
      <c r="B35" s="120" t="s">
        <v>188</v>
      </c>
      <c r="C35" s="13">
        <f>IF(ISNA(VLOOKUP("*"&amp;C34&amp;"*",Table921[#All],1,)),NA(),VLOOKUP("*"&amp;C34&amp;"*",Table921[#All],3,))</f>
        <v>4</v>
      </c>
      <c r="E35" s="120" t="s">
        <v>188</v>
      </c>
      <c r="F35" s="13">
        <f>IF(ISNA(VLOOKUP("*"&amp;F34&amp;"*",Table1022[#All],3,)),IF(ISNA(VLOOKUP("*"&amp;F34&amp;"*",Table1123[#All],3,)),NA(),VLOOKUP("*"&amp;F34&amp;"*",Table1123[#All],3,)),VLOOKUP("*"&amp;F34&amp;"*",Table1022[#All],3,))</f>
        <v>1</v>
      </c>
      <c r="H35" s="120" t="s">
        <v>188</v>
      </c>
      <c r="I35" s="13">
        <f>IF(ISNA(VLOOKUP("*"&amp;I34&amp;"*",Table1022[#All],3,)),IF(ISNA(VLOOKUP("*"&amp;I34&amp;"*",Table1123[#All],3,)),NA(),VLOOKUP("*"&amp;I34&amp;"*",Table1123[#All],3,)),VLOOKUP("*"&amp;I34&amp;"*",Table1022[#All],3,))</f>
        <v>5</v>
      </c>
      <c r="K35" s="120" t="s">
        <v>188</v>
      </c>
      <c r="L35" s="13">
        <f>IF(ISNA(VLOOKUP("*"&amp;L34&amp;"*",Table1022[#All],3,)),IF(ISNA(VLOOKUP("*"&amp;L34&amp;"*",Table1123[#All],3,)),NA(),VLOOKUP("*"&amp;L34&amp;"*",Table1123[#All],3,)),VLOOKUP("*"&amp;L34&amp;"*",Table1022[#All],3,))</f>
        <v>3</v>
      </c>
      <c r="N35" s="120" t="s">
        <v>188</v>
      </c>
      <c r="O35" s="13">
        <f>IF(ISNA(VLOOKUP("*"&amp;O34&amp;"*",Table1022[#All],3,)),IF(ISNA(VLOOKUP("*"&amp;O34&amp;"*",Table1123[#All],3,)),NA(),VLOOKUP("*"&amp;O34&amp;"*",Table1123[#All],3,)),VLOOKUP("*"&amp;O34&amp;"*",Table1022[#All],3,))</f>
        <v>2</v>
      </c>
    </row>
    <row r="36" spans="2:15" x14ac:dyDescent="0.25">
      <c r="B36" s="120" t="s">
        <v>236</v>
      </c>
      <c r="C36" s="13">
        <f>IF(ISNA(VLOOKUP("*"&amp;C34&amp;"*",Table921[#All],5,)),NA(),VLOOKUP("*"&amp;C34&amp;"*",Table921[#All],5,))</f>
        <v>40</v>
      </c>
      <c r="E36" s="120" t="s">
        <v>236</v>
      </c>
      <c r="F36" s="13">
        <f>IF(ISNA(VLOOKUP("*"&amp;F34&amp;"*",Table1022[#All],5,)),IF(ISNA(VLOOKUP("*"&amp;F34&amp;"*",Table1123[#All],5,)),NA(),VLOOKUP("*"&amp;F34&amp;"*",Table1123[#All],5,)),VLOOKUP("*"&amp;F34&amp;"*",Table1022[#All],5,))</f>
        <v>25</v>
      </c>
      <c r="H36" s="120" t="s">
        <v>236</v>
      </c>
      <c r="I36" s="13">
        <f>IF(ISNA(VLOOKUP("*"&amp;I34&amp;"*",Table1022[#All],5,)),IF(ISNA(VLOOKUP("*"&amp;I34&amp;"*",Table1123[#All],5,)),NA(),VLOOKUP("*"&amp;I34&amp;"*",Table1123[#All],5,)),VLOOKUP("*"&amp;I34&amp;"*",Table1022[#All],5,))</f>
        <v>30</v>
      </c>
      <c r="K36" s="120" t="s">
        <v>236</v>
      </c>
      <c r="L36" s="13">
        <f>IF(ISNA(VLOOKUP("*"&amp;L34&amp;"*",Table1022[#All],5,)),IF(ISNA(VLOOKUP("*"&amp;L34&amp;"*",Table1123[#All],5,)),NA(),VLOOKUP("*"&amp;L34&amp;"*",Table1123[#All],5,)),VLOOKUP("*"&amp;L34&amp;"*",Table1022[#All],5,))</f>
        <v>25</v>
      </c>
      <c r="N36" s="120" t="s">
        <v>236</v>
      </c>
      <c r="O36" s="13">
        <f>IF(ISNA(VLOOKUP("*"&amp;O34&amp;"*",Table1022[#All],5,)),IF(ISNA(VLOOKUP("*"&amp;O34&amp;"*",Table1123[#All],5,)),NA(),VLOOKUP("*"&amp;O34&amp;"*",Table1123[#All],5,)),VLOOKUP("*"&amp;O34&amp;"*",Table1022[#All],5,))</f>
        <v>20</v>
      </c>
    </row>
    <row r="37" spans="2:15" x14ac:dyDescent="0.25">
      <c r="B37" s="120" t="s">
        <v>237</v>
      </c>
      <c r="C37" s="13">
        <f>IF(ISNA(VLOOKUP("*"&amp;C34&amp;"*",Table921[#All],6,)),NA(),VLOOKUP("*"&amp;C34&amp;"*",Table921[#All],6,))</f>
        <v>80</v>
      </c>
      <c r="E37" s="120" t="s">
        <v>237</v>
      </c>
      <c r="F37" s="13">
        <f>IF(ISNA(VLOOKUP("*"&amp;F34&amp;"*",Table1022[#All],6,)),IF(ISNA(VLOOKUP("*"&amp;F34&amp;"*",Table1123[#All],6,)),NA(),VLOOKUP("*"&amp;F34&amp;"*",Table1123[#All],6,)),VLOOKUP("*"&amp;F34&amp;"*",Table1022[#All],6,))</f>
        <v>31</v>
      </c>
      <c r="H37" s="120" t="s">
        <v>237</v>
      </c>
      <c r="I37" s="13">
        <f>IF(ISNA(VLOOKUP("*"&amp;I34&amp;"*",Table1022[#All],6,)),IF(ISNA(VLOOKUP("*"&amp;I34&amp;"*",Table1123[#All],6,)),NA(),VLOOKUP("*"&amp;I34&amp;"*",Table1123[#All],6,)),VLOOKUP("*"&amp;I34&amp;"*",Table1022[#All],6,))</f>
        <v>66</v>
      </c>
      <c r="K37" s="120" t="s">
        <v>237</v>
      </c>
      <c r="L37" s="13">
        <f>IF(ISNA(VLOOKUP("*"&amp;L34&amp;"*",Table1022[#All],6,)),IF(ISNA(VLOOKUP("*"&amp;L34&amp;"*",Table1123[#All],6,)),NA(),VLOOKUP("*"&amp;L34&amp;"*",Table1123[#All],6,)),VLOOKUP("*"&amp;L34&amp;"*",Table1022[#All],6,))</f>
        <v>41</v>
      </c>
      <c r="N37" s="120" t="s">
        <v>237</v>
      </c>
      <c r="O37" s="13">
        <f>IF(ISNA(VLOOKUP("*"&amp;O34&amp;"*",Table1022[#All],6,)),IF(ISNA(VLOOKUP("*"&amp;O34&amp;"*",Table1123[#All],6,)),NA(),VLOOKUP("*"&amp;O34&amp;"*",Table1123[#All],6,)),VLOOKUP("*"&amp;O34&amp;"*",Table1022[#All],6,))</f>
        <v>80</v>
      </c>
    </row>
    <row r="38" spans="2:15" x14ac:dyDescent="0.25">
      <c r="B38" s="120" t="s">
        <v>189</v>
      </c>
      <c r="C38" s="13">
        <f>IF(ISNA(VLOOKUP("*"&amp;C34&amp;"*",Table921[#All],9,)),NA(),VLOOKUP("*"&amp;C34&amp;"*",Table921[#All],9,))</f>
        <v>0.9</v>
      </c>
      <c r="E38" s="120" t="s">
        <v>189</v>
      </c>
      <c r="F38" s="13">
        <f>IF(ISNA(VLOOKUP("*"&amp;F34&amp;"*",Table1022[#All],9,)),IF(ISNA(VLOOKUP("*"&amp;F34&amp;"*",Table1123[#All],9,)),NA(),VLOOKUP("*"&amp;F34&amp;"*",Table1123[#All],9,)),VLOOKUP("*"&amp;F34&amp;"*",Table1022[#All],9,))</f>
        <v>0.03</v>
      </c>
      <c r="H38" s="120" t="s">
        <v>189</v>
      </c>
      <c r="I38" s="13">
        <f>IF(ISNA(VLOOKUP("*"&amp;I34&amp;"*",Table1022[#All],9,)),IF(ISNA(VLOOKUP("*"&amp;I34&amp;"*",Table1123[#All],9,)),NA(),VLOOKUP("*"&amp;I34&amp;"*",Table1123[#All],9,)),VLOOKUP("*"&amp;I34&amp;"*",Table1022[#All],9,))</f>
        <v>1.3</v>
      </c>
      <c r="K38" s="120" t="s">
        <v>189</v>
      </c>
      <c r="L38" s="13">
        <f>IF(ISNA(VLOOKUP("*"&amp;L34&amp;"*",Table1022[#All],9,)),IF(ISNA(VLOOKUP("*"&amp;L34&amp;"*",Table1123[#All],9,)),NA(),VLOOKUP("*"&amp;L34&amp;"*",Table1123[#All],9,)),VLOOKUP("*"&amp;L34&amp;"*",Table1022[#All],9,))</f>
        <v>1.2</v>
      </c>
      <c r="N38" s="120" t="s">
        <v>189</v>
      </c>
      <c r="O38" s="13">
        <f>IF(ISNA(VLOOKUP("*"&amp;O34&amp;"*",Table1022[#All],9,)),IF(ISNA(VLOOKUP("*"&amp;O34&amp;"*",Table1123[#All],9,)),NA(),VLOOKUP("*"&amp;O34&amp;"*",Table1123[#All],9,)),VLOOKUP("*"&amp;O34&amp;"*",Table1022[#All],9,))</f>
        <v>1.2</v>
      </c>
    </row>
    <row r="39" spans="2:15" x14ac:dyDescent="0.25">
      <c r="B39" s="120" t="s">
        <v>23</v>
      </c>
      <c r="C39" s="8" t="e">
        <f>IF(ISNA(VLOOKUP("*"&amp;C34&amp;"*",Table921[#All],10,)),NA(),VLOOKUP("*"&amp;C34&amp;"*",Table921[#All],10,))</f>
        <v>#N/A</v>
      </c>
      <c r="E39" s="120" t="s">
        <v>23</v>
      </c>
      <c r="F39" s="8" t="str">
        <f>IF(ISNA(VLOOKUP("*"&amp;F34&amp;"*",Table1022[#All],10,)),IF(ISNA(VLOOKUP("*"&amp;F34&amp;"*",Table1123[#All],10,)),NA(),VLOOKUP("*"&amp;F34&amp;"*",Table1123[#All],10,)),VLOOKUP("*"&amp;F34&amp;"*",Table1022[#All],10,))</f>
        <v>N/A</v>
      </c>
      <c r="H39" s="120" t="s">
        <v>23</v>
      </c>
      <c r="I39" s="8" t="e">
        <f>IF(ISNA(VLOOKUP("*"&amp;I34&amp;"*",Table1022[#All],10,)),IF(ISNA(VLOOKUP("*"&amp;I34&amp;"*",Table1123[#All],10,)),NA(),VLOOKUP("*"&amp;I34&amp;"*",Table1123[#All],10,)),VLOOKUP("*"&amp;I34&amp;"*",Table1022[#All],10,))</f>
        <v>#N/A</v>
      </c>
      <c r="K39" s="120" t="s">
        <v>23</v>
      </c>
      <c r="L39" s="8" t="e">
        <f>IF(ISNA(VLOOKUP("*"&amp;L34&amp;"*",Table1022[#All],10,)),IF(ISNA(VLOOKUP("*"&amp;L34&amp;"*",Table1123[#All],10,)),NA(),VLOOKUP("*"&amp;L34&amp;"*",Table1123[#All],10,)),VLOOKUP("*"&amp;L34&amp;"*",Table1022[#All],10,))</f>
        <v>#N/A</v>
      </c>
      <c r="N39" s="120" t="s">
        <v>23</v>
      </c>
      <c r="O39" s="8" t="e">
        <f>IF(ISNA(VLOOKUP("*"&amp;O34&amp;"*",Table1022[#All],10,)),IF(ISNA(VLOOKUP("*"&amp;O34&amp;"*",Table1123[#All],10,)),NA(),VLOOKUP("*"&amp;O34&amp;"*",Table1123[#All],10,)),VLOOKUP("*"&amp;O34&amp;"*",Table1022[#All],10,))</f>
        <v>#N/A</v>
      </c>
    </row>
    <row r="40" spans="2:15" x14ac:dyDescent="0.25">
      <c r="B40" s="120" t="s">
        <v>24</v>
      </c>
      <c r="C40" s="9" t="e">
        <f>IF(ISNA(VLOOKUP("*"&amp;C34&amp;"*",Table921[#All],11,)),NA(),VLOOKUP("*"&amp;C34&amp;"*",Table921[#All],11,))</f>
        <v>#N/A</v>
      </c>
      <c r="E40" s="120" t="s">
        <v>24</v>
      </c>
      <c r="F40" s="9" t="str">
        <f>IF(ISNA(VLOOKUP("*"&amp;F34&amp;"*",Table1022[#All],11,)),IF(ISNA(VLOOKUP("*"&amp;F34&amp;"*",Table1123[#All],11,)),NA(),VLOOKUP("*"&amp;F34&amp;"*",Table1123[#All],11,)),VLOOKUP("*"&amp;F34&amp;"*",Table1022[#All],11,))</f>
        <v>N/A</v>
      </c>
      <c r="H40" s="120" t="s">
        <v>24</v>
      </c>
      <c r="I40" s="9">
        <f>IF(ISNA(VLOOKUP("*"&amp;I34&amp;"*",Table1022[#All],11,)),IF(ISNA(VLOOKUP("*"&amp;I34&amp;"*",Table1123[#All],11,)),NA(),VLOOKUP("*"&amp;I34&amp;"*",Table1123[#All],11,)),VLOOKUP("*"&amp;I34&amp;"*",Table1022[#All],11,))</f>
        <v>12</v>
      </c>
      <c r="K40" s="120" t="s">
        <v>24</v>
      </c>
      <c r="L40" s="9" t="e">
        <f>IF(ISNA(VLOOKUP("*"&amp;L34&amp;"*",Table1022[#All],11,)),IF(ISNA(VLOOKUP("*"&amp;L34&amp;"*",Table1123[#All],11,)),NA(),VLOOKUP("*"&amp;L34&amp;"*",Table1123[#All],11,)),VLOOKUP("*"&amp;L34&amp;"*",Table1022[#All],11,))</f>
        <v>#N/A</v>
      </c>
      <c r="N40" s="120" t="s">
        <v>24</v>
      </c>
      <c r="O40" s="9" t="e">
        <f>IF(ISNA(VLOOKUP("*"&amp;O34&amp;"*",Table1022[#All],11,)),IF(ISNA(VLOOKUP("*"&amp;O34&amp;"*",Table1123[#All],11,)),NA(),VLOOKUP("*"&amp;O34&amp;"*",Table1123[#All],11,)),VLOOKUP("*"&amp;O34&amp;"*",Table1022[#All],11,))</f>
        <v>#N/A</v>
      </c>
    </row>
    <row r="41" spans="2:15" x14ac:dyDescent="0.25">
      <c r="B41" s="120" t="s">
        <v>25</v>
      </c>
      <c r="C41" s="10">
        <f>IF(ISNA(VLOOKUP("*"&amp;C34&amp;"*",Table921[#All],12,)),NA(),VLOOKUP("*"&amp;C34&amp;"*",Table921[#All],12,))</f>
        <v>12.8</v>
      </c>
      <c r="E41" s="120" t="s">
        <v>25</v>
      </c>
      <c r="F41" s="10" t="str">
        <f>IF(ISNA(VLOOKUP("*"&amp;F34&amp;"*",Table1022[#All],12,)),IF(ISNA(VLOOKUP("*"&amp;F34&amp;"*",Table1123[#All],12,)),NA(),VLOOKUP("*"&amp;F34&amp;"*",Table1123[#All],12,)),VLOOKUP("*"&amp;F34&amp;"*",Table1022[#All],12,))</f>
        <v>N/A</v>
      </c>
      <c r="H41" s="120" t="s">
        <v>25</v>
      </c>
      <c r="I41" s="10">
        <f>IF(ISNA(VLOOKUP("*"&amp;I34&amp;"*",Table1022[#All],12,)),IF(ISNA(VLOOKUP("*"&amp;I34&amp;"*",Table1123[#All],12,)),NA(),VLOOKUP("*"&amp;I34&amp;"*",Table1123[#All],12,)),VLOOKUP("*"&amp;I34&amp;"*",Table1022[#All],12,))</f>
        <v>6</v>
      </c>
      <c r="K41" s="120" t="s">
        <v>25</v>
      </c>
      <c r="L41" s="10" t="e">
        <f>IF(ISNA(VLOOKUP("*"&amp;L34&amp;"*",Table1022[#All],12,)),IF(ISNA(VLOOKUP("*"&amp;L34&amp;"*",Table1123[#All],12,)),NA(),VLOOKUP("*"&amp;L34&amp;"*",Table1123[#All],12,)),VLOOKUP("*"&amp;L34&amp;"*",Table1022[#All],12,))</f>
        <v>#N/A</v>
      </c>
      <c r="N41" s="120" t="s">
        <v>25</v>
      </c>
      <c r="O41" s="10" t="e">
        <f>IF(ISNA(VLOOKUP("*"&amp;O34&amp;"*",Table1022[#All],12,)),IF(ISNA(VLOOKUP("*"&amp;O34&amp;"*",Table1123[#All],12,)),NA(),VLOOKUP("*"&amp;O34&amp;"*",Table1123[#All],12,)),VLOOKUP("*"&amp;O34&amp;"*",Table1022[#All],12,))</f>
        <v>#N/A</v>
      </c>
    </row>
    <row r="42" spans="2:15" x14ac:dyDescent="0.25">
      <c r="B42" s="120" t="s">
        <v>26</v>
      </c>
      <c r="C42" s="11">
        <f>IF(ISNA(VLOOKUP("*"&amp;C34&amp;"*",Table921[#All],13,)),NA(),VLOOKUP("*"&amp;C34&amp;"*",Table921[#All],13,))</f>
        <v>6.4</v>
      </c>
      <c r="E42" s="120" t="s">
        <v>26</v>
      </c>
      <c r="F42" s="11" t="str">
        <f>IF(ISNA(VLOOKUP("*"&amp;F34&amp;"*",Table1022[#All],13,)),IF(ISNA(VLOOKUP("*"&amp;F34&amp;"*",Table1123[#All],13,)),NA(),VLOOKUP("*"&amp;F34&amp;"*",Table1123[#All],13,)),VLOOKUP("*"&amp;F34&amp;"*",Table1022[#All],13,))</f>
        <v>N/A</v>
      </c>
      <c r="H42" s="120" t="s">
        <v>26</v>
      </c>
      <c r="I42" s="11">
        <f>IF(ISNA(VLOOKUP("*"&amp;I34&amp;"*",Table1022[#All],13,)),IF(ISNA(VLOOKUP("*"&amp;I34&amp;"*",Table1123[#All],13,)),NA(),VLOOKUP("*"&amp;I34&amp;"*",Table1123[#All],13,)),VLOOKUP("*"&amp;I34&amp;"*",Table1022[#All],13,))</f>
        <v>3</v>
      </c>
      <c r="K42" s="120" t="s">
        <v>26</v>
      </c>
      <c r="L42" s="11">
        <f>IF(ISNA(VLOOKUP("*"&amp;L34&amp;"*",Table1022[#All],13,)),IF(ISNA(VLOOKUP("*"&amp;L34&amp;"*",Table1123[#All],13,)),NA(),VLOOKUP("*"&amp;L34&amp;"*",Table1123[#All],13,)),VLOOKUP("*"&amp;L34&amp;"*",Table1022[#All],13,))</f>
        <v>6.25</v>
      </c>
      <c r="N42" s="120" t="s">
        <v>26</v>
      </c>
      <c r="O42" s="11" t="e">
        <f>IF(ISNA(VLOOKUP("*"&amp;O34&amp;"*",Table1022[#All],13,)),IF(ISNA(VLOOKUP("*"&amp;O34&amp;"*",Table1123[#All],13,)),NA(),VLOOKUP("*"&amp;O34&amp;"*",Table1123[#All],13,)),VLOOKUP("*"&amp;O34&amp;"*",Table1022[#All],13,))</f>
        <v>#N/A</v>
      </c>
    </row>
    <row r="43" spans="2:15" x14ac:dyDescent="0.25">
      <c r="B43" s="120" t="s">
        <v>27</v>
      </c>
      <c r="C43" s="12">
        <f>IF(ISNA(VLOOKUP("*"&amp;C34&amp;"*",Table921[#All],14,)),NA(),VLOOKUP("*"&amp;C34&amp;"*",Table921[#All],14,))</f>
        <v>1.6</v>
      </c>
      <c r="E43" s="120" t="s">
        <v>27</v>
      </c>
      <c r="F43" s="12" t="str">
        <f>IF(ISNA(VLOOKUP("*"&amp;F34&amp;"*",Table1022[#All],14,)),IF(ISNA(VLOOKUP("*"&amp;F34&amp;"*",Table1123[#All],14,)),NA(),VLOOKUP("*"&amp;F34&amp;"*",Table1123[#All],14,)),VLOOKUP("*"&amp;F34&amp;"*",Table1022[#All],14,))</f>
        <v>N/A</v>
      </c>
      <c r="H43" s="120" t="s">
        <v>27</v>
      </c>
      <c r="I43" s="12">
        <f>IF(ISNA(VLOOKUP("*"&amp;I34&amp;"*",Table1022[#All],14,)),IF(ISNA(VLOOKUP("*"&amp;I34&amp;"*",Table1123[#All],14,)),NA(),VLOOKUP("*"&amp;I34&amp;"*",Table1123[#All],14,)),VLOOKUP("*"&amp;I34&amp;"*",Table1022[#All],14,))</f>
        <v>0.6</v>
      </c>
      <c r="K43" s="120" t="s">
        <v>27</v>
      </c>
      <c r="L43" s="12">
        <f>IF(ISNA(VLOOKUP("*"&amp;L34&amp;"*",Table1022[#All],14,)),IF(ISNA(VLOOKUP("*"&amp;L34&amp;"*",Table1123[#All],14,)),NA(),VLOOKUP("*"&amp;L34&amp;"*",Table1123[#All],14,)),VLOOKUP("*"&amp;L34&amp;"*",Table1022[#All],14,))</f>
        <v>1.25</v>
      </c>
      <c r="N43" s="120" t="s">
        <v>27</v>
      </c>
      <c r="O43" s="12">
        <f>IF(ISNA(VLOOKUP("*"&amp;O34&amp;"*",Table1022[#All],14,)),IF(ISNA(VLOOKUP("*"&amp;O34&amp;"*",Table1123[#All],14,)),NA(),VLOOKUP("*"&amp;O34&amp;"*",Table1123[#All],14,)),VLOOKUP("*"&amp;O34&amp;"*",Table1022[#All],14,))</f>
        <v>2.5</v>
      </c>
    </row>
    <row r="44" spans="2:15" x14ac:dyDescent="0.25">
      <c r="B44" s="120" t="s">
        <v>241</v>
      </c>
      <c r="C44" s="13" t="str">
        <f>IF(ISNA(VLOOKUP("*"&amp;C34&amp;"*",Table921[#All],15,)),NA(),VLOOKUP("*"&amp;C34&amp;"*",Table921[#All],15,))</f>
        <v>High</v>
      </c>
      <c r="E44" s="120" t="s">
        <v>241</v>
      </c>
      <c r="F44" s="13" t="str">
        <f>IF(ISNA(VLOOKUP("*"&amp;F34&amp;"*",Table1022[#All],15,)),IF(ISNA(VLOOKUP("*"&amp;F34&amp;"*",Table1123[#All],15,)),NA(),VLOOKUP("*"&amp;F34&amp;"*",Table1123[#All],15,)),VLOOKUP("*"&amp;F34&amp;"*",Table1022[#All],15,))</f>
        <v>Medium</v>
      </c>
      <c r="H44" s="120" t="s">
        <v>241</v>
      </c>
      <c r="I44" s="13" t="str">
        <f>IF(ISNA(VLOOKUP("*"&amp;I34&amp;"*",Table1022[#All],15,)),IF(ISNA(VLOOKUP("*"&amp;I34&amp;"*",Table1123[#All],15,)),NA(),VLOOKUP("*"&amp;I34&amp;"*",Table1123[#All],15,)),VLOOKUP("*"&amp;I34&amp;"*",Table1022[#All],15,))</f>
        <v>High</v>
      </c>
      <c r="K44" s="120" t="s">
        <v>241</v>
      </c>
      <c r="L44" s="13" t="str">
        <f>IF(ISNA(VLOOKUP("*"&amp;L34&amp;"*",Table1022[#All],15,)),IF(ISNA(VLOOKUP("*"&amp;L34&amp;"*",Table1123[#All],15,)),NA(),VLOOKUP("*"&amp;L34&amp;"*",Table1123[#All],15,)),VLOOKUP("*"&amp;L34&amp;"*",Table1022[#All],15,))</f>
        <v>High</v>
      </c>
      <c r="N44" s="120" t="s">
        <v>241</v>
      </c>
      <c r="O44" s="13" t="str">
        <f>IF(ISNA(VLOOKUP("*"&amp;O34&amp;"*",Table1022[#All],15,)),IF(ISNA(VLOOKUP("*"&amp;O34&amp;"*",Table1123[#All],15,)),NA(),VLOOKUP("*"&amp;O34&amp;"*",Table1123[#All],15,)),VLOOKUP("*"&amp;O34&amp;"*",Table1022[#All],15,))</f>
        <v>None</v>
      </c>
    </row>
    <row r="45" spans="2:15" x14ac:dyDescent="0.25">
      <c r="B45" s="120" t="s">
        <v>249</v>
      </c>
      <c r="C45" s="13" t="b">
        <f>IF(ISNA(VLOOKUP("*"&amp;C34&amp;"*",Table921[#All],17,)),NA(),VLOOKUP("*"&amp;C34&amp;"*",Table921[#All],17,))</f>
        <v>0</v>
      </c>
      <c r="E45" s="120" t="s">
        <v>249</v>
      </c>
      <c r="F45" s="13" t="b">
        <f>IF(ISNA(VLOOKUP("*"&amp;F34&amp;"*",Table1022[#All],17,)),IF(ISNA(VLOOKUP("*"&amp;F34&amp;"*",Table1123[#All],17,)),NA(),VLOOKUP("*"&amp;F34&amp;"*",Table1123[#All],17,)),VLOOKUP("*"&amp;F34&amp;"*",Table1022[#All],17,))</f>
        <v>0</v>
      </c>
      <c r="H45" s="120" t="s">
        <v>249</v>
      </c>
      <c r="I45" s="13" t="b">
        <f>IF(ISNA(VLOOKUP("*"&amp;I34&amp;"*",Table1022[#All],17,)),IF(ISNA(VLOOKUP("*"&amp;I34&amp;"*",Table1123[#All],17,)),NA(),VLOOKUP("*"&amp;I34&amp;"*",Table1123[#All],17,)),VLOOKUP("*"&amp;I34&amp;"*",Table1022[#All],17,))</f>
        <v>0</v>
      </c>
      <c r="K45" s="120" t="s">
        <v>249</v>
      </c>
      <c r="L45" s="13" t="b">
        <f>IF(ISNA(VLOOKUP("*"&amp;L34&amp;"*",Table1022[#All],17,)),IF(ISNA(VLOOKUP("*"&amp;L34&amp;"*",Table1123[#All],17,)),NA(),VLOOKUP("*"&amp;L34&amp;"*",Table1123[#All],17,)),VLOOKUP("*"&amp;L34&amp;"*",Table1022[#All],17,))</f>
        <v>0</v>
      </c>
      <c r="N45" s="120" t="s">
        <v>249</v>
      </c>
      <c r="O45" s="13" t="b">
        <f>IF(ISNA(VLOOKUP("*"&amp;O34&amp;"*",Table1022[#All],17,)),IF(ISNA(VLOOKUP("*"&amp;O34&amp;"*",Table1123[#All],17,)),NA(),VLOOKUP("*"&amp;O34&amp;"*",Table1123[#All],17,)),VLOOKUP("*"&amp;O34&amp;"*",Table1022[#All],17,))</f>
        <v>0</v>
      </c>
    </row>
    <row r="46" spans="2:15" x14ac:dyDescent="0.25">
      <c r="B46" s="120" t="s">
        <v>248</v>
      </c>
      <c r="C46" s="131">
        <f>IF(ISNA(VLOOKUP("*"&amp;C34&amp;"*",Table921[#All],18,)),NA(),VLOOKUP("*"&amp;C34&amp;"*",Table921[#All],18,))*(-1)</f>
        <v>-0.01</v>
      </c>
      <c r="E46" s="120" t="s">
        <v>248</v>
      </c>
      <c r="F46" s="131">
        <f>IF(ISNA(VLOOKUP("*"&amp;F34&amp;"*",Table1022[#All],18,)),IF(ISNA(VLOOKUP("*"&amp;F34&amp;"*",Table1123[#All],18,)),NA(),VLOOKUP("*"&amp;F34&amp;"*",Table1123[#All],18,)),VLOOKUP("*"&amp;F34&amp;"*",Table1022[#All],18,))*(-1)</f>
        <v>0</v>
      </c>
      <c r="H46" s="120" t="s">
        <v>248</v>
      </c>
      <c r="I46" s="131">
        <f>IF(ISNA(VLOOKUP("*"&amp;I34&amp;"*",Table1022[#All],18,)),IF(ISNA(VLOOKUP("*"&amp;I34&amp;"*",Table1123[#All],18,)),NA(),VLOOKUP("*"&amp;I34&amp;"*",Table1123[#All],18,)),VLOOKUP("*"&amp;I34&amp;"*",Table1022[#All],18,))*(-1)</f>
        <v>0</v>
      </c>
      <c r="K46" s="120" t="s">
        <v>248</v>
      </c>
      <c r="L46" s="131">
        <f>IF(ISNA(VLOOKUP("*"&amp;L34&amp;"*",Table1022[#All],18,)),IF(ISNA(VLOOKUP("*"&amp;L34&amp;"*",Table1123[#All],18,)),NA(),VLOOKUP("*"&amp;L34&amp;"*",Table1123[#All],18,)),VLOOKUP("*"&amp;L34&amp;"*",Table1022[#All],18,))*(-1)</f>
        <v>0</v>
      </c>
      <c r="N46" s="120" t="s">
        <v>248</v>
      </c>
      <c r="O46" s="131">
        <f>IF(ISNA(VLOOKUP("*"&amp;O34&amp;"*",Table1022[#All],18,)),IF(ISNA(VLOOKUP("*"&amp;O34&amp;"*",Table1123[#All],18,)),NA(),VLOOKUP("*"&amp;O34&amp;"*",Table1123[#All],18,)),VLOOKUP("*"&amp;O34&amp;"*",Table1022[#All],18,))*(-1)</f>
        <v>0</v>
      </c>
    </row>
    <row r="47" spans="2:15" x14ac:dyDescent="0.25">
      <c r="B47" s="120" t="s">
        <v>245</v>
      </c>
      <c r="C47" s="131">
        <f>IF(ISNA(VLOOKUP("*"&amp;C34&amp;"*",Table921[#All],19,)),NA(),VLOOKUP("*"&amp;C34&amp;"*",Table921[#All],19,))*(-1)</f>
        <v>-7.0000000000000007E-2</v>
      </c>
      <c r="E47" s="120" t="s">
        <v>245</v>
      </c>
      <c r="F47" s="131">
        <f>IF(ISNA(VLOOKUP("*"&amp;F34&amp;"*",Table1022[#All],19,)),IF(ISNA(VLOOKUP("*"&amp;F34&amp;"*",Table1123[#All],19,)),NA(),VLOOKUP("*"&amp;F34&amp;"*",Table1123[#All],19,)),VLOOKUP("*"&amp;F34&amp;"*",Table1022[#All],19,))*(-1)</f>
        <v>0</v>
      </c>
      <c r="H47" s="120" t="s">
        <v>245</v>
      </c>
      <c r="I47" s="131">
        <f>IF(ISNA(VLOOKUP("*"&amp;I34&amp;"*",Table1022[#All],19,)),IF(ISNA(VLOOKUP("*"&amp;I34&amp;"*",Table1123[#All],19,)),NA(),VLOOKUP("*"&amp;I34&amp;"*",Table1123[#All],19,)),VLOOKUP("*"&amp;I34&amp;"*",Table1022[#All],19,))*(-1)</f>
        <v>-0.08</v>
      </c>
      <c r="K47" s="120" t="s">
        <v>245</v>
      </c>
      <c r="L47" s="131">
        <f>IF(ISNA(VLOOKUP("*"&amp;L34&amp;"*",Table1022[#All],19,)),IF(ISNA(VLOOKUP("*"&amp;L34&amp;"*",Table1123[#All],19,)),NA(),VLOOKUP("*"&amp;L34&amp;"*",Table1123[#All],19,)),VLOOKUP("*"&amp;L34&amp;"*",Table1022[#All],19,))*(-1)</f>
        <v>0</v>
      </c>
      <c r="N47" s="120" t="s">
        <v>245</v>
      </c>
      <c r="O47" s="131">
        <f>IF(ISNA(VLOOKUP("*"&amp;O34&amp;"*",Table1022[#All],19,)),IF(ISNA(VLOOKUP("*"&amp;O34&amp;"*",Table1123[#All],19,)),NA(),VLOOKUP("*"&amp;O34&amp;"*",Table1123[#All],19,)),VLOOKUP("*"&amp;O34&amp;"*",Table1022[#All],19,))*(-1)</f>
        <v>0</v>
      </c>
    </row>
    <row r="48" spans="2:15" x14ac:dyDescent="0.25">
      <c r="B48" s="120" t="s">
        <v>246</v>
      </c>
      <c r="C48" s="125">
        <f>IF(ISNA(VLOOKUP("*"&amp;C34&amp;"*",Table921[#All],20,)),NA(),VLOOKUP("*"&amp;C34&amp;"*",Table921[#All],20,))</f>
        <v>0</v>
      </c>
      <c r="E48" s="120" t="s">
        <v>246</v>
      </c>
      <c r="F48" s="125">
        <f>IF(ISNA(VLOOKUP("*"&amp;F34&amp;"*",Table1022[#All],20,)),IF(ISNA(VLOOKUP("*"&amp;F34&amp;"*",Table1123[#All],20,)),NA(),VLOOKUP("*"&amp;F34&amp;"*",Table1123[#All],20,)),VLOOKUP("*"&amp;F34&amp;"*",Table1022[#All],20,))</f>
        <v>0</v>
      </c>
      <c r="H48" s="120" t="s">
        <v>246</v>
      </c>
      <c r="I48" s="125">
        <f>IF(ISNA(VLOOKUP("*"&amp;I34&amp;"*",Table1022[#All],20,)),IF(ISNA(VLOOKUP("*"&amp;I34&amp;"*",Table1123[#All],20,)),NA(),VLOOKUP("*"&amp;I34&amp;"*",Table1123[#All],20,)),VLOOKUP("*"&amp;I34&amp;"*",Table1022[#All],20,))</f>
        <v>-15</v>
      </c>
      <c r="K48" s="120" t="s">
        <v>246</v>
      </c>
      <c r="L48" s="125">
        <f>IF(ISNA(VLOOKUP("*"&amp;L34&amp;"*",Table1022[#All],20,)),IF(ISNA(VLOOKUP("*"&amp;L34&amp;"*",Table1123[#All],20,)),NA(),VLOOKUP("*"&amp;L34&amp;"*",Table1123[#All],20,)),VLOOKUP("*"&amp;L34&amp;"*",Table1022[#All],20,))</f>
        <v>0</v>
      </c>
      <c r="N48" s="120" t="s">
        <v>246</v>
      </c>
      <c r="O48" s="125">
        <f>IF(ISNA(VLOOKUP("*"&amp;O34&amp;"*",Table1022[#All],20,)),IF(ISNA(VLOOKUP("*"&amp;O34&amp;"*",Table1123[#All],20,)),NA(),VLOOKUP("*"&amp;O34&amp;"*",Table1123[#All],20,)),VLOOKUP("*"&amp;O34&amp;"*",Table1022[#All],20,))</f>
        <v>-6</v>
      </c>
    </row>
    <row r="49" spans="2:15" x14ac:dyDescent="0.25">
      <c r="B49" s="120" t="s">
        <v>193</v>
      </c>
      <c r="C49" s="13" t="b">
        <f>IF(ISNA(VLOOKUP("*"&amp;C34&amp;"*",Table921[#All],21,)),NA(),VLOOKUP("*"&amp;C34&amp;"*",Table921[#All],21,))</f>
        <v>1</v>
      </c>
      <c r="E49" s="120" t="s">
        <v>193</v>
      </c>
      <c r="F49" s="13" t="b">
        <f>IF(ISNA(VLOOKUP("*"&amp;F34&amp;"*",Table1022[#All],21,)),IF(ISNA(VLOOKUP("*"&amp;F34&amp;"*",Table1123[#All],21,)),NA(),VLOOKUP("*"&amp;F34&amp;"*",Table1123[#All],21,)),VLOOKUP("*"&amp;F34&amp;"*",Table1022[#All],21,))</f>
        <v>0</v>
      </c>
      <c r="H49" s="120" t="s">
        <v>193</v>
      </c>
      <c r="I49" s="13" t="b">
        <f>IF(ISNA(VLOOKUP("*"&amp;I34&amp;"*",Table1022[#All],21,)),IF(ISNA(VLOOKUP("*"&amp;I34&amp;"*",Table1123[#All],21,)),NA(),VLOOKUP("*"&amp;I34&amp;"*",Table1123[#All],21,)),VLOOKUP("*"&amp;I34&amp;"*",Table1022[#All],21,))</f>
        <v>1</v>
      </c>
      <c r="K49" s="120" t="s">
        <v>193</v>
      </c>
      <c r="L49" s="13" t="b">
        <f>IF(ISNA(VLOOKUP("*"&amp;L34&amp;"*",Table1022[#All],21,)),IF(ISNA(VLOOKUP("*"&amp;L34&amp;"*",Table1123[#All],21,)),NA(),VLOOKUP("*"&amp;L34&amp;"*",Table1123[#All],21,)),VLOOKUP("*"&amp;L34&amp;"*",Table1022[#All],21,))</f>
        <v>0</v>
      </c>
      <c r="N49" s="120" t="s">
        <v>193</v>
      </c>
      <c r="O49" s="13" t="b">
        <f>IF(ISNA(VLOOKUP("*"&amp;O34&amp;"*",Table1022[#All],21,)),IF(ISNA(VLOOKUP("*"&amp;O34&amp;"*",Table1123[#All],21,)),NA(),VLOOKUP("*"&amp;O34&amp;"*",Table1123[#All],21,)),VLOOKUP("*"&amp;O34&amp;"*",Table1022[#All],21,))</f>
        <v>0</v>
      </c>
    </row>
    <row r="50" spans="2:15" x14ac:dyDescent="0.25">
      <c r="B50" s="120" t="s">
        <v>194</v>
      </c>
      <c r="C50" s="13" t="b">
        <f>IF(ISNA(VLOOKUP("*"&amp;C34&amp;"*",Table921[#All],22,)),NA(),VLOOKUP("*"&amp;C34&amp;"*",Table921[#All],22,))</f>
        <v>1</v>
      </c>
      <c r="E50" s="120" t="s">
        <v>194</v>
      </c>
      <c r="F50" s="13" t="b">
        <f>IF(ISNA(VLOOKUP("*"&amp;F34&amp;"*",Table1022[#All],22,)),IF(ISNA(VLOOKUP("*"&amp;F34&amp;"*",Table1123[#All],22,)),NA(),VLOOKUP("*"&amp;F34&amp;"*",Table1123[#All],22,)),VLOOKUP("*"&amp;F34&amp;"*",Table1022[#All],22,))</f>
        <v>0</v>
      </c>
      <c r="H50" s="120" t="s">
        <v>194</v>
      </c>
      <c r="I50" s="13" t="b">
        <f>IF(ISNA(VLOOKUP("*"&amp;I34&amp;"*",Table1022[#All],22,)),IF(ISNA(VLOOKUP("*"&amp;I34&amp;"*",Table1123[#All],22,)),NA(),VLOOKUP("*"&amp;I34&amp;"*",Table1123[#All],22,)),VLOOKUP("*"&amp;I34&amp;"*",Table1022[#All],22,))</f>
        <v>0</v>
      </c>
      <c r="K50" s="120" t="s">
        <v>194</v>
      </c>
      <c r="L50" s="13" t="b">
        <f>IF(ISNA(VLOOKUP("*"&amp;L34&amp;"*",Table1022[#All],22,)),IF(ISNA(VLOOKUP("*"&amp;L34&amp;"*",Table1123[#All],22,)),NA(),VLOOKUP("*"&amp;L34&amp;"*",Table1123[#All],22,)),VLOOKUP("*"&amp;L34&amp;"*",Table1022[#All],22,))</f>
        <v>0</v>
      </c>
      <c r="N50" s="120" t="s">
        <v>194</v>
      </c>
      <c r="O50" s="13" t="b">
        <f>IF(ISNA(VLOOKUP("*"&amp;O34&amp;"*",Table1022[#All],22,)),IF(ISNA(VLOOKUP("*"&amp;O34&amp;"*",Table1123[#All],22,)),NA(),VLOOKUP("*"&amp;O34&amp;"*",Table1123[#All],22,)),VLOOKUP("*"&amp;O34&amp;"*",Table1022[#All],22,))</f>
        <v>0</v>
      </c>
    </row>
    <row r="51" spans="2:15" x14ac:dyDescent="0.25">
      <c r="B51" s="120" t="s">
        <v>196</v>
      </c>
      <c r="C51" s="13" t="b">
        <f>IF(ISNA(VLOOKUP("*"&amp;C34&amp;"*",Table921[#All],23,)),NA(),VLOOKUP("*"&amp;C34&amp;"*",Table921[#All],23,))</f>
        <v>0</v>
      </c>
      <c r="E51" s="120" t="s">
        <v>196</v>
      </c>
      <c r="F51" s="13" t="b">
        <f>IF(ISNA(VLOOKUP("*"&amp;F34&amp;"*",Table1022[#All],23,)),IF(ISNA(VLOOKUP("*"&amp;F34&amp;"*",Table1123[#All],23,)),NA(),VLOOKUP("*"&amp;F34&amp;"*",Table1123[#All],23,)),VLOOKUP("*"&amp;F34&amp;"*",Table1022[#All],23,))</f>
        <v>0</v>
      </c>
      <c r="H51" s="120" t="s">
        <v>196</v>
      </c>
      <c r="I51" s="13" t="b">
        <f>IF(ISNA(VLOOKUP("*"&amp;I34&amp;"*",Table1022[#All],23,)),IF(ISNA(VLOOKUP("*"&amp;I34&amp;"*",Table1123[#All],23,)),NA(),VLOOKUP("*"&amp;I34&amp;"*",Table1123[#All],23,)),VLOOKUP("*"&amp;I34&amp;"*",Table1022[#All],23,))</f>
        <v>0</v>
      </c>
      <c r="K51" s="120" t="s">
        <v>196</v>
      </c>
      <c r="L51" s="13" t="b">
        <f>IF(ISNA(VLOOKUP("*"&amp;L34&amp;"*",Table1022[#All],23,)),IF(ISNA(VLOOKUP("*"&amp;L34&amp;"*",Table1123[#All],23,)),NA(),VLOOKUP("*"&amp;L34&amp;"*",Table1123[#All],23,)),VLOOKUP("*"&amp;L34&amp;"*",Table1022[#All],23,))</f>
        <v>1</v>
      </c>
      <c r="N51" s="120" t="s">
        <v>196</v>
      </c>
      <c r="O51" s="13" t="b">
        <f>IF(ISNA(VLOOKUP("*"&amp;O34&amp;"*",Table1022[#All],23,)),IF(ISNA(VLOOKUP("*"&amp;O34&amp;"*",Table1123[#All],23,)),NA(),VLOOKUP("*"&amp;O34&amp;"*",Table1123[#All],23,)),VLOOKUP("*"&amp;O34&amp;"*",Table1022[#All],23,))</f>
        <v>0</v>
      </c>
    </row>
    <row r="52" spans="2:15" x14ac:dyDescent="0.25">
      <c r="B52" s="120" t="s">
        <v>197</v>
      </c>
      <c r="C52" s="13" t="b">
        <f>IF(ISNA(VLOOKUP("*"&amp;C34&amp;"*",Table921[#All],24,)),NA(),VLOOKUP("*"&amp;C34&amp;"*",Table921[#All],24,))</f>
        <v>0</v>
      </c>
      <c r="E52" s="120" t="s">
        <v>197</v>
      </c>
      <c r="F52" s="13" t="b">
        <f>IF(ISNA(VLOOKUP("*"&amp;F34&amp;"*",Table1022[#All],24,)),IF(ISNA(VLOOKUP("*"&amp;F34&amp;"*",Table1123[#All],24,)),NA(),VLOOKUP("*"&amp;F34&amp;"*",Table1123[#All],24,)),VLOOKUP("*"&amp;F34&amp;"*",Table1022[#All],24,))</f>
        <v>1</v>
      </c>
      <c r="H52" s="120" t="s">
        <v>197</v>
      </c>
      <c r="I52" s="13" t="b">
        <f>IF(ISNA(VLOOKUP("*"&amp;I34&amp;"*",Table1022[#All],24,)),IF(ISNA(VLOOKUP("*"&amp;I34&amp;"*",Table1123[#All],24,)),NA(),VLOOKUP("*"&amp;I34&amp;"*",Table1123[#All],24,)),VLOOKUP("*"&amp;I34&amp;"*",Table1022[#All],24,))</f>
        <v>0</v>
      </c>
      <c r="K52" s="120" t="s">
        <v>197</v>
      </c>
      <c r="L52" s="13" t="b">
        <f>IF(ISNA(VLOOKUP("*"&amp;L34&amp;"*",Table1022[#All],24,)),IF(ISNA(VLOOKUP("*"&amp;L34&amp;"*",Table1123[#All],24,)),NA(),VLOOKUP("*"&amp;L34&amp;"*",Table1123[#All],24,)),VLOOKUP("*"&amp;L34&amp;"*",Table1022[#All],24,))</f>
        <v>0</v>
      </c>
      <c r="N52" s="120" t="s">
        <v>197</v>
      </c>
      <c r="O52" s="13" t="b">
        <f>IF(ISNA(VLOOKUP("*"&amp;O34&amp;"*",Table1022[#All],24,)),IF(ISNA(VLOOKUP("*"&amp;O34&amp;"*",Table1123[#All],24,)),NA(),VLOOKUP("*"&amp;O34&amp;"*",Table1123[#All],24,)),VLOOKUP("*"&amp;O34&amp;"*",Table1022[#All],24,))</f>
        <v>0</v>
      </c>
    </row>
    <row r="53" spans="2:15" x14ac:dyDescent="0.25">
      <c r="B53" s="120" t="s">
        <v>195</v>
      </c>
      <c r="C53" s="13" t="b">
        <f>IF(ISNA(VLOOKUP("*"&amp;C34&amp;"*",Table921[#All],25,)),NA(),VLOOKUP("*"&amp;C34&amp;"*",Table921[#All],25,))</f>
        <v>0</v>
      </c>
      <c r="E53" s="120" t="s">
        <v>195</v>
      </c>
      <c r="F53" s="13" t="b">
        <f>IF(ISNA(VLOOKUP("*"&amp;F34&amp;"*",Table1022[#All],25,)),IF(ISNA(VLOOKUP("*"&amp;F34&amp;"*",Table1123[#All],25,)),NA(),VLOOKUP("*"&amp;F34&amp;"*",Table1123[#All],25,)),VLOOKUP("*"&amp;F34&amp;"*",Table1022[#All],25,))</f>
        <v>0</v>
      </c>
      <c r="H53" s="120" t="s">
        <v>195</v>
      </c>
      <c r="I53" s="13" t="b">
        <f>IF(ISNA(VLOOKUP("*"&amp;I34&amp;"*",Table1022[#All],25,)),IF(ISNA(VLOOKUP("*"&amp;I34&amp;"*",Table1123[#All],25,)),NA(),VLOOKUP("*"&amp;I34&amp;"*",Table1123[#All],25,)),VLOOKUP("*"&amp;I34&amp;"*",Table1022[#All],25,))</f>
        <v>0</v>
      </c>
      <c r="K53" s="120" t="s">
        <v>195</v>
      </c>
      <c r="L53" s="13" t="b">
        <f>IF(ISNA(VLOOKUP("*"&amp;L34&amp;"*",Table1022[#All],25,)),IF(ISNA(VLOOKUP("*"&amp;L34&amp;"*",Table1123[#All],25,)),NA(),VLOOKUP("*"&amp;L34&amp;"*",Table1123[#All],25,)),VLOOKUP("*"&amp;L34&amp;"*",Table1022[#All],25,))</f>
        <v>0</v>
      </c>
      <c r="N53" s="120" t="s">
        <v>195</v>
      </c>
      <c r="O53" s="13" t="b">
        <f>IF(ISNA(VLOOKUP("*"&amp;O34&amp;"*",Table1022[#All],25,)),IF(ISNA(VLOOKUP("*"&amp;O34&amp;"*",Table1123[#All],25,)),NA(),VLOOKUP("*"&amp;O34&amp;"*",Table1123[#All],25,)),VLOOKUP("*"&amp;O34&amp;"*",Table1022[#All],25,))</f>
        <v>1</v>
      </c>
    </row>
    <row r="54" spans="2:15" x14ac:dyDescent="0.25">
      <c r="B54" s="120" t="s">
        <v>243</v>
      </c>
      <c r="C54" s="13" t="b">
        <f>IF(ISNA(VLOOKUP("*"&amp;C34&amp;"*",Table921[#All],26,)),NA(),VLOOKUP("*"&amp;C34&amp;"*",Table921[#All],26,))</f>
        <v>0</v>
      </c>
      <c r="E54" s="120" t="s">
        <v>243</v>
      </c>
      <c r="F54" s="13" t="b">
        <f>IF(ISNA(VLOOKUP("*"&amp;F34&amp;"*",Table1022[#All],26,)),IF(ISNA(VLOOKUP("*"&amp;F34&amp;"*",Table1123[#All],26,)),NA(),VLOOKUP("*"&amp;F34&amp;"*",Table1123[#All],26,)),VLOOKUP("*"&amp;F34&amp;"*",Table1022[#All],26,))</f>
        <v>1</v>
      </c>
      <c r="H54" s="120" t="s">
        <v>243</v>
      </c>
      <c r="I54" s="13" t="b">
        <f>IF(ISNA(VLOOKUP("*"&amp;I34&amp;"*",Table1022[#All],26,)),IF(ISNA(VLOOKUP("*"&amp;I34&amp;"*",Table1123[#All],26,)),NA(),VLOOKUP("*"&amp;I34&amp;"*",Table1123[#All],26,)),VLOOKUP("*"&amp;I34&amp;"*",Table1022[#All],26,))</f>
        <v>0</v>
      </c>
      <c r="K54" s="120" t="s">
        <v>243</v>
      </c>
      <c r="L54" s="13" t="b">
        <f>IF(ISNA(VLOOKUP("*"&amp;L34&amp;"*",Table1022[#All],26,)),IF(ISNA(VLOOKUP("*"&amp;L34&amp;"*",Table1123[#All],26,)),NA(),VLOOKUP("*"&amp;L34&amp;"*",Table1123[#All],26,)),VLOOKUP("*"&amp;L34&amp;"*",Table1022[#All],26,))</f>
        <v>0</v>
      </c>
      <c r="N54" s="120" t="s">
        <v>243</v>
      </c>
      <c r="O54" s="13" t="b">
        <f>IF(ISNA(VLOOKUP("*"&amp;O34&amp;"*",Table1022[#All],26,)),IF(ISNA(VLOOKUP("*"&amp;O34&amp;"*",Table1123[#All],26,)),NA(),VLOOKUP("*"&amp;O34&amp;"*",Table1123[#All],26,)),VLOOKUP("*"&amp;O34&amp;"*",Table1022[#All],26,))</f>
        <v>0</v>
      </c>
    </row>
    <row r="55" spans="2:15" x14ac:dyDescent="0.25">
      <c r="B55" s="120" t="s">
        <v>244</v>
      </c>
      <c r="C55" s="131">
        <f>IF(ISNA(VLOOKUP("*"&amp;C34&amp;"*",Table921[#All],27,)),NA(),VLOOKUP("*"&amp;C34&amp;"*",Table921[#All],27,))</f>
        <v>0</v>
      </c>
      <c r="E55" s="120" t="s">
        <v>244</v>
      </c>
      <c r="F55" s="131">
        <f>IF(ISNA(VLOOKUP("*"&amp;F34&amp;"*",Table1022[#All],27,)),IF(ISNA(VLOOKUP("*"&amp;F34&amp;"*",Table1123[#All],27,)),NA(),VLOOKUP("*"&amp;F34&amp;"*",Table1123[#All],27,)),VLOOKUP("*"&amp;F34&amp;"*",Table1022[#All],27,))</f>
        <v>0.1</v>
      </c>
      <c r="H55" s="120" t="s">
        <v>244</v>
      </c>
      <c r="I55" s="131">
        <f>IF(ISNA(VLOOKUP("*"&amp;I34&amp;"*",Table1022[#All],27,)),IF(ISNA(VLOOKUP("*"&amp;I34&amp;"*",Table1123[#All],27,)),NA(),VLOOKUP("*"&amp;I34&amp;"*",Table1123[#All],27,)),VLOOKUP("*"&amp;I34&amp;"*",Table1022[#All],27,))</f>
        <v>0</v>
      </c>
      <c r="K55" s="120" t="s">
        <v>244</v>
      </c>
      <c r="L55" s="131">
        <f>IF(ISNA(VLOOKUP("*"&amp;L34&amp;"*",Table1022[#All],27,)),IF(ISNA(VLOOKUP("*"&amp;L34&amp;"*",Table1123[#All],27,)),NA(),VLOOKUP("*"&amp;L34&amp;"*",Table1123[#All],27,)),VLOOKUP("*"&amp;L34&amp;"*",Table1022[#All],27,))</f>
        <v>0</v>
      </c>
      <c r="N55" s="120" t="s">
        <v>244</v>
      </c>
      <c r="O55" s="131">
        <f>IF(ISNA(VLOOKUP("*"&amp;O34&amp;"*",Table1022[#All],27,)),IF(ISNA(VLOOKUP("*"&amp;O34&amp;"*",Table1123[#All],27,)),NA(),VLOOKUP("*"&amp;O34&amp;"*",Table1123[#All],27,)),VLOOKUP("*"&amp;O34&amp;"*",Table1022[#All],27,))</f>
        <v>0</v>
      </c>
    </row>
  </sheetData>
  <mergeCells count="13">
    <mergeCell ref="K10:L10"/>
    <mergeCell ref="E10:F10"/>
    <mergeCell ref="H10:I10"/>
    <mergeCell ref="N33:O33"/>
    <mergeCell ref="K33:L33"/>
    <mergeCell ref="H33:I33"/>
    <mergeCell ref="E33:F33"/>
    <mergeCell ref="B33:C33"/>
    <mergeCell ref="B9:C9"/>
    <mergeCell ref="E24:F24"/>
    <mergeCell ref="H24:I24"/>
    <mergeCell ref="H17:I17"/>
    <mergeCell ref="E17:F17"/>
  </mergeCells>
  <conditionalFormatting sqref="C11">
    <cfRule type="cellIs" dxfId="396" priority="372" operator="equal">
      <formula>1</formula>
    </cfRule>
    <cfRule type="cellIs" dxfId="395" priority="373" operator="equal">
      <formula>2</formula>
    </cfRule>
    <cfRule type="cellIs" dxfId="394" priority="374" operator="equal">
      <formula>3</formula>
    </cfRule>
    <cfRule type="cellIs" dxfId="393" priority="375" operator="equal">
      <formula>4</formula>
    </cfRule>
    <cfRule type="cellIs" dxfId="392" priority="376" operator="equal">
      <formula>5</formula>
    </cfRule>
  </conditionalFormatting>
  <conditionalFormatting sqref="C12">
    <cfRule type="cellIs" dxfId="391" priority="367" operator="lessThanOrEqual">
      <formula>39</formula>
    </cfRule>
    <cfRule type="cellIs" dxfId="390" priority="368" operator="between">
      <formula>40</formula>
      <formula>49</formula>
    </cfRule>
    <cfRule type="cellIs" dxfId="389" priority="369" operator="between">
      <formula>50</formula>
      <formula>59</formula>
    </cfRule>
    <cfRule type="cellIs" dxfId="388" priority="370" operator="between">
      <formula>60</formula>
      <formula>79</formula>
    </cfRule>
    <cfRule type="cellIs" dxfId="387" priority="371" operator="greaterThanOrEqual">
      <formula>80</formula>
    </cfRule>
  </conditionalFormatting>
  <conditionalFormatting sqref="C13">
    <cfRule type="cellIs" dxfId="386" priority="362" operator="lessThanOrEqual">
      <formula>59</formula>
    </cfRule>
    <cfRule type="cellIs" dxfId="385" priority="363" operator="between">
      <formula>60</formula>
      <formula>69</formula>
    </cfRule>
    <cfRule type="cellIs" dxfId="384" priority="364" operator="between">
      <formula>70</formula>
      <formula>99</formula>
    </cfRule>
    <cfRule type="cellIs" dxfId="383" priority="365" operator="between">
      <formula>100</formula>
      <formula>149</formula>
    </cfRule>
    <cfRule type="cellIs" dxfId="382" priority="366" operator="greaterThan">
      <formula>150</formula>
    </cfRule>
  </conditionalFormatting>
  <conditionalFormatting sqref="C14">
    <cfRule type="cellIs" dxfId="381" priority="357" operator="greaterThan">
      <formula>15</formula>
    </cfRule>
    <cfRule type="cellIs" dxfId="380" priority="358" operator="between">
      <formula>12.1</formula>
      <formula>15</formula>
    </cfRule>
    <cfRule type="cellIs" dxfId="379" priority="359" operator="between">
      <formula>10.1</formula>
      <formula>12</formula>
    </cfRule>
    <cfRule type="cellIs" dxfId="378" priority="360" operator="between">
      <formula>8.1</formula>
      <formula>10</formula>
    </cfRule>
    <cfRule type="cellIs" dxfId="377" priority="361" operator="lessThanOrEqual">
      <formula>8</formula>
    </cfRule>
  </conditionalFormatting>
  <conditionalFormatting sqref="I11:I16">
    <cfRule type="expression" dxfId="376" priority="201">
      <formula>$I$12=1</formula>
    </cfRule>
    <cfRule type="expression" dxfId="375" priority="205">
      <formula>$I$12=6</formula>
    </cfRule>
    <cfRule type="expression" dxfId="374" priority="209">
      <formula>$I$12=5</formula>
    </cfRule>
    <cfRule type="expression" dxfId="373" priority="213">
      <formula>$I$12=4</formula>
    </cfRule>
    <cfRule type="expression" dxfId="372" priority="217">
      <formula>$I$12=3</formula>
    </cfRule>
    <cfRule type="expression" dxfId="371" priority="225">
      <formula>$I$12=2</formula>
    </cfRule>
  </conditionalFormatting>
  <conditionalFormatting sqref="I18:I23">
    <cfRule type="expression" dxfId="370" priority="203">
      <formula>$I$19=1</formula>
    </cfRule>
    <cfRule type="expression" dxfId="369" priority="207">
      <formula>$I$19=6</formula>
    </cfRule>
    <cfRule type="expression" dxfId="368" priority="211">
      <formula>$I$19=5</formula>
    </cfRule>
    <cfRule type="expression" dxfId="367" priority="215">
      <formula>$I$19=4</formula>
    </cfRule>
    <cfRule type="expression" dxfId="366" priority="219">
      <formula>$I$19=3</formula>
    </cfRule>
    <cfRule type="expression" dxfId="365" priority="226">
      <formula>$I$19=2</formula>
    </cfRule>
  </conditionalFormatting>
  <conditionalFormatting sqref="F11:F16">
    <cfRule type="expression" dxfId="364" priority="200">
      <formula>$F$12=1</formula>
    </cfRule>
    <cfRule type="expression" dxfId="363" priority="230">
      <formula>$F$12=2</formula>
    </cfRule>
    <cfRule type="expression" dxfId="362" priority="231">
      <formula>$F$12=3</formula>
    </cfRule>
    <cfRule type="expression" dxfId="361" priority="232">
      <formula>$F$12=4</formula>
    </cfRule>
    <cfRule type="expression" dxfId="360" priority="233">
      <formula>$F$12=5</formula>
    </cfRule>
    <cfRule type="expression" dxfId="359" priority="234">
      <formula>$F$12=6</formula>
    </cfRule>
  </conditionalFormatting>
  <conditionalFormatting sqref="F18:F23">
    <cfRule type="expression" dxfId="358" priority="202">
      <formula>$F$19=1</formula>
    </cfRule>
    <cfRule type="expression" dxfId="357" priority="206">
      <formula>$F$19=6</formula>
    </cfRule>
    <cfRule type="expression" dxfId="356" priority="210">
      <formula>$F$19=5</formula>
    </cfRule>
    <cfRule type="expression" dxfId="355" priority="214">
      <formula>$F$19=4</formula>
    </cfRule>
    <cfRule type="expression" dxfId="354" priority="218">
      <formula>$F$19=3</formula>
    </cfRule>
    <cfRule type="expression" dxfId="353" priority="228">
      <formula>$F$19=2</formula>
    </cfRule>
  </conditionalFormatting>
  <conditionalFormatting sqref="F25:F30">
    <cfRule type="expression" dxfId="352" priority="204">
      <formula>$F$26=1</formula>
    </cfRule>
    <cfRule type="expression" dxfId="351" priority="208">
      <formula>$F$26=6</formula>
    </cfRule>
    <cfRule type="expression" dxfId="350" priority="212">
      <formula>$F$26=5</formula>
    </cfRule>
    <cfRule type="expression" dxfId="349" priority="216">
      <formula>$F$26=4</formula>
    </cfRule>
    <cfRule type="expression" dxfId="348" priority="220">
      <formula>$F$26=3</formula>
    </cfRule>
    <cfRule type="expression" dxfId="347" priority="227">
      <formula>$F$26=2</formula>
    </cfRule>
  </conditionalFormatting>
  <conditionalFormatting sqref="L11 L16 C21 I31 I26 C45 C54 F54 I54 L54 O54 O45 L45 I45 F45">
    <cfRule type="cellIs" dxfId="346" priority="163" operator="equal">
      <formula>TRUE</formula>
    </cfRule>
  </conditionalFormatting>
  <conditionalFormatting sqref="L16 L11 C20:C21 C54 C45 F45 F54 I54 L54 O54 L45 O45 I45 I26 I31">
    <cfRule type="cellIs" dxfId="345" priority="158" operator="equal">
      <formula>FALSE</formula>
    </cfRule>
  </conditionalFormatting>
  <conditionalFormatting sqref="C51 F51 I51 L51 O51">
    <cfRule type="cellIs" dxfId="344" priority="154" operator="equal">
      <formula>FALSE</formula>
    </cfRule>
  </conditionalFormatting>
  <conditionalFormatting sqref="C49:C53 F49:F53 I49:I53 L49:L53 O49:O53">
    <cfRule type="cellIs" dxfId="343" priority="157" operator="equal">
      <formula>TRUE</formula>
    </cfRule>
  </conditionalFormatting>
  <conditionalFormatting sqref="C52:C53 F52:F53 I52:I53 L52:L53 O52:O53">
    <cfRule type="cellIs" dxfId="342" priority="156" operator="equal">
      <formula>FALSE</formula>
    </cfRule>
  </conditionalFormatting>
  <conditionalFormatting sqref="C49:C50 F49:F50 I49:I50 L49:L50 O49:O50">
    <cfRule type="cellIs" dxfId="341" priority="155" operator="equal">
      <formula>FALSE</formula>
    </cfRule>
  </conditionalFormatting>
  <conditionalFormatting sqref="K26">
    <cfRule type="containsErrors" dxfId="340" priority="377">
      <formula>ISERROR(K26)</formula>
    </cfRule>
  </conditionalFormatting>
  <conditionalFormatting sqref="C34:C55 F34:F55 O34:O55 L34:L55 I34:I55 F25:F30 F18:F23 F11:F16 I11:I16 I18:I23 I25:I31 C10:C27">
    <cfRule type="containsErrors" dxfId="339" priority="123">
      <formula>ISERROR(C10)</formula>
    </cfRule>
  </conditionalFormatting>
  <conditionalFormatting sqref="C38 F38 I38 L38 O38 I30">
    <cfRule type="cellIs" dxfId="338" priority="118" operator="lessThanOrEqual">
      <formula>1</formula>
    </cfRule>
    <cfRule type="cellIs" dxfId="337" priority="119" operator="between">
      <formula>1</formula>
      <formula>1.5</formula>
    </cfRule>
    <cfRule type="cellIs" dxfId="336" priority="120" operator="between">
      <formula>1.5</formula>
      <formula>2</formula>
    </cfRule>
    <cfRule type="cellIs" dxfId="335" priority="121" operator="between">
      <formula>2</formula>
      <formula>3</formula>
    </cfRule>
    <cfRule type="cellIs" dxfId="334" priority="122" operator="greaterThan">
      <formula>3</formula>
    </cfRule>
  </conditionalFormatting>
  <conditionalFormatting sqref="F27 I20 F20 F13 I13 C44 F44 I44 L44 O44">
    <cfRule type="cellIs" dxfId="333" priority="114" operator="equal">
      <formula>"None"</formula>
    </cfRule>
    <cfRule type="cellIs" dxfId="332" priority="115" operator="equal">
      <formula>"Low"</formula>
    </cfRule>
    <cfRule type="cellIs" dxfId="331" priority="116" operator="equal">
      <formula>"Medium"</formula>
    </cfRule>
    <cfRule type="cellIs" dxfId="330" priority="117" operator="equal">
      <formula>"High"</formula>
    </cfRule>
  </conditionalFormatting>
  <conditionalFormatting sqref="C20">
    <cfRule type="cellIs" dxfId="329" priority="113" operator="equal">
      <formula>TRUE</formula>
    </cfRule>
  </conditionalFormatting>
  <conditionalFormatting sqref="C46 F46 I46 L46 O46 I27">
    <cfRule type="cellIs" dxfId="328" priority="108" operator="between">
      <formula>-0.01</formula>
      <formula>0</formula>
    </cfRule>
    <cfRule type="cellIs" dxfId="327" priority="109" operator="between">
      <formula>-0.03</formula>
      <formula>-0.02</formula>
    </cfRule>
    <cfRule type="cellIs" dxfId="326" priority="110" operator="between">
      <formula>-0.05</formula>
      <formula>-0.04</formula>
    </cfRule>
    <cfRule type="cellIs" dxfId="325" priority="111" operator="between">
      <formula>-0.06</formula>
      <formula>-0.05</formula>
    </cfRule>
    <cfRule type="cellIs" dxfId="324" priority="112" operator="lessThan">
      <formula>-0.06</formula>
    </cfRule>
  </conditionalFormatting>
  <conditionalFormatting sqref="C47 F47 I47 L47 O47 I28">
    <cfRule type="cellIs" dxfId="323" priority="103" operator="lessThanOrEqual">
      <formula>-0.13</formula>
    </cfRule>
    <cfRule type="cellIs" dxfId="322" priority="104" operator="between">
      <formula>-0.12</formula>
      <formula>-0.11</formula>
    </cfRule>
    <cfRule type="cellIs" dxfId="321" priority="105" operator="between">
      <formula>-0.1</formula>
      <formula>-0.06</formula>
    </cfRule>
    <cfRule type="cellIs" dxfId="320" priority="106" operator="between">
      <formula>-0.05</formula>
      <formula>-0.03</formula>
    </cfRule>
    <cfRule type="cellIs" dxfId="319" priority="107" operator="between">
      <formula>-0.02</formula>
      <formula>0</formula>
    </cfRule>
  </conditionalFormatting>
  <conditionalFormatting sqref="C48 F48 I48 L48 O48 I29">
    <cfRule type="cellIs" dxfId="318" priority="98" operator="between">
      <formula>-1</formula>
      <formula>0</formula>
    </cfRule>
    <cfRule type="cellIs" dxfId="317" priority="99" operator="between">
      <formula>-2</formula>
      <formula>-3</formula>
    </cfRule>
    <cfRule type="cellIs" dxfId="316" priority="100" operator="between">
      <formula>-4</formula>
      <formula>-5</formula>
    </cfRule>
    <cfRule type="cellIs" dxfId="315" priority="101" operator="between">
      <formula>-6</formula>
      <formula>-7</formula>
    </cfRule>
    <cfRule type="cellIs" dxfId="314" priority="102" operator="lessThanOrEqual">
      <formula>-8</formula>
    </cfRule>
  </conditionalFormatting>
  <conditionalFormatting sqref="C55 F55 I55 L55 O55 I25">
    <cfRule type="cellIs" dxfId="313" priority="94" operator="between">
      <formula>0%</formula>
      <formula>9%</formula>
    </cfRule>
    <cfRule type="cellIs" dxfId="312" priority="95" operator="between">
      <formula>10%</formula>
      <formula>14%</formula>
    </cfRule>
    <cfRule type="cellIs" dxfId="311" priority="96" operator="between">
      <formula>15%</formula>
      <formula>24%</formula>
    </cfRule>
    <cfRule type="cellIs" dxfId="310" priority="97" operator="greaterThanOrEqual">
      <formula>25%</formula>
    </cfRule>
  </conditionalFormatting>
  <conditionalFormatting sqref="C37">
    <cfRule type="cellIs" dxfId="309" priority="84" operator="lessThan">
      <formula>50</formula>
    </cfRule>
    <cfRule type="cellIs" dxfId="308" priority="85" operator="between">
      <formula>50</formula>
      <formula>59</formula>
    </cfRule>
    <cfRule type="cellIs" dxfId="307" priority="86" operator="between">
      <formula>60</formula>
      <formula>79</formula>
    </cfRule>
    <cfRule type="cellIs" dxfId="306" priority="87" operator="between">
      <formula>80</formula>
      <formula>89</formula>
    </cfRule>
    <cfRule type="cellIs" dxfId="305" priority="88" operator="greaterThanOrEqual">
      <formula>90</formula>
    </cfRule>
  </conditionalFormatting>
  <conditionalFormatting sqref="C36">
    <cfRule type="cellIs" dxfId="304" priority="89" operator="lessThanOrEqual">
      <formula>19</formula>
    </cfRule>
    <cfRule type="cellIs" dxfId="303" priority="90" operator="between">
      <formula>20</formula>
      <formula>29</formula>
    </cfRule>
    <cfRule type="cellIs" dxfId="302" priority="91" operator="between">
      <formula>30</formula>
      <formula>39</formula>
    </cfRule>
    <cfRule type="cellIs" dxfId="301" priority="92" operator="between">
      <formula>40</formula>
      <formula>59</formula>
    </cfRule>
    <cfRule type="cellIs" dxfId="300" priority="93" operator="greaterThanOrEqual">
      <formula>60</formula>
    </cfRule>
  </conditionalFormatting>
  <conditionalFormatting sqref="F36 I36 L36 O36">
    <cfRule type="cellIs" dxfId="299" priority="76" operator="greaterThanOrEqual">
      <formula>40</formula>
    </cfRule>
    <cfRule type="cellIs" dxfId="298" priority="77" operator="between">
      <formula>30</formula>
      <formula>39</formula>
    </cfRule>
    <cfRule type="cellIs" dxfId="297" priority="78" operator="between">
      <formula>25</formula>
      <formula>29</formula>
    </cfRule>
    <cfRule type="cellIs" dxfId="296" priority="79" operator="between">
      <formula>20</formula>
      <formula>24</formula>
    </cfRule>
    <cfRule type="cellIs" dxfId="295" priority="80" operator="lessThanOrEqual">
      <formula>19</formula>
    </cfRule>
  </conditionalFormatting>
  <conditionalFormatting sqref="F37 I37 L37 O37">
    <cfRule type="cellIs" dxfId="294" priority="71" operator="lessThan">
      <formula>20</formula>
    </cfRule>
    <cfRule type="cellIs" dxfId="293" priority="72" operator="between">
      <formula>20</formula>
      <formula>29</formula>
    </cfRule>
    <cfRule type="cellIs" dxfId="292" priority="73" operator="between">
      <formula>30</formula>
      <formula>39</formula>
    </cfRule>
    <cfRule type="cellIs" dxfId="291" priority="74" operator="between">
      <formula>40</formula>
      <formula>49</formula>
    </cfRule>
    <cfRule type="cellIs" dxfId="290" priority="75" operator="greaterThanOrEqual">
      <formula>50</formula>
    </cfRule>
  </conditionalFormatting>
  <conditionalFormatting sqref="C10:C11 C22:C24 C2">
    <cfRule type="expression" dxfId="289" priority="341">
      <formula>$C$11 = 1</formula>
    </cfRule>
    <cfRule type="expression" dxfId="288" priority="342">
      <formula>$C$11 = 2</formula>
    </cfRule>
    <cfRule type="expression" dxfId="287" priority="343">
      <formula>$C$11 = 3</formula>
    </cfRule>
    <cfRule type="expression" dxfId="286" priority="344">
      <formula>$C$11 = 4</formula>
    </cfRule>
    <cfRule type="expression" dxfId="285" priority="345">
      <formula>$C$11 =5</formula>
    </cfRule>
    <cfRule type="expression" dxfId="284" priority="346">
      <formula>$C$11 = 6</formula>
    </cfRule>
  </conditionalFormatting>
  <conditionalFormatting sqref="C34:C35 C3">
    <cfRule type="expression" dxfId="283" priority="188">
      <formula>$C$35=6</formula>
    </cfRule>
    <cfRule type="expression" dxfId="282" priority="189">
      <formula>$C$35=5</formula>
    </cfRule>
    <cfRule type="expression" dxfId="281" priority="190">
      <formula>$C$35=4</formula>
    </cfRule>
    <cfRule type="expression" dxfId="280" priority="191">
      <formula>$C$35=3</formula>
    </cfRule>
    <cfRule type="expression" dxfId="279" priority="192">
      <formula>$C$35=2</formula>
    </cfRule>
    <cfRule type="expression" dxfId="278" priority="193">
      <formula>$C$35=1</formula>
    </cfRule>
  </conditionalFormatting>
  <conditionalFormatting sqref="F34:F35 C4">
    <cfRule type="expression" dxfId="277" priority="182">
      <formula>$F$35=6</formula>
    </cfRule>
    <cfRule type="expression" dxfId="276" priority="183">
      <formula>$F$35=5</formula>
    </cfRule>
    <cfRule type="expression" dxfId="275" priority="184">
      <formula>$F$35=4</formula>
    </cfRule>
    <cfRule type="expression" dxfId="274" priority="185">
      <formula>$F$35=3</formula>
    </cfRule>
    <cfRule type="expression" dxfId="273" priority="186">
      <formula>$F$35=2</formula>
    </cfRule>
  </conditionalFormatting>
  <conditionalFormatting sqref="I34:I35 C5">
    <cfRule type="expression" dxfId="272" priority="176">
      <formula>$I$35=6</formula>
    </cfRule>
    <cfRule type="expression" dxfId="271" priority="177">
      <formula>$I$35=5</formula>
    </cfRule>
    <cfRule type="expression" dxfId="270" priority="178">
      <formula>$I$35=4</formula>
    </cfRule>
    <cfRule type="expression" dxfId="269" priority="179">
      <formula>$I$35=3</formula>
    </cfRule>
    <cfRule type="expression" dxfId="268" priority="180">
      <formula>$I$35=2</formula>
    </cfRule>
    <cfRule type="expression" dxfId="267" priority="181">
      <formula>$I$35=1</formula>
    </cfRule>
  </conditionalFormatting>
  <conditionalFormatting sqref="L34:L35 C6">
    <cfRule type="expression" dxfId="266" priority="170">
      <formula>$L$35=6</formula>
    </cfRule>
    <cfRule type="expression" dxfId="265" priority="171">
      <formula>$L$35=5</formula>
    </cfRule>
    <cfRule type="expression" dxfId="264" priority="172">
      <formula>$L$35=4</formula>
    </cfRule>
    <cfRule type="expression" dxfId="263" priority="173">
      <formula>$L$35=3</formula>
    </cfRule>
    <cfRule type="expression" dxfId="262" priority="174">
      <formula>$L$35=2</formula>
    </cfRule>
    <cfRule type="expression" dxfId="261" priority="175">
      <formula>$L$35=1</formula>
    </cfRule>
  </conditionalFormatting>
  <conditionalFormatting sqref="O34:O35 C7">
    <cfRule type="expression" dxfId="260" priority="164">
      <formula>$O$35=5</formula>
    </cfRule>
    <cfRule type="expression" dxfId="259" priority="165">
      <formula>$O$35=4</formula>
    </cfRule>
    <cfRule type="expression" dxfId="258" priority="166">
      <formula>$O$35=3</formula>
    </cfRule>
    <cfRule type="expression" dxfId="257" priority="167">
      <formula>$O$35=2</formula>
    </cfRule>
    <cfRule type="expression" dxfId="256" priority="168">
      <formula>$O$35=6</formula>
    </cfRule>
    <cfRule type="expression" dxfId="255" priority="169">
      <formula>$O$35=1</formula>
    </cfRule>
  </conditionalFormatting>
  <conditionalFormatting sqref="C2:C7">
    <cfRule type="containsBlanks" dxfId="254" priority="8">
      <formula>LEN(TRIM(C2))=0</formula>
    </cfRule>
    <cfRule type="containsBlanks" dxfId="253" priority="378">
      <formula>LEN(TRIM(C2))=0</formula>
    </cfRule>
  </conditionalFormatting>
  <conditionalFormatting sqref="C27">
    <cfRule type="cellIs" dxfId="252" priority="63" operator="greaterThanOrEqual">
      <formula>-4</formula>
    </cfRule>
    <cfRule type="cellIs" dxfId="251" priority="64" operator="between">
      <formula>-9</formula>
      <formula>-5</formula>
    </cfRule>
    <cfRule type="cellIs" dxfId="250" priority="65" operator="between">
      <formula>-14</formula>
      <formula>-10</formula>
    </cfRule>
    <cfRule type="cellIs" dxfId="249" priority="66" operator="between">
      <formula>-19</formula>
      <formula>-15</formula>
    </cfRule>
    <cfRule type="cellIs" dxfId="248" priority="67" operator="lessThanOrEqual">
      <formula>-20</formula>
    </cfRule>
  </conditionalFormatting>
  <conditionalFormatting sqref="C25:C26">
    <cfRule type="cellIs" dxfId="247" priority="58" operator="lessThanOrEqual">
      <formula>-20%</formula>
    </cfRule>
    <cfRule type="cellIs" dxfId="246" priority="59" operator="between">
      <formula>-19%</formula>
      <formula>-15%</formula>
    </cfRule>
    <cfRule type="cellIs" dxfId="245" priority="60" operator="between">
      <formula>-14%</formula>
      <formula>-10%</formula>
    </cfRule>
    <cfRule type="cellIs" dxfId="244" priority="61" operator="between">
      <formula>-9%</formula>
      <formula>-5%</formula>
    </cfRule>
    <cfRule type="cellIs" dxfId="243" priority="62" operator="greaterThanOrEqual">
      <formula>-4%</formula>
    </cfRule>
  </conditionalFormatting>
  <conditionalFormatting sqref="L15">
    <cfRule type="cellIs" dxfId="242" priority="53" operator="lessThanOrEqual">
      <formula>8</formula>
    </cfRule>
    <cfRule type="cellIs" dxfId="241" priority="54" operator="between">
      <formula>8.1</formula>
      <formula>10</formula>
    </cfRule>
    <cfRule type="cellIs" dxfId="240" priority="55" operator="between">
      <formula>10.1</formula>
      <formula>12</formula>
    </cfRule>
    <cfRule type="cellIs" dxfId="239" priority="56" operator="between">
      <formula>12.1</formula>
      <formula>15</formula>
    </cfRule>
    <cfRule type="cellIs" dxfId="238" priority="57" operator="greaterThan">
      <formula>15</formula>
    </cfRule>
  </conditionalFormatting>
  <conditionalFormatting sqref="L14">
    <cfRule type="cellIs" dxfId="237" priority="38" operator="between">
      <formula>-19</formula>
      <formula>-15</formula>
    </cfRule>
    <cfRule type="cellIs" dxfId="236" priority="39" operator="lessThanOrEqual">
      <formula>-20</formula>
    </cfRule>
    <cfRule type="cellIs" dxfId="235" priority="40" operator="between">
      <formula>-14</formula>
      <formula>-10</formula>
    </cfRule>
    <cfRule type="cellIs" dxfId="234" priority="41" operator="between">
      <formula>-9</formula>
      <formula>-5</formula>
    </cfRule>
    <cfRule type="cellIs" dxfId="233" priority="42" operator="greaterThanOrEqual">
      <formula>-4</formula>
    </cfRule>
  </conditionalFormatting>
  <conditionalFormatting sqref="L12:L13">
    <cfRule type="cellIs" dxfId="232" priority="43" operator="lessThanOrEqual">
      <formula>-20%</formula>
    </cfRule>
    <cfRule type="cellIs" dxfId="231" priority="44" operator="between">
      <formula>-19%</formula>
      <formula>-15%</formula>
    </cfRule>
    <cfRule type="cellIs" dxfId="230" priority="45" operator="between">
      <formula>-14%</formula>
      <formula>-10%</formula>
    </cfRule>
    <cfRule type="cellIs" dxfId="229" priority="46" operator="between">
      <formula>-9%</formula>
      <formula>-5%</formula>
    </cfRule>
    <cfRule type="cellIs" dxfId="228" priority="47" operator="greaterThanOrEqual">
      <formula>-4%</formula>
    </cfRule>
  </conditionalFormatting>
  <conditionalFormatting sqref="F14:F16 F12">
    <cfRule type="expression" dxfId="227" priority="37">
      <formula>$F$12=0</formula>
    </cfRule>
  </conditionalFormatting>
  <conditionalFormatting sqref="I14:I16 I12">
    <cfRule type="expression" dxfId="226" priority="36">
      <formula>$I$12=0</formula>
    </cfRule>
  </conditionalFormatting>
  <conditionalFormatting sqref="F19 F21:F23">
    <cfRule type="expression" dxfId="225" priority="35">
      <formula>$F$19=0</formula>
    </cfRule>
  </conditionalFormatting>
  <conditionalFormatting sqref="I21:I23 I19">
    <cfRule type="expression" dxfId="224" priority="34">
      <formula>$I$19=0</formula>
    </cfRule>
  </conditionalFormatting>
  <conditionalFormatting sqref="F28:F30 F26">
    <cfRule type="expression" dxfId="223" priority="33">
      <formula>$F$26=0</formula>
    </cfRule>
  </conditionalFormatting>
  <conditionalFormatting sqref="C5">
    <cfRule type="expression" dxfId="222" priority="3">
      <formula>ISNA($I$34)</formula>
    </cfRule>
  </conditionalFormatting>
  <conditionalFormatting sqref="C6">
    <cfRule type="expression" dxfId="221" priority="2">
      <formula>ISNA($L$34)</formula>
    </cfRule>
  </conditionalFormatting>
  <conditionalFormatting sqref="C7">
    <cfRule type="expression" dxfId="220" priority="1">
      <formula>ISNA($O$34)</formula>
    </cfRule>
  </conditionalFormatting>
  <conditionalFormatting sqref="C2">
    <cfRule type="expression" dxfId="219" priority="6">
      <formula>ISNA($C$10)</formula>
    </cfRule>
  </conditionalFormatting>
  <conditionalFormatting sqref="C3">
    <cfRule type="expression" dxfId="218" priority="5">
      <formula>ISNA($C$34)</formula>
    </cfRule>
  </conditionalFormatting>
  <conditionalFormatting sqref="C4">
    <cfRule type="expression" dxfId="217" priority="4">
      <formula>ISNA($F$34)</formula>
    </cfRule>
  </conditionalFormatting>
  <conditionalFormatting sqref="C4 F34:F35">
    <cfRule type="expression" dxfId="216" priority="187">
      <formula>$F$35=1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58A0-7245-4A60-AA63-5E451D0409AA}">
  <dimension ref="A1:T27"/>
  <sheetViews>
    <sheetView workbookViewId="0">
      <selection activeCell="A28" sqref="A28"/>
    </sheetView>
  </sheetViews>
  <sheetFormatPr defaultRowHeight="15" x14ac:dyDescent="0.25"/>
  <cols>
    <col min="1" max="1" width="38.140625" bestFit="1" customWidth="1"/>
    <col min="2" max="2" width="17.28515625" bestFit="1" customWidth="1"/>
    <col min="3" max="3" width="16.28515625" bestFit="1" customWidth="1"/>
    <col min="4" max="4" width="19.140625" bestFit="1" customWidth="1"/>
    <col min="5" max="5" width="14.28515625" bestFit="1" customWidth="1"/>
    <col min="6" max="6" width="22.85546875" bestFit="1" customWidth="1"/>
    <col min="7" max="7" width="23.42578125" bestFit="1" customWidth="1"/>
    <col min="8" max="8" width="16.85546875" bestFit="1" customWidth="1"/>
    <col min="9" max="9" width="12.140625" bestFit="1" customWidth="1"/>
    <col min="10" max="11" width="10.5703125" bestFit="1" customWidth="1"/>
    <col min="12" max="12" width="10.7109375" customWidth="1"/>
    <col min="13" max="14" width="10.5703125" bestFit="1" customWidth="1"/>
    <col min="15" max="15" width="21.5703125" bestFit="1" customWidth="1"/>
    <col min="16" max="16" width="15.5703125" bestFit="1" customWidth="1"/>
    <col min="17" max="17" width="15.7109375" bestFit="1" customWidth="1"/>
    <col min="18" max="18" width="13.140625" bestFit="1" customWidth="1"/>
    <col min="19" max="19" width="12.28515625" customWidth="1"/>
  </cols>
  <sheetData>
    <row r="1" spans="1:20" ht="18.75" x14ac:dyDescent="0.3">
      <c r="A1" s="45" t="s">
        <v>16</v>
      </c>
      <c r="B1" s="1"/>
      <c r="C1" s="1"/>
      <c r="D1" s="1"/>
      <c r="E1" s="1"/>
      <c r="F1" s="1"/>
      <c r="G1" s="1"/>
      <c r="H1" s="1"/>
      <c r="I1" s="1"/>
      <c r="J1" s="1"/>
      <c r="L1" s="45" t="s">
        <v>70</v>
      </c>
      <c r="M1" s="1"/>
      <c r="N1" s="1"/>
      <c r="O1" s="1"/>
      <c r="P1" s="1"/>
      <c r="Q1" s="1"/>
      <c r="R1" s="1"/>
      <c r="S1" s="1" t="s">
        <v>74</v>
      </c>
    </row>
    <row r="2" spans="1:20" x14ac:dyDescent="0.25">
      <c r="A2" s="5" t="s">
        <v>17</v>
      </c>
      <c r="B2" s="13" t="s">
        <v>73</v>
      </c>
      <c r="C2" s="6" t="s">
        <v>20</v>
      </c>
      <c r="D2" s="6" t="s">
        <v>2</v>
      </c>
      <c r="E2" s="6" t="s">
        <v>18</v>
      </c>
      <c r="F2" s="6" t="s">
        <v>19</v>
      </c>
      <c r="G2" s="6" t="s">
        <v>22</v>
      </c>
      <c r="H2" s="6" t="s">
        <v>9</v>
      </c>
      <c r="I2" s="6" t="s">
        <v>31</v>
      </c>
      <c r="J2" s="6" t="s">
        <v>23</v>
      </c>
      <c r="K2" s="6" t="s">
        <v>24</v>
      </c>
      <c r="L2" s="13" t="s">
        <v>25</v>
      </c>
      <c r="M2" s="13" t="s">
        <v>26</v>
      </c>
      <c r="N2" s="13" t="s">
        <v>27</v>
      </c>
      <c r="O2" s="13" t="s">
        <v>29</v>
      </c>
      <c r="P2" s="13" t="s">
        <v>28</v>
      </c>
      <c r="Q2" s="13" t="s">
        <v>30</v>
      </c>
      <c r="R2" s="13" t="s">
        <v>32</v>
      </c>
      <c r="S2" s="13" t="s">
        <v>33</v>
      </c>
      <c r="T2" s="38" t="s">
        <v>307</v>
      </c>
    </row>
    <row r="3" spans="1:20" x14ac:dyDescent="0.25">
      <c r="A3" s="23" t="s">
        <v>220</v>
      </c>
      <c r="B3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43.8</v>
      </c>
      <c r="C3" s="12">
        <v>2</v>
      </c>
      <c r="D3" s="8" t="s">
        <v>3</v>
      </c>
      <c r="E3" s="10">
        <v>50</v>
      </c>
      <c r="F3" s="8">
        <f>ROUNDDOWN(E3/VLOOKUP(D3,Table2[#All],2,FALSE),0)</f>
        <v>200</v>
      </c>
      <c r="G3" s="8">
        <f>ROUNDDOWN(E3/VLOOKUP(D3,Table2[#All],3,FALSE),0)</f>
        <v>250</v>
      </c>
      <c r="H3" s="9" t="str">
        <f>VLOOKUP(D3,Table2[#All],4,FALSE)</f>
        <v>Good</v>
      </c>
      <c r="I3" s="8">
        <v>3.5</v>
      </c>
      <c r="J3" s="14" t="e">
        <f>IF(C3&gt;5,E3*VLOOKUP(5,Table3[#All],2,FALSE),NA())</f>
        <v>#N/A</v>
      </c>
      <c r="K3" s="14" t="e">
        <f>IF(C3 = 6,E3*VLOOKUP(4,Table3[#All],2,FALSE),IF(C3 =5,E3*VLOOKUP(4,Table4[#All],2,FALSE),NA()))</f>
        <v>#N/A</v>
      </c>
      <c r="L3" s="14" t="e">
        <f>IF(C3 = 6,E3*VLOOKUP(3,Table3[#All],2,FALSE),IF(C3 =5,E3*VLOOKUP(3,Table4[#All],2,FALSE),IF(C3 =4,E3*VLOOKUP(3,Table5[#All],2,FALSE),NA())))</f>
        <v>#N/A</v>
      </c>
      <c r="M3" s="14" t="e">
        <f>IF(C3 = 6,E3*VLOOKUP(2,Table3[#All],2,FALSE),IF(C3 =5,E3*VLOOKUP(2,Table4[#All],2,FALSE),IF(C3 =4,E3*VLOOKUP(2,Table5[#All],2,FALSE),IF(C3 =3,E3*VLOOKUP(2,Table6[#All],2,FALSE),NA()))))</f>
        <v>#N/A</v>
      </c>
      <c r="N3" s="12">
        <f>IF(C3 = 6,E3*VLOOKUP(1,Table3[#All],2,FALSE),IF(C3 =5,E3*VLOOKUP(1,Table4[#All],2,FALSE),IF(C3 =4,E3*VLOOKUP(1,Table5[#All],2,FALSE),IF(C3 =3,E3*VLOOKUP(1,Table6[#All],2,FALSE),IF(C3 =2,E3*VLOOKUP(1,Table7[#All],2,FALSE),NA())))))</f>
        <v>6.25</v>
      </c>
      <c r="O3" s="66">
        <v>0.03</v>
      </c>
      <c r="P3" s="66">
        <v>0.01</v>
      </c>
      <c r="Q3" s="8">
        <v>-2</v>
      </c>
      <c r="R3" s="13" t="b">
        <v>1</v>
      </c>
      <c r="S3" s="13" t="b">
        <v>0</v>
      </c>
      <c r="T3" s="168">
        <f>VLOOKUP(Table120[[#This Row],[Armor Level]],Table1217[#All],6,FALSE)</f>
        <v>0.75</v>
      </c>
    </row>
    <row r="4" spans="1:20" x14ac:dyDescent="0.25">
      <c r="A4" s="23" t="s">
        <v>221</v>
      </c>
      <c r="B4" s="11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32.700000000000003</v>
      </c>
      <c r="C4" s="12">
        <v>2</v>
      </c>
      <c r="D4" s="9" t="s">
        <v>5</v>
      </c>
      <c r="E4" s="8">
        <v>80</v>
      </c>
      <c r="F4" s="9">
        <f>ROUNDDOWN(E4/VLOOKUP(D4,Table2[#All],2,FALSE),0)</f>
        <v>145</v>
      </c>
      <c r="G4" s="8">
        <f>ROUNDDOWN(E4/VLOOKUP(D4,Table2[#All],3,FALSE),0)</f>
        <v>160</v>
      </c>
      <c r="H4" s="9" t="str">
        <f>VLOOKUP(D4,Table2[#All],4,FALSE)</f>
        <v>Good</v>
      </c>
      <c r="I4" s="8">
        <v>4.0999999999999996</v>
      </c>
      <c r="J4" s="14" t="e">
        <f>IF(C4&gt;5,E4*VLOOKUP(5,Table3[#All],2,FALSE),NA())</f>
        <v>#N/A</v>
      </c>
      <c r="K4" s="14" t="e">
        <f>IF(C4 = 6,E4*VLOOKUP(4,Table3[#All],2,FALSE),IF(C4 =5,E4*VLOOKUP(4,Table4[#All],2,FALSE),NA()))</f>
        <v>#N/A</v>
      </c>
      <c r="L4" s="14" t="e">
        <f>IF(C4 = 6,E4*VLOOKUP(3,Table3[#All],2,FALSE),IF(C4 =5,E4*VLOOKUP(3,Table4[#All],2,FALSE),IF(C4 =4,E4*VLOOKUP(3,Table5[#All],2,FALSE),NA())))</f>
        <v>#N/A</v>
      </c>
      <c r="M4" s="14" t="e">
        <f>IF(C4 = 6,E4*VLOOKUP(2,Table3[#All],2,FALSE),IF(C4 =5,E4*VLOOKUP(2,Table4[#All],2,FALSE),IF(C4 =4,E4*VLOOKUP(2,Table5[#All],2,FALSE),IF(C4 =3,E4*VLOOKUP(2,Table6[#All],2,FALSE),NA()))))</f>
        <v>#N/A</v>
      </c>
      <c r="N4" s="12">
        <f>IF(C4 = 6,E4*VLOOKUP(1,Table3[#All],2,FALSE),IF(C4 =5,E4*VLOOKUP(1,Table4[#All],2,FALSE),IF(C4 =4,E4*VLOOKUP(1,Table5[#All],2,FALSE),IF(C4 =3,E4*VLOOKUP(1,Table6[#All],2,FALSE),IF(C4 =2,E4*VLOOKUP(1,Table7[#All],2,FALSE),NA())))))</f>
        <v>10</v>
      </c>
      <c r="O4" s="65">
        <v>0.06</v>
      </c>
      <c r="P4" s="66">
        <v>0.03</v>
      </c>
      <c r="Q4" s="9">
        <v>-7</v>
      </c>
      <c r="R4" s="13" t="b">
        <v>1</v>
      </c>
      <c r="S4" s="13" t="b">
        <v>0</v>
      </c>
      <c r="T4" s="149">
        <f>VLOOKUP(Table120[[#This Row],[Armor Level]],Table1217[#All],6,FALSE)</f>
        <v>0.75</v>
      </c>
    </row>
    <row r="5" spans="1:20" x14ac:dyDescent="0.25">
      <c r="A5" s="23" t="s">
        <v>222</v>
      </c>
      <c r="B5" s="12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29</v>
      </c>
      <c r="C5" s="12">
        <v>2</v>
      </c>
      <c r="D5" s="8" t="s">
        <v>3</v>
      </c>
      <c r="E5" s="11">
        <v>40</v>
      </c>
      <c r="F5" s="8">
        <f>ROUNDDOWN(E5/VLOOKUP(D5,Table2[#All],2,FALSE),0)</f>
        <v>160</v>
      </c>
      <c r="G5" s="8">
        <f>ROUNDDOWN(E5/VLOOKUP(D5,Table2[#All],3,FALSE),0)</f>
        <v>200</v>
      </c>
      <c r="H5" s="9" t="str">
        <f>VLOOKUP(D5,Table2[#All],4,FALSE)</f>
        <v>Good</v>
      </c>
      <c r="I5" s="8">
        <v>6</v>
      </c>
      <c r="J5" s="14" t="e">
        <f>IF(C5&gt;5,E5*VLOOKUP(5,Table3[#All],2,FALSE),NA())</f>
        <v>#N/A</v>
      </c>
      <c r="K5" s="14" t="e">
        <f>IF(C5 = 6,E5*VLOOKUP(4,Table3[#All],2,FALSE),IF(C5 =5,E5*VLOOKUP(4,Table4[#All],2,FALSE),NA()))</f>
        <v>#N/A</v>
      </c>
      <c r="L5" s="14" t="e">
        <f>IF(C5 = 6,E5*VLOOKUP(3,Table3[#All],2,FALSE),IF(C5 =5,E5*VLOOKUP(3,Table4[#All],2,FALSE),IF(C5 =4,E5*VLOOKUP(3,Table5[#All],2,FALSE),NA())))</f>
        <v>#N/A</v>
      </c>
      <c r="M5" s="14" t="e">
        <f>IF(C5 = 6,E5*VLOOKUP(2,Table3[#All],2,FALSE),IF(C5 =5,E5*VLOOKUP(2,Table4[#All],2,FALSE),IF(C5 =4,E5*VLOOKUP(2,Table5[#All],2,FALSE),IF(C5 =3,E5*VLOOKUP(2,Table6[#All],2,FALSE),NA()))))</f>
        <v>#N/A</v>
      </c>
      <c r="N5" s="12">
        <f>IF(C5 = 6,E5*VLOOKUP(1,Table3[#All],2,FALSE),IF(C5 =5,E5*VLOOKUP(1,Table4[#All],2,FALSE),IF(C5 =4,E5*VLOOKUP(1,Table5[#All],2,FALSE),IF(C5 =3,E5*VLOOKUP(1,Table6[#All],2,FALSE),IF(C5 =2,E5*VLOOKUP(1,Table7[#All],2,FALSE),NA())))))</f>
        <v>5</v>
      </c>
      <c r="O5" s="66">
        <v>0.03</v>
      </c>
      <c r="P5" s="66">
        <v>0.03</v>
      </c>
      <c r="Q5" s="8">
        <v>-1</v>
      </c>
      <c r="R5" s="13" t="b">
        <v>1</v>
      </c>
      <c r="S5" s="13" t="b">
        <v>0</v>
      </c>
      <c r="T5" s="149">
        <f>VLOOKUP(Table120[[#This Row],[Armor Level]],Table1217[#All],6,FALSE)</f>
        <v>0.75</v>
      </c>
    </row>
    <row r="6" spans="1:20" x14ac:dyDescent="0.25">
      <c r="A6" s="26" t="s">
        <v>219</v>
      </c>
      <c r="B6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58.5</v>
      </c>
      <c r="C6" s="11">
        <v>3</v>
      </c>
      <c r="D6" s="9" t="s">
        <v>4</v>
      </c>
      <c r="E6" s="9">
        <v>70</v>
      </c>
      <c r="F6" s="9">
        <f>ROUNDDOWN(E6/VLOOKUP(D6,Table2[#All],2,FALSE),0)</f>
        <v>140</v>
      </c>
      <c r="G6" s="8">
        <f>ROUNDDOWN(E6/VLOOKUP(D6,Table2[#All],3,FALSE),0)</f>
        <v>175</v>
      </c>
      <c r="H6" s="10" t="str">
        <f>VLOOKUP(D6,Table2[#All],4,FALSE)</f>
        <v>Average</v>
      </c>
      <c r="I6" s="8">
        <v>4.0999999999999996</v>
      </c>
      <c r="J6" s="14" t="e">
        <f>IF(C6&gt;5,E6*VLOOKUP(5,Table3[#All],2,FALSE),NA())</f>
        <v>#N/A</v>
      </c>
      <c r="K6" s="14" t="e">
        <f>IF(C6 = 6,E6*VLOOKUP(4,Table3[#All],2,FALSE),IF(C6 =5,E6*VLOOKUP(4,Table4[#All],2,FALSE),NA()))</f>
        <v>#N/A</v>
      </c>
      <c r="L6" s="14" t="e">
        <f>IF(C6 = 6,E6*VLOOKUP(3,Table3[#All],2,FALSE),IF(C6 =5,E6*VLOOKUP(3,Table4[#All],2,FALSE),IF(C6 =4,E6*VLOOKUP(3,Table5[#All],2,FALSE),NA())))</f>
        <v>#N/A</v>
      </c>
      <c r="M6" s="11">
        <f>IF(C6 = 6,E6*VLOOKUP(2,Table3[#All],2,FALSE),IF(C6 =5,E6*VLOOKUP(2,Table4[#All],2,FALSE),IF(C6 =4,E6*VLOOKUP(2,Table5[#All],2,FALSE),IF(C6 =3,E6*VLOOKUP(2,Table6[#All],2,FALSE),NA()))))</f>
        <v>17.5</v>
      </c>
      <c r="N6" s="12">
        <f>IF(C6 = 6,E6*VLOOKUP(1,Table3[#All],2,FALSE),IF(C6 =5,E6*VLOOKUP(1,Table4[#All],2,FALSE),IF(C6 =4,E6*VLOOKUP(1,Table5[#All],2,FALSE),IF(C6 =3,E6*VLOOKUP(1,Table6[#All],2,FALSE),IF(C6 =2,E6*VLOOKUP(1,Table7[#All],2,FALSE),NA())))))</f>
        <v>3.5</v>
      </c>
      <c r="O6" s="65">
        <v>0.08</v>
      </c>
      <c r="P6" s="65">
        <v>0.05</v>
      </c>
      <c r="Q6" s="9">
        <v>-6</v>
      </c>
      <c r="R6" s="13" t="b">
        <v>1</v>
      </c>
      <c r="S6" s="13" t="b">
        <v>0</v>
      </c>
      <c r="T6" s="101">
        <f>VLOOKUP(Table120[[#This Row],[Armor Level]],Table1217[#All],6,FALSE)</f>
        <v>0.63157894736842102</v>
      </c>
    </row>
    <row r="7" spans="1:20" x14ac:dyDescent="0.25">
      <c r="A7" s="26" t="s">
        <v>217</v>
      </c>
      <c r="B7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45</v>
      </c>
      <c r="C7" s="11">
        <v>3</v>
      </c>
      <c r="D7" s="9" t="s">
        <v>34</v>
      </c>
      <c r="E7" s="10">
        <v>50</v>
      </c>
      <c r="F7" s="9">
        <f>ROUNDDOWN(E7/VLOOKUP(D7,Table2[#All],2,FALSE),0)</f>
        <v>111</v>
      </c>
      <c r="G7" s="9">
        <f>ROUNDDOWN(E7/VLOOKUP(D7,Table2[#All],3,FALSE),0)</f>
        <v>125</v>
      </c>
      <c r="H7" s="8" t="str">
        <f>VLOOKUP(D7,Table2[#All],4,FALSE)</f>
        <v>Very Good</v>
      </c>
      <c r="I7" s="8">
        <v>5.2</v>
      </c>
      <c r="J7" s="14" t="e">
        <f>IF(C7&gt;5,E7*VLOOKUP(5,Table3[#All],2,FALSE),NA())</f>
        <v>#N/A</v>
      </c>
      <c r="K7" s="14" t="e">
        <f>IF(C7 = 6,E7*VLOOKUP(4,Table3[#All],2,FALSE),IF(C7 =5,E7*VLOOKUP(4,Table4[#All],2,FALSE),NA()))</f>
        <v>#N/A</v>
      </c>
      <c r="L7" s="14" t="e">
        <f>IF(C7 = 6,E7*VLOOKUP(3,Table3[#All],2,FALSE),IF(C7 =5,E7*VLOOKUP(3,Table4[#All],2,FALSE),IF(C7 =4,E7*VLOOKUP(3,Table5[#All],2,FALSE),NA())))</f>
        <v>#N/A</v>
      </c>
      <c r="M7" s="11">
        <f>IF(C7 = 6,E7*VLOOKUP(2,Table3[#All],2,FALSE),IF(C7 =5,E7*VLOOKUP(2,Table4[#All],2,FALSE),IF(C7 =4,E7*VLOOKUP(2,Table5[#All],2,FALSE),IF(C7 =3,E7*VLOOKUP(2,Table6[#All],2,FALSE),NA()))))</f>
        <v>12.5</v>
      </c>
      <c r="N7" s="12">
        <f>IF(C7 = 6,E7*VLOOKUP(1,Table3[#All],2,FALSE),IF(C7 =5,E7*VLOOKUP(1,Table4[#All],2,FALSE),IF(C7 =4,E7*VLOOKUP(1,Table5[#All],2,FALSE),IF(C7 =3,E7*VLOOKUP(1,Table6[#All],2,FALSE),IF(C7 =2,E7*VLOOKUP(1,Table7[#All],2,FALSE),NA())))))</f>
        <v>2.5</v>
      </c>
      <c r="O7" s="69">
        <v>0.1</v>
      </c>
      <c r="P7" s="66">
        <v>0.04</v>
      </c>
      <c r="Q7" s="9">
        <v>-5</v>
      </c>
      <c r="R7" s="13" t="b">
        <v>1</v>
      </c>
      <c r="S7" s="13" t="b">
        <v>0</v>
      </c>
      <c r="T7" s="148">
        <f>VLOOKUP(Table120[[#This Row],[Armor Level]],Table1217[#All],6,FALSE)</f>
        <v>0.63157894736842102</v>
      </c>
    </row>
    <row r="8" spans="1:20" x14ac:dyDescent="0.25">
      <c r="A8" s="26" t="s">
        <v>218</v>
      </c>
      <c r="B8" s="11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34.299999999999997</v>
      </c>
      <c r="C8" s="11">
        <v>3</v>
      </c>
      <c r="D8" s="10" t="s">
        <v>8</v>
      </c>
      <c r="E8" s="9">
        <v>60</v>
      </c>
      <c r="F8" s="10">
        <f>ROUNDDOWN(E8/VLOOKUP(D8,Table2[#All],2,FALSE),0)</f>
        <v>85</v>
      </c>
      <c r="G8" s="9">
        <f>ROUNDDOWN(E8/VLOOKUP(D8,Table2[#All],3,FALSE),0)</f>
        <v>100</v>
      </c>
      <c r="H8" s="8" t="str">
        <f>VLOOKUP(D8,Table2[#All],4,FALSE)</f>
        <v>Very Good</v>
      </c>
      <c r="I8" s="8">
        <v>7.9</v>
      </c>
      <c r="J8" s="14" t="e">
        <f>IF(C8&gt;5,E8*VLOOKUP(5,Table3[#All],2,FALSE),NA())</f>
        <v>#N/A</v>
      </c>
      <c r="K8" s="14" t="e">
        <f>IF(C8 = 6,E8*VLOOKUP(4,Table3[#All],2,FALSE),IF(C8 =5,E8*VLOOKUP(4,Table4[#All],2,FALSE),NA()))</f>
        <v>#N/A</v>
      </c>
      <c r="L8" s="14" t="e">
        <f>IF(C8 = 6,E8*VLOOKUP(3,Table3[#All],2,FALSE),IF(C8 =5,E8*VLOOKUP(3,Table4[#All],2,FALSE),IF(C8 =4,E8*VLOOKUP(3,Table5[#All],2,FALSE),NA())))</f>
        <v>#N/A</v>
      </c>
      <c r="M8" s="11">
        <f>IF(C8 = 6,E8*VLOOKUP(2,Table3[#All],2,FALSE),IF(C8 =5,E8*VLOOKUP(2,Table4[#All],2,FALSE),IF(C8 =4,E8*VLOOKUP(2,Table5[#All],2,FALSE),IF(C8 =3,E8*VLOOKUP(2,Table6[#All],2,FALSE),NA()))))</f>
        <v>15</v>
      </c>
      <c r="N8" s="12">
        <f>IF(C8 = 6,E8*VLOOKUP(1,Table3[#All],2,FALSE),IF(C8 =5,E8*VLOOKUP(1,Table4[#All],2,FALSE),IF(C8 =4,E8*VLOOKUP(1,Table5[#All],2,FALSE),IF(C8 =3,E8*VLOOKUP(1,Table6[#All],2,FALSE),IF(C8 =2,E8*VLOOKUP(1,Table7[#All],2,FALSE),NA())))))</f>
        <v>3</v>
      </c>
      <c r="O8" s="69">
        <v>0.11</v>
      </c>
      <c r="P8" s="65">
        <v>0.05</v>
      </c>
      <c r="Q8" s="9">
        <v>-9</v>
      </c>
      <c r="R8" s="13" t="b">
        <v>1</v>
      </c>
      <c r="S8" s="13" t="b">
        <v>0</v>
      </c>
      <c r="T8" s="148">
        <f>VLOOKUP(Table120[[#This Row],[Armor Level]],Table1217[#All],6,FALSE)</f>
        <v>0.63157894736842102</v>
      </c>
    </row>
    <row r="9" spans="1:20" x14ac:dyDescent="0.25">
      <c r="A9" s="26" t="s">
        <v>216</v>
      </c>
      <c r="B9" s="11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32.5</v>
      </c>
      <c r="C9" s="11">
        <v>3</v>
      </c>
      <c r="D9" s="10" t="s">
        <v>13</v>
      </c>
      <c r="E9" s="10">
        <v>50</v>
      </c>
      <c r="F9" s="10">
        <f>ROUNDDOWN(E9/VLOOKUP(D9,Table2[#All],2,FALSE),0)</f>
        <v>83</v>
      </c>
      <c r="G9" s="10">
        <f>ROUNDDOWN(E9/VLOOKUP(D9,Table2[#All],3,FALSE),0)</f>
        <v>83</v>
      </c>
      <c r="H9" s="9" t="str">
        <f>VLOOKUP(D9,Table2[#All],4,FALSE)</f>
        <v>Good</v>
      </c>
      <c r="I9" s="9">
        <v>8.5</v>
      </c>
      <c r="J9" s="14" t="e">
        <f>IF(C9&gt;5,E9*VLOOKUP(5,Table3[#All],2,FALSE),NA())</f>
        <v>#N/A</v>
      </c>
      <c r="K9" s="14" t="e">
        <f>IF(C9 = 6,E9*VLOOKUP(4,Table3[#All],2,FALSE),IF(C9 =5,E9*VLOOKUP(4,Table4[#All],2,FALSE),NA()))</f>
        <v>#N/A</v>
      </c>
      <c r="L9" s="14" t="e">
        <f>IF(C9 = 6,E9*VLOOKUP(3,Table3[#All],2,FALSE),IF(C9 =5,E9*VLOOKUP(3,Table4[#All],2,FALSE),IF(C9 =4,E9*VLOOKUP(3,Table5[#All],2,FALSE),NA())))</f>
        <v>#N/A</v>
      </c>
      <c r="M9" s="11">
        <f>IF(C9 = 6,E9*VLOOKUP(2,Table3[#All],2,FALSE),IF(C9 =5,E9*VLOOKUP(2,Table4[#All],2,FALSE),IF(C9 =4,E9*VLOOKUP(2,Table5[#All],2,FALSE),IF(C9 =3,E9*VLOOKUP(2,Table6[#All],2,FALSE),NA()))))</f>
        <v>12.5</v>
      </c>
      <c r="N9" s="12">
        <f>IF(C9 = 6,E9*VLOOKUP(1,Table3[#All],2,FALSE),IF(C9 =5,E9*VLOOKUP(1,Table4[#All],2,FALSE),IF(C9 =4,E9*VLOOKUP(1,Table5[#All],2,FALSE),IF(C9 =3,E9*VLOOKUP(1,Table6[#All],2,FALSE),IF(C9 =2,E9*VLOOKUP(1,Table7[#All],2,FALSE),NA())))))</f>
        <v>2.5</v>
      </c>
      <c r="O9" s="68">
        <v>0.18</v>
      </c>
      <c r="P9" s="65">
        <v>0.06</v>
      </c>
      <c r="Q9" s="9">
        <v>-8</v>
      </c>
      <c r="R9" s="13" t="b">
        <v>1</v>
      </c>
      <c r="S9" s="13" t="b">
        <v>0</v>
      </c>
      <c r="T9" s="101">
        <f>VLOOKUP(Table120[[#This Row],[Armor Level]],Table1217[#All],6,FALSE)</f>
        <v>0.63157894736842102</v>
      </c>
    </row>
    <row r="10" spans="1:20" x14ac:dyDescent="0.25">
      <c r="A10" s="22" t="s">
        <v>198</v>
      </c>
      <c r="B10" s="8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152.6</v>
      </c>
      <c r="C10" s="10">
        <v>4</v>
      </c>
      <c r="D10" s="9" t="s">
        <v>34</v>
      </c>
      <c r="E10" s="8">
        <v>85</v>
      </c>
      <c r="F10" s="8">
        <f>ROUNDDOWN(E10/VLOOKUP(D10,Table2[#All],2,FALSE),0)</f>
        <v>188</v>
      </c>
      <c r="G10" s="8">
        <f>ROUNDDOWN(E10/VLOOKUP(D10,Table2[#All],3,FALSE),0)</f>
        <v>212</v>
      </c>
      <c r="H10" s="8" t="str">
        <f>VLOOKUP(D10,Table2[#All],4,FALSE)</f>
        <v>Very Good</v>
      </c>
      <c r="I10" s="8">
        <v>5</v>
      </c>
      <c r="J10" s="14" t="e">
        <f>IF(C10&gt;5,E10*VLOOKUP(5,Table3[#All],2,FALSE),NA())</f>
        <v>#N/A</v>
      </c>
      <c r="K10" s="14" t="e">
        <f>IF(C10 = 6,E10*VLOOKUP(4,Table3[#All],2,FALSE),IF(C10 =5,E10*VLOOKUP(4,Table4[#All],2,FALSE),NA()))</f>
        <v>#N/A</v>
      </c>
      <c r="L10" s="10">
        <f>IF(C10 = 6,E10*VLOOKUP(3,Table3[#All],2,FALSE),IF(C10 =5,E10*VLOOKUP(3,Table4[#All],2,FALSE),IF(C10 =4,E10*VLOOKUP(3,Table5[#All],2,FALSE),NA())))</f>
        <v>27.2</v>
      </c>
      <c r="M10" s="11">
        <f>IF(C10 = 6,E10*VLOOKUP(2,Table3[#All],2,FALSE),IF(C10 =5,E10*VLOOKUP(2,Table4[#All],2,FALSE),IF(C10 =4,E10*VLOOKUP(2,Table5[#All],2,FALSE),IF(C10 =3,E10*VLOOKUP(2,Table6[#All],2,FALSE),NA()))))</f>
        <v>13.6</v>
      </c>
      <c r="N10" s="12">
        <f>IF(C10 = 6,E10*VLOOKUP(1,Table3[#All],2,FALSE),IF(C10 =5,E10*VLOOKUP(1,Table4[#All],2,FALSE),IF(C10 =4,E10*VLOOKUP(1,Table5[#All],2,FALSE),IF(C10 =3,E10*VLOOKUP(1,Table6[#All],2,FALSE),IF(C10 =2,E10*VLOOKUP(1,Table7[#All],2,FALSE),NA())))))</f>
        <v>3.4</v>
      </c>
      <c r="O10" s="65">
        <v>0.09</v>
      </c>
      <c r="P10" s="66">
        <v>0.02</v>
      </c>
      <c r="Q10" s="8">
        <v>-3</v>
      </c>
      <c r="R10" s="13" t="b">
        <v>0</v>
      </c>
      <c r="S10" s="13" t="b">
        <v>0</v>
      </c>
      <c r="T10" s="147">
        <f>VLOOKUP(Table120[[#This Row],[Armor Level]],Table1217[#All],6,FALSE)</f>
        <v>0.43421052631578949</v>
      </c>
    </row>
    <row r="11" spans="1:20" x14ac:dyDescent="0.25">
      <c r="A11" s="22" t="s">
        <v>215</v>
      </c>
      <c r="B11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55.5</v>
      </c>
      <c r="C11" s="10">
        <v>4</v>
      </c>
      <c r="D11" s="11" t="s">
        <v>6</v>
      </c>
      <c r="E11" s="10">
        <v>55</v>
      </c>
      <c r="F11" s="11">
        <f>ROUNDDOWN(E11/VLOOKUP(D11,Table2[#All],2,FALSE),0)</f>
        <v>68</v>
      </c>
      <c r="G11" s="10">
        <f>ROUNDDOWN(E11/VLOOKUP(D11,Table2[#All],3,FALSE),0)</f>
        <v>78</v>
      </c>
      <c r="H11" s="11" t="str">
        <f>VLOOKUP(D11,Table2[#All],4,FALSE)</f>
        <v>Bad</v>
      </c>
      <c r="I11" s="8">
        <v>7.2</v>
      </c>
      <c r="J11" s="14" t="e">
        <f>IF(C11&gt;5,E11*VLOOKUP(5,Table3[#All],2,FALSE),NA())</f>
        <v>#N/A</v>
      </c>
      <c r="K11" s="14" t="e">
        <f>IF(C11 = 6,E11*VLOOKUP(4,Table3[#All],2,FALSE),IF(C11 =5,E11*VLOOKUP(4,Table4[#All],2,FALSE),NA()))</f>
        <v>#N/A</v>
      </c>
      <c r="L11" s="10">
        <f>IF(C11 = 6,E11*VLOOKUP(3,Table3[#All],2,FALSE),IF(C11 =5,E11*VLOOKUP(3,Table4[#All],2,FALSE),IF(C11 =4,E11*VLOOKUP(3,Table5[#All],2,FALSE),NA())))</f>
        <v>17.600000000000001</v>
      </c>
      <c r="M11" s="11">
        <f>IF(C11 = 6,E11*VLOOKUP(2,Table3[#All],2,FALSE),IF(C11 =5,E11*VLOOKUP(2,Table4[#All],2,FALSE),IF(C11 =4,E11*VLOOKUP(2,Table5[#All],2,FALSE),IF(C11 =3,E11*VLOOKUP(2,Table6[#All],2,FALSE),NA()))))</f>
        <v>8.8000000000000007</v>
      </c>
      <c r="N11" s="12">
        <f>IF(C11 = 6,E11*VLOOKUP(1,Table3[#All],2,FALSE),IF(C11 =5,E11*VLOOKUP(1,Table4[#All],2,FALSE),IF(C11 =4,E11*VLOOKUP(1,Table5[#All],2,FALSE),IF(C11 =3,E11*VLOOKUP(1,Table6[#All],2,FALSE),IF(C11 =2,E11*VLOOKUP(1,Table7[#All],2,FALSE),NA())))))</f>
        <v>2.2000000000000002</v>
      </c>
      <c r="O11" s="69">
        <v>0.11</v>
      </c>
      <c r="P11" s="66">
        <v>0.03</v>
      </c>
      <c r="Q11" s="9">
        <v>-9</v>
      </c>
      <c r="R11" s="13" t="b">
        <v>1</v>
      </c>
      <c r="S11" s="13" t="b">
        <v>0</v>
      </c>
      <c r="T11" s="147">
        <f>VLOOKUP(Table120[[#This Row],[Armor Level]],Table1217[#All],6,FALSE)</f>
        <v>0.43421052631578949</v>
      </c>
    </row>
    <row r="12" spans="1:20" x14ac:dyDescent="0.25">
      <c r="A12" s="22" t="s">
        <v>213</v>
      </c>
      <c r="B12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53.4</v>
      </c>
      <c r="C12" s="10">
        <v>4</v>
      </c>
      <c r="D12" s="9" t="s">
        <v>4</v>
      </c>
      <c r="E12" s="12">
        <v>35</v>
      </c>
      <c r="F12" s="10">
        <f>ROUNDDOWN(E12/VLOOKUP(D12,Table2[#All],2,FALSE),0)</f>
        <v>70</v>
      </c>
      <c r="G12" s="10">
        <f>ROUNDDOWN(E12/VLOOKUP(D12,Table2[#All],3,FALSE),0)</f>
        <v>87</v>
      </c>
      <c r="H12" s="10" t="str">
        <f>VLOOKUP(D12,Table2[#All],4,FALSE)</f>
        <v>Average</v>
      </c>
      <c r="I12" s="9">
        <v>9</v>
      </c>
      <c r="J12" s="14" t="e">
        <f>IF(C12&gt;5,E12*VLOOKUP(5,Table3[#All],2,FALSE),NA())</f>
        <v>#N/A</v>
      </c>
      <c r="K12" s="14" t="e">
        <f>IF(C12 = 6,E12*VLOOKUP(4,Table3[#All],2,FALSE),IF(C12 =5,E12*VLOOKUP(4,Table4[#All],2,FALSE),NA()))</f>
        <v>#N/A</v>
      </c>
      <c r="L12" s="10">
        <f>IF(C12 = 6,E12*VLOOKUP(3,Table3[#All],2,FALSE),IF(C12 =5,E12*VLOOKUP(3,Table4[#All],2,FALSE),IF(C12 =4,E12*VLOOKUP(3,Table5[#All],2,FALSE),NA())))</f>
        <v>11.200000000000001</v>
      </c>
      <c r="M12" s="11">
        <f>IF(C12 = 6,E12*VLOOKUP(2,Table3[#All],2,FALSE),IF(C12 =5,E12*VLOOKUP(2,Table4[#All],2,FALSE),IF(C12 =4,E12*VLOOKUP(2,Table5[#All],2,FALSE),IF(C12 =3,E12*VLOOKUP(2,Table6[#All],2,FALSE),NA()))))</f>
        <v>5.6000000000000005</v>
      </c>
      <c r="N12" s="12">
        <f>IF(C12 = 6,E12*VLOOKUP(1,Table3[#All],2,FALSE),IF(C12 =5,E12*VLOOKUP(1,Table4[#All],2,FALSE),IF(C12 =4,E12*VLOOKUP(1,Table5[#All],2,FALSE),IF(C12 =3,E12*VLOOKUP(1,Table6[#All],2,FALSE),IF(C12 =2,E12*VLOOKUP(1,Table7[#All],2,FALSE),NA())))))</f>
        <v>1.4000000000000001</v>
      </c>
      <c r="O12" s="66">
        <v>0.04</v>
      </c>
      <c r="P12" s="66">
        <v>0.04</v>
      </c>
      <c r="Q12" s="8">
        <v>-3</v>
      </c>
      <c r="R12" s="13" t="b">
        <v>1</v>
      </c>
      <c r="S12" s="13" t="b">
        <v>0</v>
      </c>
      <c r="T12" s="147">
        <f>VLOOKUP(Table120[[#This Row],[Armor Level]],Table1217[#All],6,FALSE)</f>
        <v>0.43421052631578949</v>
      </c>
    </row>
    <row r="13" spans="1:20" x14ac:dyDescent="0.25">
      <c r="A13" s="22" t="s">
        <v>214</v>
      </c>
      <c r="B13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47.4</v>
      </c>
      <c r="C13" s="10">
        <v>4</v>
      </c>
      <c r="D13" s="11" t="s">
        <v>6</v>
      </c>
      <c r="E13" s="11">
        <v>47</v>
      </c>
      <c r="F13" s="12">
        <f>ROUNDDOWN(E13/VLOOKUP(D13,Table2[#All],2,FALSE),0)</f>
        <v>58</v>
      </c>
      <c r="G13" s="11">
        <f>ROUNDDOWN(E13/VLOOKUP(D13,Table2[#All],3,FALSE),0)</f>
        <v>67</v>
      </c>
      <c r="H13" s="11" t="str">
        <f>VLOOKUP(D13,Table2[#All],4,FALSE)</f>
        <v>Bad</v>
      </c>
      <c r="I13" s="10">
        <v>10.5</v>
      </c>
      <c r="J13" s="14" t="e">
        <f>IF(C13&gt;5,E13*VLOOKUP(5,Table3[#All],2,FALSE),NA())</f>
        <v>#N/A</v>
      </c>
      <c r="K13" s="14" t="e">
        <f>IF(C13 = 6,E13*VLOOKUP(4,Table3[#All],2,FALSE),IF(C13 =5,E13*VLOOKUP(4,Table4[#All],2,FALSE),NA()))</f>
        <v>#N/A</v>
      </c>
      <c r="L13" s="10">
        <f>IF(C13 = 6,E13*VLOOKUP(3,Table3[#All],2,FALSE),IF(C13 =5,E13*VLOOKUP(3,Table4[#All],2,FALSE),IF(C13 =4,E13*VLOOKUP(3,Table5[#All],2,FALSE),NA())))</f>
        <v>15.040000000000001</v>
      </c>
      <c r="M13" s="11">
        <f>IF(C13 = 6,E13*VLOOKUP(2,Table3[#All],2,FALSE),IF(C13 =5,E13*VLOOKUP(2,Table4[#All],2,FALSE),IF(C13 =4,E13*VLOOKUP(2,Table5[#All],2,FALSE),IF(C13 =3,E13*VLOOKUP(2,Table6[#All],2,FALSE),NA()))))</f>
        <v>7.5200000000000005</v>
      </c>
      <c r="N13" s="12">
        <f>IF(C13 = 6,E13*VLOOKUP(1,Table3[#All],2,FALSE),IF(C13 =5,E13*VLOOKUP(1,Table4[#All],2,FALSE),IF(C13 =4,E13*VLOOKUP(1,Table5[#All],2,FALSE),IF(C13 =3,E13*VLOOKUP(1,Table6[#All],2,FALSE),IF(C13 =2,E13*VLOOKUP(1,Table7[#All],2,FALSE),NA())))))</f>
        <v>1.8800000000000001</v>
      </c>
      <c r="O13" s="69">
        <v>0.12</v>
      </c>
      <c r="P13" s="66">
        <v>0.03</v>
      </c>
      <c r="Q13" s="9">
        <v>-5</v>
      </c>
      <c r="R13" s="13" t="b">
        <v>1</v>
      </c>
      <c r="S13" s="13" t="b">
        <v>0</v>
      </c>
      <c r="T13" s="147">
        <f>VLOOKUP(Table120[[#This Row],[Armor Level]],Table1217[#All],6,FALSE)</f>
        <v>0.43421052631578949</v>
      </c>
    </row>
    <row r="14" spans="1:20" x14ac:dyDescent="0.25">
      <c r="A14" s="20" t="s">
        <v>206</v>
      </c>
      <c r="B14" s="8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114.6</v>
      </c>
      <c r="C14" s="9">
        <v>5</v>
      </c>
      <c r="D14" s="9" t="s">
        <v>34</v>
      </c>
      <c r="E14" s="9">
        <v>60</v>
      </c>
      <c r="F14" s="9">
        <f>ROUNDDOWN(E14/VLOOKUP(D14,Table2[#All],2,FALSE),0)</f>
        <v>133</v>
      </c>
      <c r="G14" s="8">
        <f>ROUNDDOWN(E14/VLOOKUP(D14,Table2[#All],3,FALSE),0)</f>
        <v>150</v>
      </c>
      <c r="H14" s="8" t="str">
        <f>VLOOKUP(D14,Table2[#All],4,FALSE)</f>
        <v>Very Good</v>
      </c>
      <c r="I14" s="8">
        <v>7.5</v>
      </c>
      <c r="J14" s="14" t="e">
        <f>IF(C14&gt;5,E14*VLOOKUP(5,Table3[#All],2,FALSE),NA())</f>
        <v>#N/A</v>
      </c>
      <c r="K14" s="9">
        <f>IF(C14 = 6,E14*VLOOKUP(4,Table3[#All],2,FALSE),IF(C14 =5,E14*VLOOKUP(4,Table4[#All],2,FALSE),NA()))</f>
        <v>24</v>
      </c>
      <c r="L14" s="10">
        <f>IF(C14 = 6,E14*VLOOKUP(3,Table3[#All],2,FALSE),IF(C14 =5,E14*VLOOKUP(3,Table4[#All],2,FALSE),IF(C14 =4,E14*VLOOKUP(3,Table5[#All],2,FALSE),NA())))</f>
        <v>12</v>
      </c>
      <c r="M14" s="11">
        <f>IF(C14 = 6,E14*VLOOKUP(2,Table3[#All],2,FALSE),IF(C14 =5,E14*VLOOKUP(2,Table4[#All],2,FALSE),IF(C14 =4,E14*VLOOKUP(2,Table5[#All],2,FALSE),IF(C14 =3,E14*VLOOKUP(2,Table6[#All],2,FALSE),NA()))))</f>
        <v>6</v>
      </c>
      <c r="N14" s="12">
        <f>IF(C14 = 6,E14*VLOOKUP(1,Table3[#All],2,FALSE),IF(C14 =5,E14*VLOOKUP(1,Table4[#All],2,FALSE),IF(C14 =4,E14*VLOOKUP(1,Table5[#All],2,FALSE),IF(C14 =3,E14*VLOOKUP(1,Table6[#All],2,FALSE),IF(C14 =2,E14*VLOOKUP(1,Table7[#All],2,FALSE),NA())))))</f>
        <v>1.2</v>
      </c>
      <c r="O14" s="65">
        <v>0.09</v>
      </c>
      <c r="P14" s="66">
        <v>0.03</v>
      </c>
      <c r="Q14" s="9">
        <v>-5</v>
      </c>
      <c r="R14" s="13" t="b">
        <v>1</v>
      </c>
      <c r="S14" s="13" t="b">
        <v>0</v>
      </c>
      <c r="T14" s="146">
        <f>VLOOKUP(Table120[[#This Row],[Armor Level]],Table1217[#All],6,FALSE)</f>
        <v>0.21052631578947367</v>
      </c>
    </row>
    <row r="15" spans="1:20" x14ac:dyDescent="0.25">
      <c r="A15" s="20" t="s">
        <v>208</v>
      </c>
      <c r="B15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83.2</v>
      </c>
      <c r="C15" s="9">
        <v>5</v>
      </c>
      <c r="D15" s="11" t="s">
        <v>6</v>
      </c>
      <c r="E15" s="9">
        <v>65</v>
      </c>
      <c r="F15" s="10">
        <f>ROUNDDOWN(E15/VLOOKUP(D15,Table2[#All],2,FALSE),0)</f>
        <v>81</v>
      </c>
      <c r="G15" s="10">
        <f>ROUNDDOWN(E15/VLOOKUP(D15,Table2[#All],3,FALSE),0)</f>
        <v>92</v>
      </c>
      <c r="H15" s="11" t="str">
        <f>VLOOKUP(D15,Table2[#All],4,FALSE)</f>
        <v>Bad</v>
      </c>
      <c r="I15" s="9">
        <v>8.9</v>
      </c>
      <c r="J15" s="14" t="e">
        <f>IF(C15&gt;5,E15*VLOOKUP(5,Table3[#All],2,FALSE),NA())</f>
        <v>#N/A</v>
      </c>
      <c r="K15" s="9">
        <f>IF(C15 = 6,E15*VLOOKUP(4,Table3[#All],2,FALSE),IF(C15 =5,E15*VLOOKUP(4,Table4[#All],2,FALSE),NA()))</f>
        <v>26</v>
      </c>
      <c r="L15" s="10">
        <f>IF(C15 = 6,E15*VLOOKUP(3,Table3[#All],2,FALSE),IF(C15 =5,E15*VLOOKUP(3,Table4[#All],2,FALSE),IF(C15 =4,E15*VLOOKUP(3,Table5[#All],2,FALSE),NA())))</f>
        <v>13</v>
      </c>
      <c r="M15" s="11">
        <f>IF(C15 = 6,E15*VLOOKUP(2,Table3[#All],2,FALSE),IF(C15 =5,E15*VLOOKUP(2,Table4[#All],2,FALSE),IF(C15 =4,E15*VLOOKUP(2,Table5[#All],2,FALSE),IF(C15 =3,E15*VLOOKUP(2,Table6[#All],2,FALSE),NA()))))</f>
        <v>6.5</v>
      </c>
      <c r="N15" s="12">
        <f>IF(C15 = 6,E15*VLOOKUP(1,Table3[#All],2,FALSE),IF(C15 =5,E15*VLOOKUP(1,Table4[#All],2,FALSE),IF(C15 =4,E15*VLOOKUP(1,Table5[#All],2,FALSE),IF(C15 =3,E15*VLOOKUP(1,Table6[#All],2,FALSE),IF(C15 =2,E15*VLOOKUP(1,Table7[#All],2,FALSE),NA())))))</f>
        <v>1.3</v>
      </c>
      <c r="O15" s="69">
        <v>0.1</v>
      </c>
      <c r="P15" s="67">
        <v>0.3</v>
      </c>
      <c r="Q15" s="8">
        <v>-4</v>
      </c>
      <c r="R15" s="13" t="b">
        <v>1</v>
      </c>
      <c r="S15" s="13" t="b">
        <v>0</v>
      </c>
      <c r="T15" s="97">
        <f>VLOOKUP(Table120[[#This Row],[Armor Level]],Table1217[#All],6,FALSE)</f>
        <v>0.21052631578947367</v>
      </c>
    </row>
    <row r="16" spans="1:20" x14ac:dyDescent="0.25">
      <c r="A16" s="20" t="s">
        <v>207</v>
      </c>
      <c r="B16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82.8</v>
      </c>
      <c r="C16" s="9">
        <v>5</v>
      </c>
      <c r="D16" s="9" t="s">
        <v>5</v>
      </c>
      <c r="E16" s="9">
        <v>65</v>
      </c>
      <c r="F16" s="9">
        <f>ROUNDDOWN(E16/VLOOKUP(D16,Table2[#All],2,FALSE),0)</f>
        <v>118</v>
      </c>
      <c r="G16" s="9">
        <f>ROUNDDOWN(E16/VLOOKUP(D16,Table2[#All],3,FALSE),0)</f>
        <v>130</v>
      </c>
      <c r="H16" s="9" t="str">
        <f>VLOOKUP(D16,Table2[#All],4,FALSE)</f>
        <v>Good</v>
      </c>
      <c r="I16" s="11">
        <v>13</v>
      </c>
      <c r="J16" s="14" t="e">
        <f>IF(C16&gt;5,E16*VLOOKUP(5,Table3[#All],2,FALSE),NA())</f>
        <v>#N/A</v>
      </c>
      <c r="K16" s="9">
        <f>IF(C16 = 6,E16*VLOOKUP(4,Table3[#All],2,FALSE),IF(C16 =5,E16*VLOOKUP(4,Table4[#All],2,FALSE),NA()))</f>
        <v>26</v>
      </c>
      <c r="L16" s="10">
        <f>IF(C16 = 6,E16*VLOOKUP(3,Table3[#All],2,FALSE),IF(C16 =5,E16*VLOOKUP(3,Table4[#All],2,FALSE),IF(C16 =4,E16*VLOOKUP(3,Table5[#All],2,FALSE),NA())))</f>
        <v>13</v>
      </c>
      <c r="M16" s="11">
        <f>IF(C16 = 6,E16*VLOOKUP(2,Table3[#All],2,FALSE),IF(C16 =5,E16*VLOOKUP(2,Table4[#All],2,FALSE),IF(C16 =4,E16*VLOOKUP(2,Table5[#All],2,FALSE),IF(C16 =3,E16*VLOOKUP(2,Table6[#All],2,FALSE),NA()))))</f>
        <v>6.5</v>
      </c>
      <c r="N16" s="12">
        <f>IF(C16 = 6,E16*VLOOKUP(1,Table3[#All],2,FALSE),IF(C16 =5,E16*VLOOKUP(1,Table4[#All],2,FALSE),IF(C16 =4,E16*VLOOKUP(1,Table5[#All],2,FALSE),IF(C16 =3,E16*VLOOKUP(1,Table6[#All],2,FALSE),IF(C16 =2,E16*VLOOKUP(1,Table7[#All],2,FALSE),NA())))))</f>
        <v>1.3</v>
      </c>
      <c r="O16" s="69">
        <v>0.11</v>
      </c>
      <c r="P16" s="67">
        <v>0.17</v>
      </c>
      <c r="Q16" s="10">
        <v>-12</v>
      </c>
      <c r="R16" s="13" t="b">
        <v>1</v>
      </c>
      <c r="S16" s="13" t="b">
        <v>0</v>
      </c>
      <c r="T16" s="97">
        <f>VLOOKUP(Table120[[#This Row],[Armor Level]],Table1217[#All],6,FALSE)</f>
        <v>0.21052631578947367</v>
      </c>
    </row>
    <row r="17" spans="1:20" x14ac:dyDescent="0.25">
      <c r="A17" s="20" t="s">
        <v>209</v>
      </c>
      <c r="B17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82.1</v>
      </c>
      <c r="C17" s="9">
        <v>5</v>
      </c>
      <c r="D17" s="10" t="s">
        <v>8</v>
      </c>
      <c r="E17" s="9">
        <v>70</v>
      </c>
      <c r="F17" s="9">
        <f>ROUNDDOWN(E17/VLOOKUP(D17,Table2[#All],2,FALSE),0)</f>
        <v>100</v>
      </c>
      <c r="G17" s="9">
        <f>ROUNDDOWN(E17/VLOOKUP(D17,Table2[#All],3,FALSE),0)</f>
        <v>116</v>
      </c>
      <c r="H17" s="8" t="str">
        <f>VLOOKUP(D17,Table2[#All],4,FALSE)</f>
        <v>Very Good</v>
      </c>
      <c r="I17" s="10">
        <v>11.5</v>
      </c>
      <c r="J17" s="14" t="e">
        <f>IF(C17&gt;5,E17*VLOOKUP(5,Table3[#All],2,FALSE),NA())</f>
        <v>#N/A</v>
      </c>
      <c r="K17" s="9">
        <f>IF(C17 = 6,E17*VLOOKUP(4,Table3[#All],2,FALSE),IF(C17 =5,E17*VLOOKUP(4,Table4[#All],2,FALSE),NA()))</f>
        <v>28</v>
      </c>
      <c r="L17" s="10">
        <f>IF(C17 = 6,E17*VLOOKUP(3,Table3[#All],2,FALSE),IF(C17 =5,E17*VLOOKUP(3,Table4[#All],2,FALSE),IF(C17 =4,E17*VLOOKUP(3,Table5[#All],2,FALSE),NA())))</f>
        <v>14</v>
      </c>
      <c r="M17" s="11">
        <f>IF(C17 = 6,E17*VLOOKUP(2,Table3[#All],2,FALSE),IF(C17 =5,E17*VLOOKUP(2,Table4[#All],2,FALSE),IF(C17 =4,E17*VLOOKUP(2,Table5[#All],2,FALSE),IF(C17 =3,E17*VLOOKUP(2,Table6[#All],2,FALSE),NA()))))</f>
        <v>7</v>
      </c>
      <c r="N17" s="12">
        <f>IF(C17 = 6,E17*VLOOKUP(1,Table3[#All],2,FALSE),IF(C17 =5,E17*VLOOKUP(1,Table4[#All],2,FALSE),IF(C17 =4,E17*VLOOKUP(1,Table5[#All],2,FALSE),IF(C17 =3,E17*VLOOKUP(1,Table6[#All],2,FALSE),IF(C17 =2,E17*VLOOKUP(1,Table7[#All],2,FALSE),NA())))))</f>
        <v>1.4000000000000001</v>
      </c>
      <c r="O17" s="65">
        <v>0.09</v>
      </c>
      <c r="P17" s="69">
        <v>0.12</v>
      </c>
      <c r="Q17" s="9">
        <v>-7</v>
      </c>
      <c r="R17" s="13" t="b">
        <v>1</v>
      </c>
      <c r="S17" s="13" t="b">
        <v>0</v>
      </c>
      <c r="T17" s="97">
        <f>VLOOKUP(Table120[[#This Row],[Armor Level]],Table1217[#All],6,FALSE)</f>
        <v>0.21052631578947367</v>
      </c>
    </row>
    <row r="18" spans="1:20" x14ac:dyDescent="0.25">
      <c r="A18" s="20" t="s">
        <v>205</v>
      </c>
      <c r="B18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81.400000000000006</v>
      </c>
      <c r="C18" s="9">
        <v>5</v>
      </c>
      <c r="D18" s="9" t="s">
        <v>4</v>
      </c>
      <c r="E18" s="9">
        <v>60</v>
      </c>
      <c r="F18" s="9">
        <f>ROUNDDOWN(E18/VLOOKUP(D18,Table2[#All],2,FALSE),0)</f>
        <v>120</v>
      </c>
      <c r="G18" s="8">
        <f>ROUNDDOWN(E18/VLOOKUP(D18,Table2[#All],3,FALSE),0)</f>
        <v>150</v>
      </c>
      <c r="H18" s="10" t="str">
        <f>VLOOKUP(D18,Table2[#All],4,FALSE)</f>
        <v>Average</v>
      </c>
      <c r="I18" s="11">
        <v>13.5</v>
      </c>
      <c r="J18" s="14" t="e">
        <f>IF(C18&gt;5,E18*VLOOKUP(5,Table3[#All],2,FALSE),NA())</f>
        <v>#N/A</v>
      </c>
      <c r="K18" s="9">
        <f>IF(C18 = 6,E18*VLOOKUP(4,Table3[#All],2,FALSE),IF(C18 =5,E18*VLOOKUP(4,Table4[#All],2,FALSE),NA()))</f>
        <v>24</v>
      </c>
      <c r="L18" s="10">
        <f>IF(C18 = 6,E18*VLOOKUP(3,Table3[#All],2,FALSE),IF(C18 =5,E18*VLOOKUP(3,Table4[#All],2,FALSE),IF(C18 =4,E18*VLOOKUP(3,Table5[#All],2,FALSE),NA())))</f>
        <v>12</v>
      </c>
      <c r="M18" s="11">
        <f>IF(C18 = 6,E18*VLOOKUP(2,Table3[#All],2,FALSE),IF(C18 =5,E18*VLOOKUP(2,Table4[#All],2,FALSE),IF(C18 =4,E18*VLOOKUP(2,Table5[#All],2,FALSE),IF(C18 =3,E18*VLOOKUP(2,Table6[#All],2,FALSE),NA()))))</f>
        <v>6</v>
      </c>
      <c r="N18" s="12">
        <f>IF(C18 = 6,E18*VLOOKUP(1,Table3[#All],2,FALSE),IF(C18 =5,E18*VLOOKUP(1,Table4[#All],2,FALSE),IF(C18 =4,E18*VLOOKUP(1,Table5[#All],2,FALSE),IF(C18 =3,E18*VLOOKUP(1,Table6[#All],2,FALSE),IF(C18 =2,E18*VLOOKUP(1,Table7[#All],2,FALSE),NA())))))</f>
        <v>1.2</v>
      </c>
      <c r="O18" s="69">
        <v>0.13</v>
      </c>
      <c r="P18" s="69">
        <v>0.12</v>
      </c>
      <c r="Q18" s="10">
        <v>-11</v>
      </c>
      <c r="R18" s="13" t="b">
        <v>1</v>
      </c>
      <c r="S18" s="13" t="b">
        <v>0</v>
      </c>
      <c r="T18" s="97">
        <f>VLOOKUP(Table120[[#This Row],[Armor Level]],Table1217[#All],6,FALSE)</f>
        <v>0.21052631578947367</v>
      </c>
    </row>
    <row r="19" spans="1:20" x14ac:dyDescent="0.25">
      <c r="A19" s="20" t="s">
        <v>204</v>
      </c>
      <c r="B19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71.900000000000006</v>
      </c>
      <c r="C19" s="9">
        <v>5</v>
      </c>
      <c r="D19" s="10" t="s">
        <v>8</v>
      </c>
      <c r="E19" s="11">
        <v>45</v>
      </c>
      <c r="F19" s="11">
        <f>ROUNDDOWN(E19/VLOOKUP(D19,Table2[#All],2,FALSE),0)</f>
        <v>64</v>
      </c>
      <c r="G19" s="10">
        <f>ROUNDDOWN(E19/VLOOKUP(D19,Table2[#All],3,FALSE),0)</f>
        <v>75</v>
      </c>
      <c r="H19" s="8" t="str">
        <f>VLOOKUP(D19,Table2[#All],4,FALSE)</f>
        <v>Very Good</v>
      </c>
      <c r="I19" s="9">
        <v>9.8000000000000007</v>
      </c>
      <c r="J19" s="14" t="e">
        <f>IF(C19&gt;5,E19*VLOOKUP(5,Table3[#All],2,FALSE),NA())</f>
        <v>#N/A</v>
      </c>
      <c r="K19" s="9">
        <f>IF(C19 = 6,E19*VLOOKUP(4,Table3[#All],2,FALSE),IF(C19 =5,E19*VLOOKUP(4,Table4[#All],2,FALSE),NA()))</f>
        <v>18</v>
      </c>
      <c r="L19" s="10">
        <f>IF(C19 = 6,E19*VLOOKUP(3,Table3[#All],2,FALSE),IF(C19 =5,E19*VLOOKUP(3,Table4[#All],2,FALSE),IF(C19 =4,E19*VLOOKUP(3,Table5[#All],2,FALSE),NA())))</f>
        <v>9</v>
      </c>
      <c r="M19" s="11">
        <f>IF(C19 = 6,E19*VLOOKUP(2,Table3[#All],2,FALSE),IF(C19 =5,E19*VLOOKUP(2,Table4[#All],2,FALSE),IF(C19 =4,E19*VLOOKUP(2,Table5[#All],2,FALSE),IF(C19 =3,E19*VLOOKUP(2,Table6[#All],2,FALSE),NA()))))</f>
        <v>4.5</v>
      </c>
      <c r="N19" s="12">
        <f>IF(C19 = 6,E19*VLOOKUP(1,Table3[#All],2,FALSE),IF(C19 =5,E19*VLOOKUP(1,Table4[#All],2,FALSE),IF(C19 =4,E19*VLOOKUP(1,Table5[#All],2,FALSE),IF(C19 =3,E19*VLOOKUP(1,Table6[#All],2,FALSE),IF(C19 =2,E19*VLOOKUP(1,Table7[#All],2,FALSE),NA())))))</f>
        <v>0.9</v>
      </c>
      <c r="O19" s="68">
        <v>0.18</v>
      </c>
      <c r="P19" s="65">
        <v>0.09</v>
      </c>
      <c r="Q19" s="10">
        <v>-10</v>
      </c>
      <c r="R19" s="13" t="b">
        <v>1</v>
      </c>
      <c r="S19" s="13" t="b">
        <v>0</v>
      </c>
      <c r="T19" s="97">
        <f>VLOOKUP(Table120[[#This Row],[Armor Level]],Table1217[#All],6,FALSE)</f>
        <v>0.21052631578947367</v>
      </c>
    </row>
    <row r="20" spans="1:20" x14ac:dyDescent="0.25">
      <c r="A20" s="20" t="s">
        <v>212</v>
      </c>
      <c r="B20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69.400000000000006</v>
      </c>
      <c r="C20" s="9">
        <v>5</v>
      </c>
      <c r="D20" s="9" t="s">
        <v>4</v>
      </c>
      <c r="E20" s="8">
        <v>100</v>
      </c>
      <c r="F20" s="8">
        <f>ROUNDDOWN(E20/VLOOKUP(D20,Table2[#All],2,FALSE),0)</f>
        <v>200</v>
      </c>
      <c r="G20" s="8">
        <f>ROUNDDOWN(E20/VLOOKUP(D20,Table2[#All],3,FALSE),0)</f>
        <v>250</v>
      </c>
      <c r="H20" s="10" t="str">
        <f>VLOOKUP(D20,Table2[#All],4,FALSE)</f>
        <v>Average</v>
      </c>
      <c r="I20" s="12">
        <v>16.5</v>
      </c>
      <c r="J20" s="14" t="e">
        <f>IF(C20&gt;5,E20*VLOOKUP(5,Table3[#All],2,FALSE),NA())</f>
        <v>#N/A</v>
      </c>
      <c r="K20" s="9">
        <f>IF(C20 = 6,E20*VLOOKUP(4,Table3[#All],2,FALSE),IF(C20 =5,E20*VLOOKUP(4,Table4[#All],2,FALSE),NA()))</f>
        <v>40</v>
      </c>
      <c r="L20" s="10">
        <f>IF(C20 = 6,E20*VLOOKUP(3,Table3[#All],2,FALSE),IF(C20 =5,E20*VLOOKUP(3,Table4[#All],2,FALSE),IF(C20 =4,E20*VLOOKUP(3,Table5[#All],2,FALSE),NA())))</f>
        <v>20</v>
      </c>
      <c r="M20" s="11">
        <f>IF(C20 = 6,E20*VLOOKUP(2,Table3[#All],2,FALSE),IF(C20 =5,E20*VLOOKUP(2,Table4[#All],2,FALSE),IF(C20 =4,E20*VLOOKUP(2,Table5[#All],2,FALSE),IF(C20 =3,E20*VLOOKUP(2,Table6[#All],2,FALSE),NA()))))</f>
        <v>10</v>
      </c>
      <c r="N20" s="12">
        <f>IF(C20 = 6,E20*VLOOKUP(1,Table3[#All],2,FALSE),IF(C20 =5,E20*VLOOKUP(1,Table4[#All],2,FALSE),IF(C20 =4,E20*VLOOKUP(1,Table5[#All],2,FALSE),IF(C20 =3,E20*VLOOKUP(1,Table6[#All],2,FALSE),IF(C20 =2,E20*VLOOKUP(1,Table7[#All],2,FALSE),NA())))))</f>
        <v>2</v>
      </c>
      <c r="O20" s="67">
        <v>0.37</v>
      </c>
      <c r="P20" s="68">
        <v>0.15</v>
      </c>
      <c r="Q20" s="10">
        <v>-14</v>
      </c>
      <c r="R20" s="13" t="b">
        <v>1</v>
      </c>
      <c r="S20" s="13" t="b">
        <v>1</v>
      </c>
      <c r="T20" s="97">
        <f>VLOOKUP(Table120[[#This Row],[Armor Level]],Table1217[#All],6,FALSE)</f>
        <v>0.21052631578947367</v>
      </c>
    </row>
    <row r="21" spans="1:20" x14ac:dyDescent="0.25">
      <c r="A21" s="20" t="s">
        <v>210</v>
      </c>
      <c r="B21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68.7</v>
      </c>
      <c r="C21" s="9">
        <v>5</v>
      </c>
      <c r="D21" s="9" t="s">
        <v>5</v>
      </c>
      <c r="E21" s="9">
        <v>75</v>
      </c>
      <c r="F21" s="9">
        <f>ROUNDDOWN(E21/VLOOKUP(D21,Table2[#All],2,FALSE),0)</f>
        <v>136</v>
      </c>
      <c r="G21" s="8">
        <f>ROUNDDOWN(E21/VLOOKUP(D21,Table2[#All],3,FALSE),0)</f>
        <v>150</v>
      </c>
      <c r="H21" s="9" t="str">
        <f>VLOOKUP(D21,Table2[#All],4,FALSE)</f>
        <v>Good</v>
      </c>
      <c r="I21" s="11">
        <v>15</v>
      </c>
      <c r="J21" s="14" t="e">
        <f>IF(C21&gt;5,E21*VLOOKUP(5,Table3[#All],2,FALSE),NA())</f>
        <v>#N/A</v>
      </c>
      <c r="K21" s="9">
        <f>IF(C21 = 6,E21*VLOOKUP(4,Table3[#All],2,FALSE),IF(C21 =5,E21*VLOOKUP(4,Table4[#All],2,FALSE),NA()))</f>
        <v>30</v>
      </c>
      <c r="L21" s="10">
        <f>IF(C21 = 6,E21*VLOOKUP(3,Table3[#All],2,FALSE),IF(C21 =5,E21*VLOOKUP(3,Table4[#All],2,FALSE),IF(C21 =4,E21*VLOOKUP(3,Table5[#All],2,FALSE),NA())))</f>
        <v>15</v>
      </c>
      <c r="M21" s="11">
        <f>IF(C21 = 6,E21*VLOOKUP(2,Table3[#All],2,FALSE),IF(C21 =5,E21*VLOOKUP(2,Table4[#All],2,FALSE),IF(C21 =4,E21*VLOOKUP(2,Table5[#All],2,FALSE),IF(C21 =3,E21*VLOOKUP(2,Table6[#All],2,FALSE),NA()))))</f>
        <v>7.5</v>
      </c>
      <c r="N21" s="12">
        <f>IF(C21 = 6,E21*VLOOKUP(1,Table3[#All],2,FALSE),IF(C21 =5,E21*VLOOKUP(1,Table4[#All],2,FALSE),IF(C21 =4,E21*VLOOKUP(1,Table5[#All],2,FALSE),IF(C21 =3,E21*VLOOKUP(1,Table6[#All],2,FALSE),IF(C21 =2,E21*VLOOKUP(1,Table7[#All],2,FALSE),NA())))))</f>
        <v>1.5</v>
      </c>
      <c r="O21" s="67">
        <v>0.2</v>
      </c>
      <c r="P21" s="69">
        <v>0.14000000000000001</v>
      </c>
      <c r="Q21" s="10">
        <v>-14</v>
      </c>
      <c r="R21" s="13" t="b">
        <v>1</v>
      </c>
      <c r="S21" s="13" t="b">
        <v>1</v>
      </c>
      <c r="T21" s="97">
        <f>VLOOKUP(Table120[[#This Row],[Armor Level]],Table1217[#All],6,FALSE)</f>
        <v>0.21052631578947367</v>
      </c>
    </row>
    <row r="22" spans="1:20" x14ac:dyDescent="0.25">
      <c r="A22" s="20" t="s">
        <v>211</v>
      </c>
      <c r="B22" s="10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67.3</v>
      </c>
      <c r="C22" s="9">
        <v>5</v>
      </c>
      <c r="D22" s="9" t="s">
        <v>5</v>
      </c>
      <c r="E22" s="8">
        <v>95</v>
      </c>
      <c r="F22" s="8">
        <f>ROUNDDOWN(E22/VLOOKUP(D22,Table2[#All],2,FALSE),0)</f>
        <v>172</v>
      </c>
      <c r="G22" s="8">
        <f>ROUNDDOWN(E22/VLOOKUP(D22,Table2[#All],3,FALSE),0)</f>
        <v>190</v>
      </c>
      <c r="H22" s="9" t="str">
        <f>VLOOKUP(D22,Table2[#All],4,FALSE)</f>
        <v>Good</v>
      </c>
      <c r="I22" s="12">
        <v>17</v>
      </c>
      <c r="J22" s="14" t="e">
        <f>IF(C22&gt;5,E22*VLOOKUP(5,Table3[#All],2,FALSE),NA())</f>
        <v>#N/A</v>
      </c>
      <c r="K22" s="9">
        <f>IF(C22 = 6,E22*VLOOKUP(4,Table3[#All],2,FALSE),IF(C22 =5,E22*VLOOKUP(4,Table4[#All],2,FALSE),NA()))</f>
        <v>38</v>
      </c>
      <c r="L22" s="10">
        <f>IF(C22 = 6,E22*VLOOKUP(3,Table3[#All],2,FALSE),IF(C22 =5,E22*VLOOKUP(3,Table4[#All],2,FALSE),IF(C22 =4,E22*VLOOKUP(3,Table5[#All],2,FALSE),NA())))</f>
        <v>19</v>
      </c>
      <c r="M22" s="11">
        <f>IF(C22 = 6,E22*VLOOKUP(2,Table3[#All],2,FALSE),IF(C22 =5,E22*VLOOKUP(2,Table4[#All],2,FALSE),IF(C22 =4,E22*VLOOKUP(2,Table5[#All],2,FALSE),IF(C22 =3,E22*VLOOKUP(2,Table6[#All],2,FALSE),NA()))))</f>
        <v>9.5</v>
      </c>
      <c r="N22" s="12">
        <f>IF(C22 = 6,E22*VLOOKUP(1,Table3[#All],2,FALSE),IF(C22 =5,E22*VLOOKUP(1,Table4[#All],2,FALSE),IF(C22 =4,E22*VLOOKUP(1,Table5[#All],2,FALSE),IF(C22 =3,E22*VLOOKUP(1,Table6[#All],2,FALSE),IF(C22 =2,E22*VLOOKUP(1,Table7[#All],2,FALSE),NA())))))</f>
        <v>1.9000000000000001</v>
      </c>
      <c r="O22" s="67">
        <v>0.33</v>
      </c>
      <c r="P22" s="67">
        <v>0.19</v>
      </c>
      <c r="Q22" s="12">
        <v>-22</v>
      </c>
      <c r="R22" s="13" t="b">
        <v>1</v>
      </c>
      <c r="S22" s="13" t="b">
        <v>1</v>
      </c>
      <c r="T22" s="97">
        <f>VLOOKUP(Table120[[#This Row],[Armor Level]],Table1217[#All],6,FALSE)</f>
        <v>0.21052631578947367</v>
      </c>
    </row>
    <row r="23" spans="1:20" x14ac:dyDescent="0.25">
      <c r="A23" s="24" t="s">
        <v>199</v>
      </c>
      <c r="B23" s="8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190.4</v>
      </c>
      <c r="C23" s="8">
        <v>6</v>
      </c>
      <c r="D23" s="9" t="s">
        <v>34</v>
      </c>
      <c r="E23" s="10">
        <v>50</v>
      </c>
      <c r="F23" s="9">
        <f>ROUNDDOWN(E23/VLOOKUP(D23,Table2[#All],2,FALSE),0)</f>
        <v>111</v>
      </c>
      <c r="G23" s="9">
        <f>ROUNDDOWN(E23/VLOOKUP(D23,Table2[#All],3,FALSE),0)</f>
        <v>125</v>
      </c>
      <c r="H23" s="8" t="str">
        <f>VLOOKUP(D23,Table2[#All],4,FALSE)</f>
        <v>Very Good</v>
      </c>
      <c r="I23" s="8">
        <v>6.2</v>
      </c>
      <c r="J23" s="8">
        <f>IF(C23&gt;5,E23*VLOOKUP(5,Table3[#All],2,FALSE),NA())</f>
        <v>22.5</v>
      </c>
      <c r="K23" s="9">
        <f>IF(C23 = 6,E23*VLOOKUP(4,Table3[#All],2,FALSE),IF(C23 =5,E23*VLOOKUP(4,Table4[#All],2,FALSE),NA()))</f>
        <v>11.25</v>
      </c>
      <c r="L23" s="10">
        <f>IF(C23 = 6,E23*VLOOKUP(3,Table3[#All],2,FALSE),IF(C23 =5,E23*VLOOKUP(3,Table4[#All],2,FALSE),IF(C23 =4,E23*VLOOKUP(3,Table5[#All],2,FALSE),NA())))</f>
        <v>6.25</v>
      </c>
      <c r="M23" s="11">
        <f>IF(C23 = 6,E23*VLOOKUP(2,Table3[#All],2,FALSE),IF(C23 =5,E23*VLOOKUP(2,Table4[#All],2,FALSE),IF(C23 =4,E23*VLOOKUP(2,Table5[#All],2,FALSE),IF(C23 =3,E23*VLOOKUP(2,Table6[#All],2,FALSE),NA()))))</f>
        <v>3.125</v>
      </c>
      <c r="N23" s="12">
        <f>IF(C23 = 6,E23*VLOOKUP(1,Table3[#All],2,FALSE),IF(C23 =5,E23*VLOOKUP(1,Table4[#All],2,FALSE),IF(C23 =4,E23*VLOOKUP(1,Table5[#All],2,FALSE),IF(C23 =3,E23*VLOOKUP(1,Table6[#All],2,FALSE),IF(C23 =2,E23*VLOOKUP(1,Table7[#All],2,FALSE),NA())))))</f>
        <v>0.625</v>
      </c>
      <c r="O23" s="65">
        <v>0.08</v>
      </c>
      <c r="P23" s="66">
        <v>0.02</v>
      </c>
      <c r="Q23" s="8">
        <v>-1</v>
      </c>
      <c r="R23" s="13" t="b">
        <v>0</v>
      </c>
      <c r="S23" s="13" t="b">
        <v>0</v>
      </c>
      <c r="T23" s="145">
        <f>VLOOKUP(Table120[[#This Row],[Armor Level]],Table1217[#All],6,FALSE)</f>
        <v>0.10526315789473684</v>
      </c>
    </row>
    <row r="24" spans="1:20" x14ac:dyDescent="0.25">
      <c r="A24" s="24" t="s">
        <v>201</v>
      </c>
      <c r="B24" s="8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153.80000000000001</v>
      </c>
      <c r="C24" s="8">
        <v>6</v>
      </c>
      <c r="D24" s="10" t="s">
        <v>8</v>
      </c>
      <c r="E24" s="8">
        <v>80</v>
      </c>
      <c r="F24" s="9">
        <f>ROUNDDOWN(E24/VLOOKUP(D24,Table2[#All],2,FALSE),0)</f>
        <v>114</v>
      </c>
      <c r="G24" s="9">
        <f>ROUNDDOWN(E24/VLOOKUP(D24,Table2[#All],3,FALSE),0)</f>
        <v>133</v>
      </c>
      <c r="H24" s="8" t="str">
        <f>VLOOKUP(D24,Table2[#All],4,FALSE)</f>
        <v>Very Good</v>
      </c>
      <c r="I24" s="9">
        <v>8.6</v>
      </c>
      <c r="J24" s="8">
        <f>IF(C24&gt;5,E24*VLOOKUP(5,Table3[#All],2,FALSE),NA())</f>
        <v>36</v>
      </c>
      <c r="K24" s="9">
        <f>IF(C24 = 6,E24*VLOOKUP(4,Table3[#All],2,FALSE),IF(C24 =5,E24*VLOOKUP(4,Table4[#All],2,FALSE),NA()))</f>
        <v>18</v>
      </c>
      <c r="L24" s="10">
        <f>IF(C24 = 6,E24*VLOOKUP(3,Table3[#All],2,FALSE),IF(C24 =5,E24*VLOOKUP(3,Table4[#All],2,FALSE),IF(C24 =4,E24*VLOOKUP(3,Table5[#All],2,FALSE),NA())))</f>
        <v>10</v>
      </c>
      <c r="M24" s="11">
        <f>IF(C24 = 6,E24*VLOOKUP(2,Table3[#All],2,FALSE),IF(C24 =5,E24*VLOOKUP(2,Table4[#All],2,FALSE),IF(C24 =4,E24*VLOOKUP(2,Table5[#All],2,FALSE),IF(C24 =3,E24*VLOOKUP(2,Table6[#All],2,FALSE),NA()))))</f>
        <v>5</v>
      </c>
      <c r="N24" s="12">
        <f>IF(C24 = 6,E24*VLOOKUP(1,Table3[#All],2,FALSE),IF(C24 =5,E24*VLOOKUP(1,Table4[#All],2,FALSE),IF(C24 =4,E24*VLOOKUP(1,Table5[#All],2,FALSE),IF(C24 =3,E24*VLOOKUP(1,Table6[#All],2,FALSE),IF(C24 =2,E24*VLOOKUP(1,Table7[#All],2,FALSE),NA())))))</f>
        <v>1</v>
      </c>
      <c r="O24" s="69">
        <v>0.1</v>
      </c>
      <c r="P24" s="66">
        <v>0.02</v>
      </c>
      <c r="Q24" s="8">
        <v>-1</v>
      </c>
      <c r="R24" s="13" t="b">
        <v>0</v>
      </c>
      <c r="S24" s="13" t="b">
        <v>0</v>
      </c>
      <c r="T24" s="145">
        <f>VLOOKUP(Table120[[#This Row],[Armor Level]],Table1217[#All],6,FALSE)</f>
        <v>0.10526315789473684</v>
      </c>
    </row>
    <row r="25" spans="1:20" x14ac:dyDescent="0.25">
      <c r="A25" s="24" t="s">
        <v>202</v>
      </c>
      <c r="B25" s="8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105.9</v>
      </c>
      <c r="C25" s="8">
        <v>6</v>
      </c>
      <c r="D25" s="11" t="s">
        <v>6</v>
      </c>
      <c r="E25" s="9">
        <v>75</v>
      </c>
      <c r="F25" s="10">
        <f>ROUNDDOWN(E25/VLOOKUP(D25,Table2[#All],2,FALSE),0)</f>
        <v>93</v>
      </c>
      <c r="G25" s="9">
        <f>ROUNDDOWN(E25/VLOOKUP(D25,Table2[#All],3,FALSE),0)</f>
        <v>107</v>
      </c>
      <c r="H25" s="11" t="str">
        <f>VLOOKUP(D25,Table2[#All],4,FALSE)</f>
        <v>Bad</v>
      </c>
      <c r="I25" s="9">
        <v>9</v>
      </c>
      <c r="J25" s="8">
        <f>IF(C25&gt;5,E25*VLOOKUP(5,Table3[#All],2,FALSE),NA())</f>
        <v>33.75</v>
      </c>
      <c r="K25" s="9">
        <f>IF(C25 = 6,E25*VLOOKUP(4,Table3[#All],2,FALSE),IF(C25 =5,E25*VLOOKUP(4,Table4[#All],2,FALSE),NA()))</f>
        <v>16.875</v>
      </c>
      <c r="L25" s="10">
        <f>IF(C25 = 6,E25*VLOOKUP(3,Table3[#All],2,FALSE),IF(C25 =5,E25*VLOOKUP(3,Table4[#All],2,FALSE),IF(C25 =4,E25*VLOOKUP(3,Table5[#All],2,FALSE),NA())))</f>
        <v>9.375</v>
      </c>
      <c r="M25" s="11">
        <f>IF(C25 = 6,E25*VLOOKUP(2,Table3[#All],2,FALSE),IF(C25 =5,E25*VLOOKUP(2,Table4[#All],2,FALSE),IF(C25 =4,E25*VLOOKUP(2,Table5[#All],2,FALSE),IF(C25 =3,E25*VLOOKUP(2,Table6[#All],2,FALSE),NA()))))</f>
        <v>4.6875</v>
      </c>
      <c r="N25" s="12">
        <f>IF(C25 = 6,E25*VLOOKUP(1,Table3[#All],2,FALSE),IF(C25 =5,E25*VLOOKUP(1,Table4[#All],2,FALSE),IF(C25 =4,E25*VLOOKUP(1,Table5[#All],2,FALSE),IF(C25 =3,E25*VLOOKUP(1,Table6[#All],2,FALSE),IF(C25 =2,E25*VLOOKUP(1,Table7[#All],2,FALSE),NA())))))</f>
        <v>0.9375</v>
      </c>
      <c r="O25" s="69">
        <v>0.13</v>
      </c>
      <c r="P25" s="65">
        <v>0.05</v>
      </c>
      <c r="Q25" s="9">
        <v>-6</v>
      </c>
      <c r="R25" s="13" t="b">
        <v>1</v>
      </c>
      <c r="S25" s="13" t="b">
        <v>0</v>
      </c>
      <c r="T25" s="145">
        <f>VLOOKUP(Table120[[#This Row],[Armor Level]],Table1217[#All],6,FALSE)</f>
        <v>0.10526315789473684</v>
      </c>
    </row>
    <row r="26" spans="1:20" x14ac:dyDescent="0.25">
      <c r="A26" s="24" t="s">
        <v>203</v>
      </c>
      <c r="B26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73.7</v>
      </c>
      <c r="C26" s="8">
        <v>6</v>
      </c>
      <c r="D26" s="9" t="s">
        <v>4</v>
      </c>
      <c r="E26" s="8">
        <v>85</v>
      </c>
      <c r="F26" s="8">
        <f>ROUNDDOWN(E26/VLOOKUP(D26,Table2[#All],2,FALSE),0)</f>
        <v>170</v>
      </c>
      <c r="G26" s="8">
        <f>ROUNDDOWN(E26/VLOOKUP(D26,Table2[#All],3,FALSE),0)</f>
        <v>212</v>
      </c>
      <c r="H26" s="10" t="str">
        <f>VLOOKUP(D26,Table2[#All],4,FALSE)</f>
        <v>Average</v>
      </c>
      <c r="I26" s="12">
        <v>20</v>
      </c>
      <c r="J26" s="8">
        <f>IF(C26&gt;5,E26*VLOOKUP(5,Table3[#All],2,FALSE),NA())</f>
        <v>38.25</v>
      </c>
      <c r="K26" s="9">
        <f>IF(C26 = 6,E26*VLOOKUP(4,Table3[#All],2,FALSE),IF(C26 =5,E26*VLOOKUP(4,Table4[#All],2,FALSE),NA()))</f>
        <v>19.125</v>
      </c>
      <c r="L26" s="10">
        <f>IF(C26 = 6,E26*VLOOKUP(3,Table3[#All],2,FALSE),IF(C26 =5,E26*VLOOKUP(3,Table4[#All],2,FALSE),IF(C26 =4,E26*VLOOKUP(3,Table5[#All],2,FALSE),NA())))</f>
        <v>10.625</v>
      </c>
      <c r="M26" s="11">
        <f>IF(C26 = 6,E26*VLOOKUP(2,Table3[#All],2,FALSE),IF(C26 =5,E26*VLOOKUP(2,Table4[#All],2,FALSE),IF(C26 =4,E26*VLOOKUP(2,Table5[#All],2,FALSE),IF(C26 =3,E26*VLOOKUP(2,Table6[#All],2,FALSE),NA()))))</f>
        <v>5.3125</v>
      </c>
      <c r="N26" s="12">
        <f>IF(C26 = 6,E26*VLOOKUP(1,Table3[#All],2,FALSE),IF(C26 =5,E26*VLOOKUP(1,Table4[#All],2,FALSE),IF(C26 =4,E26*VLOOKUP(1,Table5[#All],2,FALSE),IF(C26 =3,E26*VLOOKUP(1,Table6[#All],2,FALSE),IF(C26 =2,E26*VLOOKUP(1,Table7[#All],2,FALSE),NA())))))</f>
        <v>1.0625</v>
      </c>
      <c r="O26" s="67">
        <v>0.42</v>
      </c>
      <c r="P26" s="67">
        <v>0.21</v>
      </c>
      <c r="Q26" s="12">
        <v>-27</v>
      </c>
      <c r="R26" s="13" t="b">
        <v>1</v>
      </c>
      <c r="S26" s="13" t="b">
        <v>1</v>
      </c>
      <c r="T26" s="95">
        <f>VLOOKUP(Table120[[#This Row],[Armor Level]],Table1217[#All],6,FALSE)</f>
        <v>0.10526315789473684</v>
      </c>
    </row>
    <row r="27" spans="1:20" x14ac:dyDescent="0.25">
      <c r="A27" s="167" t="s">
        <v>200</v>
      </c>
      <c r="B27" s="9">
        <f>ROUNDDOWN(((Table120[[#This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 - (Table120[[#This Row],[Armor Level]]*(IF(Table120[[#This Row],[Stomach]],Table120[[#This Row],[Effective Durability]]/2,Table120[[#This Row],[Effective Durability]]) + IF(Table120[[#This Row],[Arms]],Table120[[#This Row],[Effective Durability]]/4,Table120[[#This Row],[Effective Durability]])/2)/(Table120[[#This Row],[Weight]])+1.7)*Table120[[#This Row],[Movement Speed]] + (20/2)*5 + 3*1 + 2*4 + 2)*(100%-Table120[[#This Row],[% Common penetrating rounds]]),1)</f>
        <v>70.400000000000006</v>
      </c>
      <c r="C27" s="15">
        <v>6</v>
      </c>
      <c r="D27" s="16" t="s">
        <v>4</v>
      </c>
      <c r="E27" s="17">
        <v>55</v>
      </c>
      <c r="F27" s="16">
        <f>ROUNDDOWN(E27/VLOOKUP(D27,Table2[#All],2,FALSE),0)</f>
        <v>110</v>
      </c>
      <c r="G27" s="16">
        <f>ROUNDDOWN(E27/VLOOKUP(D27,Table2[#All],3,FALSE),0)</f>
        <v>137</v>
      </c>
      <c r="H27" s="17" t="str">
        <f>VLOOKUP(D27,Table2[#All],4,FALSE)</f>
        <v>Average</v>
      </c>
      <c r="I27" s="18">
        <v>18</v>
      </c>
      <c r="J27" s="15">
        <f>IF(C27&gt;5,E27*VLOOKUP(5,Table3[#All],2,FALSE),NA())</f>
        <v>24.75</v>
      </c>
      <c r="K27" s="16">
        <f>IF(C27 = 6,E27*VLOOKUP(4,Table3[#All],2,FALSE),IF(C27 =5,E27*VLOOKUP(4,Table4[#All],2,FALSE),NA()))</f>
        <v>12.375</v>
      </c>
      <c r="L27" s="10">
        <f>IF(C27 = 6,E27*VLOOKUP(3,Table3[#All],2,FALSE),IF(C27 =5,E27*VLOOKUP(3,Table4[#All],2,FALSE),IF(C27 =4,E27*VLOOKUP(3,Table5[#All],2,FALSE),NA())))</f>
        <v>6.875</v>
      </c>
      <c r="M27" s="11">
        <f>IF(C27 = 6,E27*VLOOKUP(2,Table3[#All],2,FALSE),IF(C27 =5,E27*VLOOKUP(2,Table4[#All],2,FALSE),IF(C27 =4,E27*VLOOKUP(2,Table5[#All],2,FALSE),IF(C27 =3,E27*VLOOKUP(2,Table6[#All],2,FALSE),NA()))))</f>
        <v>3.4375</v>
      </c>
      <c r="N27" s="12">
        <f>IF(C27 = 6,E27*VLOOKUP(1,Table3[#All],2,FALSE),IF(C27 =5,E27*VLOOKUP(1,Table4[#All],2,FALSE),IF(C27 =4,E27*VLOOKUP(1,Table5[#All],2,FALSE),IF(C27 =3,E27*VLOOKUP(1,Table6[#All],2,FALSE),IF(C27 =2,E27*VLOOKUP(1,Table7[#All],2,FALSE),NA())))))</f>
        <v>0.6875</v>
      </c>
      <c r="O27" s="67">
        <v>0.36</v>
      </c>
      <c r="P27" s="68">
        <v>0.16</v>
      </c>
      <c r="Q27" s="12">
        <v>-20</v>
      </c>
      <c r="R27" s="13" t="b">
        <v>1</v>
      </c>
      <c r="S27" s="13" t="b">
        <v>1</v>
      </c>
      <c r="T27" s="169">
        <f>VLOOKUP(Table120[[#This Row],[Armor Level]],Table1217[#All],6,FALSE)</f>
        <v>0.10526315789473684</v>
      </c>
    </row>
  </sheetData>
  <conditionalFormatting sqref="R3:R27">
    <cfRule type="containsText" dxfId="215" priority="3" operator="containsText" text="FALSE">
      <formula>NOT(ISERROR(SEARCH("FALSE",R3)))</formula>
    </cfRule>
    <cfRule type="containsText" dxfId="214" priority="4" operator="containsText" text="TRUE">
      <formula>NOT(ISERROR(SEARCH("TRUE",R3)))</formula>
    </cfRule>
  </conditionalFormatting>
  <conditionalFormatting sqref="S3:S27">
    <cfRule type="containsText" dxfId="213" priority="1" operator="containsText" text="FALSE">
      <formula>NOT(ISERROR(SEARCH("FALSE",S3)))</formula>
    </cfRule>
    <cfRule type="containsText" dxfId="212" priority="2" operator="containsText" text="TRUE">
      <formula>NOT(ISERROR(SEARCH("TRUE",S3)))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791B-3ABF-46C0-956F-E99468D01ED1}">
  <dimension ref="A1:Y17"/>
  <sheetViews>
    <sheetView workbookViewId="0">
      <selection activeCell="B14" sqref="B14"/>
    </sheetView>
  </sheetViews>
  <sheetFormatPr defaultRowHeight="15" x14ac:dyDescent="0.25"/>
  <cols>
    <col min="1" max="1" width="51.140625" bestFit="1" customWidth="1"/>
    <col min="2" max="2" width="17.28515625" bestFit="1" customWidth="1"/>
    <col min="3" max="3" width="16.28515625" bestFit="1" customWidth="1"/>
    <col min="4" max="4" width="19.140625" bestFit="1" customWidth="1"/>
    <col min="5" max="5" width="14.28515625" bestFit="1" customWidth="1"/>
    <col min="6" max="6" width="22.85546875" bestFit="1" customWidth="1"/>
    <col min="7" max="7" width="23.42578125" bestFit="1" customWidth="1"/>
    <col min="8" max="8" width="16.85546875" bestFit="1" customWidth="1"/>
    <col min="9" max="9" width="12.140625" bestFit="1" customWidth="1"/>
    <col min="10" max="14" width="12" customWidth="1"/>
    <col min="15" max="15" width="21.5703125" bestFit="1" customWidth="1"/>
    <col min="16" max="16" width="15.5703125" bestFit="1" customWidth="1"/>
    <col min="17" max="17" width="15.7109375" bestFit="1" customWidth="1"/>
    <col min="18" max="18" width="13.140625" bestFit="1" customWidth="1"/>
    <col min="19" max="23" width="12" customWidth="1"/>
    <col min="24" max="24" width="14.7109375" bestFit="1" customWidth="1"/>
    <col min="25" max="25" width="33.5703125" bestFit="1" customWidth="1"/>
  </cols>
  <sheetData>
    <row r="1" spans="1:25" ht="18.75" x14ac:dyDescent="0.3">
      <c r="A1" s="45" t="s">
        <v>40</v>
      </c>
      <c r="B1" s="1"/>
      <c r="C1" s="1"/>
      <c r="D1" s="1"/>
      <c r="E1" s="1"/>
      <c r="F1" s="1"/>
      <c r="G1" s="1"/>
      <c r="H1" s="1"/>
      <c r="I1" s="1"/>
      <c r="J1" s="1"/>
      <c r="L1" s="45" t="s">
        <v>70</v>
      </c>
      <c r="M1" s="1"/>
      <c r="N1" s="3"/>
      <c r="O1" s="3"/>
      <c r="P1" s="1"/>
      <c r="Q1" s="1"/>
      <c r="R1" s="1"/>
      <c r="S1" s="1"/>
      <c r="T1" s="1"/>
      <c r="U1" s="1"/>
      <c r="V1" s="1"/>
      <c r="W1" s="1"/>
      <c r="X1" s="1"/>
    </row>
    <row r="2" spans="1:25" x14ac:dyDescent="0.25">
      <c r="A2" s="37" t="s">
        <v>17</v>
      </c>
      <c r="B2" s="13" t="s">
        <v>73</v>
      </c>
      <c r="C2" s="52" t="s">
        <v>20</v>
      </c>
      <c r="D2" s="52" t="s">
        <v>2</v>
      </c>
      <c r="E2" s="52" t="s">
        <v>18</v>
      </c>
      <c r="F2" s="52" t="s">
        <v>19</v>
      </c>
      <c r="G2" s="52" t="s">
        <v>22</v>
      </c>
      <c r="H2" s="52" t="s">
        <v>9</v>
      </c>
      <c r="I2" s="52" t="s">
        <v>31</v>
      </c>
      <c r="J2" s="52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29</v>
      </c>
      <c r="P2" s="52" t="s">
        <v>28</v>
      </c>
      <c r="Q2" s="52" t="s">
        <v>30</v>
      </c>
      <c r="R2" s="52" t="s">
        <v>32</v>
      </c>
      <c r="S2" s="52" t="s">
        <v>33</v>
      </c>
      <c r="T2" s="13" t="s">
        <v>41</v>
      </c>
      <c r="U2" s="13" t="s">
        <v>42</v>
      </c>
      <c r="V2" s="13" t="s">
        <v>43</v>
      </c>
      <c r="W2" s="13" t="s">
        <v>44</v>
      </c>
      <c r="X2" s="13" t="s">
        <v>45</v>
      </c>
      <c r="Y2" s="38" t="s">
        <v>307</v>
      </c>
    </row>
    <row r="3" spans="1:25" x14ac:dyDescent="0.25">
      <c r="A3" s="20" t="s">
        <v>224</v>
      </c>
      <c r="B3" s="32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151.4</v>
      </c>
      <c r="C3" s="9">
        <v>5</v>
      </c>
      <c r="D3" s="39" t="s">
        <v>34</v>
      </c>
      <c r="E3" s="9">
        <v>60</v>
      </c>
      <c r="F3" s="31">
        <f>ROUNDDOWN(E3/VLOOKUP(D3,Table2[#All],2,FALSE),0)</f>
        <v>133</v>
      </c>
      <c r="G3" s="32">
        <f>ROUNDDOWN(E3/VLOOKUP(D3,Table2[#All],3,FALSE),0)</f>
        <v>150</v>
      </c>
      <c r="H3" s="32" t="str">
        <f>VLOOKUP(D3,Table2[#All],4,FALSE)</f>
        <v>Very Good</v>
      </c>
      <c r="I3" s="8">
        <v>8.5</v>
      </c>
      <c r="J3" s="35" t="e">
        <f>IF(C3&gt;5,E3*VLOOKUP(5,Table3[#All],2,FALSE),NA())</f>
        <v>#N/A</v>
      </c>
      <c r="K3" s="31">
        <f>IF(C3 = 6,E3*VLOOKUP(4,Table3[#All],2,FALSE),IF(C3 =5,E3*VLOOKUP(4,Table4[#All],2,FALSE),NA()))</f>
        <v>24</v>
      </c>
      <c r="L3" s="33">
        <f>IF(C3 = 6,E3*VLOOKUP(3,Table3[#All],2,FALSE),IF(C3 =5,E3*VLOOKUP(3,Table4[#All],2,FALSE),IF(C3 =4,E3*VLOOKUP(3,Table5[#All],2,FALSE),NA())))</f>
        <v>12</v>
      </c>
      <c r="M3" s="34">
        <f>IF(C3 = 6,E3*VLOOKUP(2,Table3[#All],2,FALSE),IF(C3 =5,E3*VLOOKUP(2,Table4[#All],2,FALSE),IF(C3 =4,E3*VLOOKUP(2,Table5[#All],2,FALSE),IF(C3 =3,E3*VLOOKUP(2,Table6[#All],2,FALSE),NA()))))</f>
        <v>6</v>
      </c>
      <c r="N3" s="12">
        <f>IF(C3 = 6,E3*VLOOKUP(1,Table3[#All],2,FALSE),IF(C3 =5,E3*VLOOKUP(1,Table4[#All],2,FALSE),IF(C3 =4,E3*VLOOKUP(1,Table5[#All],2,FALSE),IF(C3 =3,E3*VLOOKUP(1,Table6[#All],2,FALSE),IF(C3 =2,E3*VLOOKUP(1,Table7[#All],2,FALSE),NA())))))</f>
        <v>1.2</v>
      </c>
      <c r="O3" s="65">
        <v>0.06</v>
      </c>
      <c r="P3" s="66">
        <v>0.03</v>
      </c>
      <c r="Q3" s="9">
        <v>-5</v>
      </c>
      <c r="R3" s="8" t="b">
        <v>0</v>
      </c>
      <c r="S3" s="8" t="b">
        <v>0</v>
      </c>
      <c r="T3" s="10">
        <v>3</v>
      </c>
      <c r="U3" s="9">
        <v>5</v>
      </c>
      <c r="V3" s="9">
        <v>3</v>
      </c>
      <c r="W3" s="9">
        <v>1</v>
      </c>
      <c r="X3" s="9">
        <v>23</v>
      </c>
      <c r="Y3" s="181">
        <f>VLOOKUP(Table819[[#This Row],[Armor Level]],Table1217[#All],6,FALSE)</f>
        <v>0.21052631578947367</v>
      </c>
    </row>
    <row r="4" spans="1:25" x14ac:dyDescent="0.25">
      <c r="A4" s="24" t="s">
        <v>235</v>
      </c>
      <c r="B4" s="32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143.30000000000001</v>
      </c>
      <c r="C4" s="8">
        <v>6</v>
      </c>
      <c r="D4" s="39" t="s">
        <v>5</v>
      </c>
      <c r="E4" s="9">
        <v>60</v>
      </c>
      <c r="F4" s="31">
        <f>ROUNDDOWN(E4/VLOOKUP(D4,Table2[#All],2,FALSE),0)</f>
        <v>109</v>
      </c>
      <c r="G4" s="31">
        <f>ROUNDDOWN(E4/VLOOKUP(D4,Table2[#All],3,FALSE),0)</f>
        <v>120</v>
      </c>
      <c r="H4" s="31" t="str">
        <f>VLOOKUP(D4,Table2[#All],4,FALSE)</f>
        <v>Good</v>
      </c>
      <c r="I4" s="8">
        <v>7.8</v>
      </c>
      <c r="J4" s="32">
        <f>IF(C4&gt;5,E4*VLOOKUP(5,Table3[#All],2,FALSE),NA())</f>
        <v>27</v>
      </c>
      <c r="K4" s="31">
        <f>IF(C4 = 6,E4*VLOOKUP(4,Table3[#All],2,FALSE),IF(C4 =5,E4*VLOOKUP(4,Table4[#All],2,FALSE),NA()))</f>
        <v>13.5</v>
      </c>
      <c r="L4" s="33">
        <f>IF(C4 = 6,E4*VLOOKUP(3,Table3[#All],2,FALSE),IF(C4 =5,E4*VLOOKUP(3,Table4[#All],2,FALSE),IF(C4 =4,E4*VLOOKUP(3,Table5[#All],2,FALSE),NA())))</f>
        <v>7.5</v>
      </c>
      <c r="M4" s="34">
        <f>IF(C4 = 6,E4*VLOOKUP(2,Table3[#All],2,FALSE),IF(C4 =5,E4*VLOOKUP(2,Table4[#All],2,FALSE),IF(C4 =4,E4*VLOOKUP(2,Table5[#All],2,FALSE),IF(C4 =3,E4*VLOOKUP(2,Table6[#All],2,FALSE),NA()))))</f>
        <v>3.75</v>
      </c>
      <c r="N4" s="12">
        <f>IF(C4 = 6,E4*VLOOKUP(1,Table3[#All],2,FALSE),IF(C4 =5,E4*VLOOKUP(1,Table4[#All],2,FALSE),IF(C4 =4,E4*VLOOKUP(1,Table5[#All],2,FALSE),IF(C4 =3,E4*VLOOKUP(1,Table6[#All],2,FALSE),IF(C4 =2,E4*VLOOKUP(1,Table7[#All],2,FALSE),NA())))))</f>
        <v>0.75</v>
      </c>
      <c r="O4" s="65">
        <v>0.06</v>
      </c>
      <c r="P4" s="65">
        <v>0.05</v>
      </c>
      <c r="Q4" s="9">
        <v>-8</v>
      </c>
      <c r="R4" s="8" t="b">
        <v>0</v>
      </c>
      <c r="S4" s="8" t="b">
        <v>0</v>
      </c>
      <c r="T4" s="8">
        <v>0</v>
      </c>
      <c r="U4" s="9">
        <v>6</v>
      </c>
      <c r="V4" s="11">
        <v>0</v>
      </c>
      <c r="W4" s="11">
        <v>0</v>
      </c>
      <c r="X4" s="11">
        <v>12</v>
      </c>
      <c r="Y4" s="145">
        <f>VLOOKUP(Table819[[#This Row],[Armor Level]],Table1217[#All],6,FALSE)</f>
        <v>0.10526315789473684</v>
      </c>
    </row>
    <row r="5" spans="1:25" x14ac:dyDescent="0.25">
      <c r="A5" s="20" t="s">
        <v>225</v>
      </c>
      <c r="B5" s="32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109.3</v>
      </c>
      <c r="C5" s="9">
        <v>5</v>
      </c>
      <c r="D5" s="39" t="s">
        <v>34</v>
      </c>
      <c r="E5" s="10">
        <v>50</v>
      </c>
      <c r="F5" s="31">
        <f>ROUNDDOWN(E5/VLOOKUP(D5,Table2[#All],2,FALSE),0)</f>
        <v>111</v>
      </c>
      <c r="G5" s="31">
        <f>ROUNDDOWN(E5/VLOOKUP(D5,Table2[#All],3,FALSE),0)</f>
        <v>125</v>
      </c>
      <c r="H5" s="32" t="str">
        <f>VLOOKUP(D5,Table2[#All],4,FALSE)</f>
        <v>Very Good</v>
      </c>
      <c r="I5" s="8">
        <v>9.5</v>
      </c>
      <c r="J5" s="35" t="e">
        <f>IF(C5&gt;5,E5*VLOOKUP(5,Table3[#All],2,FALSE),NA())</f>
        <v>#N/A</v>
      </c>
      <c r="K5" s="31">
        <f>IF(C5 = 6,E5*VLOOKUP(4,Table3[#All],2,FALSE),IF(C5 =5,E5*VLOOKUP(4,Table4[#All],2,FALSE),NA()))</f>
        <v>20</v>
      </c>
      <c r="L5" s="33">
        <f>IF(C5 = 6,E5*VLOOKUP(3,Table3[#All],2,FALSE),IF(C5 =5,E5*VLOOKUP(3,Table4[#All],2,FALSE),IF(C5 =4,E5*VLOOKUP(3,Table5[#All],2,FALSE),NA())))</f>
        <v>10</v>
      </c>
      <c r="M5" s="34">
        <f>IF(C5 = 6,E5*VLOOKUP(2,Table3[#All],2,FALSE),IF(C5 =5,E5*VLOOKUP(2,Table4[#All],2,FALSE),IF(C5 =4,E5*VLOOKUP(2,Table5[#All],2,FALSE),IF(C5 =3,E5*VLOOKUP(2,Table6[#All],2,FALSE),NA()))))</f>
        <v>5</v>
      </c>
      <c r="N5" s="12">
        <f>IF(C5 = 6,E5*VLOOKUP(1,Table3[#All],2,FALSE),IF(C5 =5,E5*VLOOKUP(1,Table4[#All],2,FALSE),IF(C5 =4,E5*VLOOKUP(1,Table5[#All],2,FALSE),IF(C5 =3,E5*VLOOKUP(1,Table6[#All],2,FALSE),IF(C5 =2,E5*VLOOKUP(1,Table7[#All],2,FALSE),NA())))))</f>
        <v>1</v>
      </c>
      <c r="O5" s="65">
        <v>7.0000000000000007E-2</v>
      </c>
      <c r="P5" s="66">
        <v>0.03</v>
      </c>
      <c r="Q5" s="8">
        <v>-3</v>
      </c>
      <c r="R5" s="8" t="b">
        <v>0</v>
      </c>
      <c r="S5" s="8" t="b">
        <v>0</v>
      </c>
      <c r="T5" s="12">
        <v>6</v>
      </c>
      <c r="U5" s="9">
        <v>6</v>
      </c>
      <c r="V5" s="11">
        <v>0</v>
      </c>
      <c r="W5" s="11">
        <v>0</v>
      </c>
      <c r="X5" s="10">
        <v>18</v>
      </c>
      <c r="Y5" s="146">
        <f>VLOOKUP(Table819[[#This Row],[Armor Level]],Table1217[#All],6,FALSE)</f>
        <v>0.21052631578947367</v>
      </c>
    </row>
    <row r="6" spans="1:25" x14ac:dyDescent="0.25">
      <c r="A6" s="22" t="s">
        <v>229</v>
      </c>
      <c r="B6" s="32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108.2</v>
      </c>
      <c r="C6" s="10">
        <v>4</v>
      </c>
      <c r="D6" s="39" t="s">
        <v>4</v>
      </c>
      <c r="E6" s="8">
        <v>80</v>
      </c>
      <c r="F6" s="32">
        <f>ROUNDDOWN(E6/VLOOKUP(D6,Table2[#All],2,FALSE),0)</f>
        <v>160</v>
      </c>
      <c r="G6" s="32">
        <f>ROUNDDOWN(E6/VLOOKUP(D6,Table2[#All],3,FALSE),0)</f>
        <v>200</v>
      </c>
      <c r="H6" s="33" t="str">
        <f>VLOOKUP(D6,Table2[#All],4,FALSE)</f>
        <v>Average</v>
      </c>
      <c r="I6" s="8">
        <v>8.1999999999999993</v>
      </c>
      <c r="J6" s="35" t="e">
        <f>IF(C6&gt;5,E6*VLOOKUP(5,Table3[#All],2,FALSE),NA())</f>
        <v>#N/A</v>
      </c>
      <c r="K6" s="35" t="e">
        <f>IF(C6 = 6,E6*VLOOKUP(4,Table3[#All],2,FALSE),IF(C6 =5,E6*VLOOKUP(4,Table4[#All],2,FALSE),NA()))</f>
        <v>#N/A</v>
      </c>
      <c r="L6" s="33">
        <f>IF(C6 = 6,E6*VLOOKUP(3,Table3[#All],2,FALSE),IF(C6 =5,E6*VLOOKUP(3,Table4[#All],2,FALSE),IF(C6 =4,E6*VLOOKUP(3,Table5[#All],2,FALSE),NA())))</f>
        <v>25.6</v>
      </c>
      <c r="M6" s="34">
        <f>IF(C6 = 6,E6*VLOOKUP(2,Table3[#All],2,FALSE),IF(C6 =5,E6*VLOOKUP(2,Table4[#All],2,FALSE),IF(C6 =4,E6*VLOOKUP(2,Table5[#All],2,FALSE),IF(C6 =3,E6*VLOOKUP(2,Table6[#All],2,FALSE),NA()))))</f>
        <v>12.8</v>
      </c>
      <c r="N6" s="12">
        <f>IF(C6 = 6,E6*VLOOKUP(1,Table3[#All],2,FALSE),IF(C6 =5,E6*VLOOKUP(1,Table4[#All],2,FALSE),IF(C6 =4,E6*VLOOKUP(1,Table5[#All],2,FALSE),IF(C6 =3,E6*VLOOKUP(1,Table6[#All],2,FALSE),IF(C6 =2,E6*VLOOKUP(1,Table7[#All],2,FALSE),NA())))))</f>
        <v>3.2</v>
      </c>
      <c r="O6" s="65">
        <v>7.0000000000000007E-2</v>
      </c>
      <c r="P6" s="66">
        <v>0.04</v>
      </c>
      <c r="Q6" s="9">
        <v>-6</v>
      </c>
      <c r="R6" s="8" t="b">
        <v>0</v>
      </c>
      <c r="S6" s="8" t="b">
        <v>0</v>
      </c>
      <c r="T6" s="11">
        <v>5</v>
      </c>
      <c r="U6" s="8">
        <v>10</v>
      </c>
      <c r="V6" s="11">
        <v>0</v>
      </c>
      <c r="W6" s="11">
        <v>0</v>
      </c>
      <c r="X6" s="8">
        <v>25</v>
      </c>
      <c r="Y6" s="147">
        <f>VLOOKUP(Table819[[#This Row],[Armor Level]],Table1217[#All],6,FALSE)</f>
        <v>0.43421052631578949</v>
      </c>
    </row>
    <row r="7" spans="1:25" x14ac:dyDescent="0.25">
      <c r="A7" s="20" t="s">
        <v>223</v>
      </c>
      <c r="B7" s="31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98.3</v>
      </c>
      <c r="C7" s="9">
        <v>5</v>
      </c>
      <c r="D7" s="39" t="s">
        <v>4</v>
      </c>
      <c r="E7" s="10">
        <v>55</v>
      </c>
      <c r="F7" s="31">
        <f>ROUNDDOWN(E7/VLOOKUP(D7,Table2[#All],2,FALSE),0)</f>
        <v>110</v>
      </c>
      <c r="G7" s="31">
        <f>ROUNDDOWN(E7/VLOOKUP(D7,Table2[#All],3,FALSE),0)</f>
        <v>137</v>
      </c>
      <c r="H7" s="33" t="str">
        <f>VLOOKUP(D7,Table2[#All],4,FALSE)</f>
        <v>Average</v>
      </c>
      <c r="I7" s="10">
        <v>12.5</v>
      </c>
      <c r="J7" s="35" t="e">
        <f>IF(C7&gt;5,E7*VLOOKUP(5,Table3[#All],2,FALSE),NA())</f>
        <v>#N/A</v>
      </c>
      <c r="K7" s="31">
        <f>IF(C7 = 6,E7*VLOOKUP(4,Table3[#All],2,FALSE),IF(C7 =5,E7*VLOOKUP(4,Table4[#All],2,FALSE),NA()))</f>
        <v>22</v>
      </c>
      <c r="L7" s="33">
        <f>IF(C7 = 6,E7*VLOOKUP(3,Table3[#All],2,FALSE),IF(C7 =5,E7*VLOOKUP(3,Table4[#All],2,FALSE),IF(C7 =4,E7*VLOOKUP(3,Table5[#All],2,FALSE),NA())))</f>
        <v>11</v>
      </c>
      <c r="M7" s="34">
        <f>IF(C7 = 6,E7*VLOOKUP(2,Table3[#All],2,FALSE),IF(C7 =5,E7*VLOOKUP(2,Table4[#All],2,FALSE),IF(C7 =4,E7*VLOOKUP(2,Table5[#All],2,FALSE),IF(C7 =3,E7*VLOOKUP(2,Table6[#All],2,FALSE),NA()))))</f>
        <v>5.5</v>
      </c>
      <c r="N7" s="12">
        <f>IF(C7 = 6,E7*VLOOKUP(1,Table3[#All],2,FALSE),IF(C7 =5,E7*VLOOKUP(1,Table4[#All],2,FALSE),IF(C7 =4,E7*VLOOKUP(1,Table5[#All],2,FALSE),IF(C7 =3,E7*VLOOKUP(1,Table6[#All],2,FALSE),IF(C7 =2,E7*VLOOKUP(1,Table7[#All],2,FALSE),NA())))))</f>
        <v>1.1000000000000001</v>
      </c>
      <c r="O7" s="68">
        <v>0.16</v>
      </c>
      <c r="P7" s="69">
        <v>0.11</v>
      </c>
      <c r="Q7" s="10">
        <v>-11</v>
      </c>
      <c r="R7" s="8" t="b">
        <v>0</v>
      </c>
      <c r="S7" s="12" t="b">
        <v>1</v>
      </c>
      <c r="T7" s="9">
        <v>2</v>
      </c>
      <c r="U7" s="9">
        <v>6</v>
      </c>
      <c r="V7" s="10">
        <v>2</v>
      </c>
      <c r="W7" s="9">
        <v>1</v>
      </c>
      <c r="X7" s="9">
        <v>24</v>
      </c>
      <c r="Y7" s="146">
        <f>VLOOKUP(Table819[[#This Row],[Armor Level]],Table1217[#All],6,FALSE)</f>
        <v>0.21052631578947367</v>
      </c>
    </row>
    <row r="8" spans="1:25" x14ac:dyDescent="0.25">
      <c r="A8" s="22" t="s">
        <v>226</v>
      </c>
      <c r="B8" s="31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82.2</v>
      </c>
      <c r="C8" s="10">
        <v>4</v>
      </c>
      <c r="D8" s="10" t="s">
        <v>8</v>
      </c>
      <c r="E8" s="8">
        <v>85</v>
      </c>
      <c r="F8" s="31">
        <f>ROUNDDOWN(E8/VLOOKUP(D8,Table2[#All],2,FALSE),0)</f>
        <v>121</v>
      </c>
      <c r="G8" s="31">
        <f>ROUNDDOWN(E8/VLOOKUP(D8,Table2[#All],3,FALSE),0)</f>
        <v>141</v>
      </c>
      <c r="H8" s="32" t="str">
        <f>VLOOKUP(D8,Table2[#All],4,FALSE)</f>
        <v>Very Good</v>
      </c>
      <c r="I8" s="9">
        <v>10.3</v>
      </c>
      <c r="J8" s="35" t="e">
        <f>IF(C8&gt;5,E8*VLOOKUP(5,Table3[#All],2,FALSE),NA())</f>
        <v>#N/A</v>
      </c>
      <c r="K8" s="35" t="e">
        <f>IF(C8 = 6,E8*VLOOKUP(4,Table3[#All],2,FALSE),IF(C8 =5,E8*VLOOKUP(4,Table4[#All],2,FALSE),NA()))</f>
        <v>#N/A</v>
      </c>
      <c r="L8" s="33">
        <f>IF(C8 = 6,E8*VLOOKUP(3,Table3[#All],2,FALSE),IF(C8 =5,E8*VLOOKUP(3,Table4[#All],2,FALSE),IF(C8 =4,E8*VLOOKUP(3,Table5[#All],2,FALSE),NA())))</f>
        <v>27.2</v>
      </c>
      <c r="M8" s="34">
        <f>IF(C8 = 6,E8*VLOOKUP(2,Table3[#All],2,FALSE),IF(C8 =5,E8*VLOOKUP(2,Table4[#All],2,FALSE),IF(C8 =4,E8*VLOOKUP(2,Table5[#All],2,FALSE),IF(C8 =3,E8*VLOOKUP(2,Table6[#All],2,FALSE),NA()))))</f>
        <v>13.6</v>
      </c>
      <c r="N8" s="12">
        <f>IF(C8 = 6,E8*VLOOKUP(1,Table3[#All],2,FALSE),IF(C8 =5,E8*VLOOKUP(1,Table4[#All],2,FALSE),IF(C8 =4,E8*VLOOKUP(1,Table5[#All],2,FALSE),IF(C8 =3,E8*VLOOKUP(1,Table6[#All],2,FALSE),IF(C8 =2,E8*VLOOKUP(1,Table7[#All],2,FALSE),NA())))))</f>
        <v>3.4</v>
      </c>
      <c r="O8" s="65">
        <v>0.08</v>
      </c>
      <c r="P8" s="66">
        <v>0.04</v>
      </c>
      <c r="Q8" s="9">
        <v>-5</v>
      </c>
      <c r="R8" s="8" t="b">
        <v>0</v>
      </c>
      <c r="S8" s="8" t="b">
        <v>0</v>
      </c>
      <c r="T8" s="9">
        <v>2</v>
      </c>
      <c r="U8" s="10">
        <v>2</v>
      </c>
      <c r="V8" s="9">
        <v>3</v>
      </c>
      <c r="W8" s="8">
        <v>2</v>
      </c>
      <c r="X8" s="9">
        <v>23</v>
      </c>
      <c r="Y8" s="147">
        <f>VLOOKUP(Table819[[#This Row],[Armor Level]],Table1217[#All],6,FALSE)</f>
        <v>0.43421052631578949</v>
      </c>
    </row>
    <row r="9" spans="1:25" x14ac:dyDescent="0.25">
      <c r="A9" s="22" t="s">
        <v>227</v>
      </c>
      <c r="B9" s="31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76.599999999999994</v>
      </c>
      <c r="C9" s="10">
        <v>4</v>
      </c>
      <c r="D9" s="39" t="s">
        <v>4</v>
      </c>
      <c r="E9" s="9">
        <v>70</v>
      </c>
      <c r="F9" s="31">
        <f>ROUNDDOWN(E9/VLOOKUP(D9,Table2[#All],2,FALSE),0)</f>
        <v>140</v>
      </c>
      <c r="G9" s="32">
        <f>ROUNDDOWN(E9/VLOOKUP(D9,Table2[#All],3,FALSE),0)</f>
        <v>175</v>
      </c>
      <c r="H9" s="33" t="str">
        <f>VLOOKUP(D9,Table2[#All],4,FALSE)</f>
        <v>Average</v>
      </c>
      <c r="I9" s="8">
        <v>8.6999999999999993</v>
      </c>
      <c r="J9" s="35" t="e">
        <f>IF(C9&gt;5,E9*VLOOKUP(5,Table3[#All],2,FALSE),NA())</f>
        <v>#N/A</v>
      </c>
      <c r="K9" s="35" t="e">
        <f>IF(C9 = 6,E9*VLOOKUP(4,Table3[#All],2,FALSE),IF(C9 =5,E9*VLOOKUP(4,Table4[#All],2,FALSE),NA()))</f>
        <v>#N/A</v>
      </c>
      <c r="L9" s="33">
        <f>IF(C9 = 6,E9*VLOOKUP(3,Table3[#All],2,FALSE),IF(C9 =5,E9*VLOOKUP(3,Table4[#All],2,FALSE),IF(C9 =4,E9*VLOOKUP(3,Table5[#All],2,FALSE),NA())))</f>
        <v>22.400000000000002</v>
      </c>
      <c r="M9" s="34">
        <f>IF(C9 = 6,E9*VLOOKUP(2,Table3[#All],2,FALSE),IF(C9 =5,E9*VLOOKUP(2,Table4[#All],2,FALSE),IF(C9 =4,E9*VLOOKUP(2,Table5[#All],2,FALSE),IF(C9 =3,E9*VLOOKUP(2,Table6[#All],2,FALSE),NA()))))</f>
        <v>11.200000000000001</v>
      </c>
      <c r="N9" s="12">
        <f>IF(C9 = 6,E9*VLOOKUP(1,Table3[#All],2,FALSE),IF(C9 =5,E9*VLOOKUP(1,Table4[#All],2,FALSE),IF(C9 =4,E9*VLOOKUP(1,Table5[#All],2,FALSE),IF(C9 =3,E9*VLOOKUP(1,Table6[#All],2,FALSE),IF(C9 =2,E9*VLOOKUP(1,Table7[#All],2,FALSE),NA())))))</f>
        <v>2.8000000000000003</v>
      </c>
      <c r="O9" s="69">
        <v>0.1</v>
      </c>
      <c r="P9" s="66">
        <v>0.02</v>
      </c>
      <c r="Q9" s="8">
        <v>-2</v>
      </c>
      <c r="R9" s="11" t="b">
        <v>1</v>
      </c>
      <c r="S9" s="8" t="b">
        <v>0</v>
      </c>
      <c r="T9" s="11">
        <v>5</v>
      </c>
      <c r="U9" s="9">
        <v>5</v>
      </c>
      <c r="V9" s="11">
        <v>0</v>
      </c>
      <c r="W9" s="8">
        <v>2</v>
      </c>
      <c r="X9" s="9">
        <v>23</v>
      </c>
      <c r="Y9" s="147">
        <f>VLOOKUP(Table819[[#This Row],[Armor Level]],Table1217[#All],6,FALSE)</f>
        <v>0.43421052631578949</v>
      </c>
    </row>
    <row r="10" spans="1:25" x14ac:dyDescent="0.25">
      <c r="A10" s="22" t="s">
        <v>228</v>
      </c>
      <c r="B10" s="33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68.400000000000006</v>
      </c>
      <c r="C10" s="10">
        <v>4</v>
      </c>
      <c r="D10" s="10" t="s">
        <v>13</v>
      </c>
      <c r="E10" s="9">
        <v>60</v>
      </c>
      <c r="F10" s="31">
        <f>ROUNDDOWN(E10/VLOOKUP(D10,Table2[#All],2,FALSE),0)</f>
        <v>100</v>
      </c>
      <c r="G10" s="31">
        <f>ROUNDDOWN(E10/VLOOKUP(D10,Table2[#All],3,FALSE),0)</f>
        <v>100</v>
      </c>
      <c r="H10" s="31" t="str">
        <f>VLOOKUP(D10,Table2[#All],4,FALSE)</f>
        <v>Good</v>
      </c>
      <c r="I10" s="9">
        <v>10.7</v>
      </c>
      <c r="J10" s="35" t="e">
        <f>IF(C10&gt;5,E10*VLOOKUP(5,Table3[#All],2,FALSE),NA())</f>
        <v>#N/A</v>
      </c>
      <c r="K10" s="35" t="e">
        <f>IF(C10 = 6,E10*VLOOKUP(4,Table3[#All],2,FALSE),IF(C10 =5,E10*VLOOKUP(4,Table4[#All],2,FALSE),NA()))</f>
        <v>#N/A</v>
      </c>
      <c r="L10" s="33">
        <f>IF(C10 = 6,E10*VLOOKUP(3,Table3[#All],2,FALSE),IF(C10 =5,E10*VLOOKUP(3,Table4[#All],2,FALSE),IF(C10 =4,E10*VLOOKUP(3,Table5[#All],2,FALSE),NA())))</f>
        <v>19.2</v>
      </c>
      <c r="M10" s="34">
        <f>IF(C10 = 6,E10*VLOOKUP(2,Table3[#All],2,FALSE),IF(C10 =5,E10*VLOOKUP(2,Table4[#All],2,FALSE),IF(C10 =4,E10*VLOOKUP(2,Table5[#All],2,FALSE),IF(C10 =3,E10*VLOOKUP(2,Table6[#All],2,FALSE),NA()))))</f>
        <v>9.6</v>
      </c>
      <c r="N10" s="12">
        <f>IF(C10 = 6,E10*VLOOKUP(1,Table3[#All],2,FALSE),IF(C10 =5,E10*VLOOKUP(1,Table4[#All],2,FALSE),IF(C10 =4,E10*VLOOKUP(1,Table5[#All],2,FALSE),IF(C10 =3,E10*VLOOKUP(1,Table6[#All],2,FALSE),IF(C10 =2,E10*VLOOKUP(1,Table7[#All],2,FALSE),NA())))))</f>
        <v>2.4</v>
      </c>
      <c r="O10" s="69">
        <v>0.11</v>
      </c>
      <c r="P10" s="69">
        <v>0.11</v>
      </c>
      <c r="Q10" s="9">
        <v>-7</v>
      </c>
      <c r="R10" s="8" t="b">
        <v>0</v>
      </c>
      <c r="S10" s="12" t="b">
        <v>1</v>
      </c>
      <c r="T10" s="11">
        <v>5</v>
      </c>
      <c r="U10" s="8">
        <v>8</v>
      </c>
      <c r="V10" s="11">
        <v>0</v>
      </c>
      <c r="W10" s="9">
        <v>1</v>
      </c>
      <c r="X10" s="8">
        <v>25</v>
      </c>
      <c r="Y10" s="147">
        <f>VLOOKUP(Table819[[#This Row],[Armor Level]],Table1217[#All],6,FALSE)</f>
        <v>0.43421052631578949</v>
      </c>
    </row>
    <row r="11" spans="1:25" x14ac:dyDescent="0.25">
      <c r="A11" s="22" t="s">
        <v>230</v>
      </c>
      <c r="B11" s="33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65.2</v>
      </c>
      <c r="C11" s="10">
        <v>4</v>
      </c>
      <c r="D11" s="39" t="s">
        <v>5</v>
      </c>
      <c r="E11" s="9">
        <v>60</v>
      </c>
      <c r="F11" s="31">
        <f>ROUNDDOWN(E11/VLOOKUP(D11,Table2[#All],2,FALSE),0)</f>
        <v>109</v>
      </c>
      <c r="G11" s="31">
        <f>ROUNDDOWN(E11/VLOOKUP(D11,Table2[#All],3,FALSE),0)</f>
        <v>120</v>
      </c>
      <c r="H11" s="31" t="str">
        <f>VLOOKUP(D11,Table2[#All],4,FALSE)</f>
        <v>Good</v>
      </c>
      <c r="I11" s="8">
        <v>7</v>
      </c>
      <c r="J11" s="35" t="e">
        <f>IF(C11&gt;5,E11*VLOOKUP(5,Table3[#All],2,FALSE),NA())</f>
        <v>#N/A</v>
      </c>
      <c r="K11" s="35" t="e">
        <f>IF(C11 = 6,E11*VLOOKUP(4,Table3[#All],2,FALSE),IF(C11 =5,E11*VLOOKUP(4,Table4[#All],2,FALSE),NA()))</f>
        <v>#N/A</v>
      </c>
      <c r="L11" s="33">
        <f>IF(C11 = 6,E11*VLOOKUP(3,Table3[#All],2,FALSE),IF(C11 =5,E11*VLOOKUP(3,Table4[#All],2,FALSE),IF(C11 =4,E11*VLOOKUP(3,Table5[#All],2,FALSE),NA())))</f>
        <v>19.2</v>
      </c>
      <c r="M11" s="34">
        <f>IF(C11 = 6,E11*VLOOKUP(2,Table3[#All],2,FALSE),IF(C11 =5,E11*VLOOKUP(2,Table4[#All],2,FALSE),IF(C11 =4,E11*VLOOKUP(2,Table5[#All],2,FALSE),IF(C11 =3,E11*VLOOKUP(2,Table6[#All],2,FALSE),NA()))))</f>
        <v>9.6</v>
      </c>
      <c r="N11" s="12">
        <f>IF(C11 = 6,E11*VLOOKUP(1,Table3[#All],2,FALSE),IF(C11 =5,E11*VLOOKUP(1,Table4[#All],2,FALSE),IF(C11 =4,E11*VLOOKUP(1,Table5[#All],2,FALSE),IF(C11 =3,E11*VLOOKUP(1,Table6[#All],2,FALSE),IF(C11 =2,E11*VLOOKUP(1,Table7[#All],2,FALSE),NA())))))</f>
        <v>2.4</v>
      </c>
      <c r="O11" s="65">
        <v>0.08</v>
      </c>
      <c r="P11" s="65">
        <v>0.05</v>
      </c>
      <c r="Q11" s="8">
        <v>-2</v>
      </c>
      <c r="R11" s="11" t="b">
        <v>1</v>
      </c>
      <c r="S11" s="8" t="b">
        <v>0</v>
      </c>
      <c r="T11" s="8">
        <v>0</v>
      </c>
      <c r="U11" s="8">
        <v>9</v>
      </c>
      <c r="V11" s="11">
        <v>0</v>
      </c>
      <c r="W11" s="11">
        <v>0</v>
      </c>
      <c r="X11" s="10">
        <v>16</v>
      </c>
      <c r="Y11" s="147">
        <f>VLOOKUP(Table819[[#This Row],[Armor Level]],Table1217[#All],6,FALSE)</f>
        <v>0.43421052631578949</v>
      </c>
    </row>
    <row r="12" spans="1:25" x14ac:dyDescent="0.25">
      <c r="A12" s="22" t="s">
        <v>317</v>
      </c>
      <c r="B12" s="180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65.099999999999994</v>
      </c>
      <c r="C12" s="10">
        <v>4</v>
      </c>
      <c r="D12" s="39" t="s">
        <v>34</v>
      </c>
      <c r="E12" s="11">
        <v>40</v>
      </c>
      <c r="F12" s="31">
        <f>ROUNDDOWN(E12/VLOOKUP(D12,Table2[#All],2,FALSE),0)</f>
        <v>88</v>
      </c>
      <c r="G12" s="31">
        <f>ROUNDDOWN(E12/VLOOKUP(D12,Table2[#All],3,FALSE),0)</f>
        <v>100</v>
      </c>
      <c r="H12" s="31" t="str">
        <f>VLOOKUP(D12,Table2[#All],4,FALSE)</f>
        <v>Very Good</v>
      </c>
      <c r="I12" s="8">
        <v>7.2</v>
      </c>
      <c r="J12" s="35" t="str">
        <f>IF(C12&gt;5,E12*VLOOKUP(5,Table3[#All],2,FALSE),"N/A")</f>
        <v>N/A</v>
      </c>
      <c r="K12" s="35" t="str">
        <f>IF(C12 = 6,E12*VLOOKUP(4,Table3[#All],2,FALSE),IF(C12 =5,E12*VLOOKUP(4,Table4[#All],2,FALSE),"N/A"))</f>
        <v>N/A</v>
      </c>
      <c r="L12" s="33">
        <f>IF(C12 = 6,E12*VLOOKUP(3,Table3[#All],2,FALSE),IF(C12 =5,E12*VLOOKUP(3,Table4[#All],2,FALSE),IF(C12 =4,E12*VLOOKUP(3,Table5[#All],2,FALSE),"N/A")))</f>
        <v>12.8</v>
      </c>
      <c r="M12" s="34">
        <f>IF(C12 = 6,E12*VLOOKUP(2,Table3[#All],2,FALSE),IF(C12 =5,E12*VLOOKUP(2,Table4[#All],2,FALSE),IF(C12 =4,E12*VLOOKUP(2,Table5[#All],2,FALSE),IF(C12 =3,E12*VLOOKUP(2,Table6[#All],2,FALSE),"N/A"))))</f>
        <v>6.4</v>
      </c>
      <c r="N12" s="36">
        <f>IF(C12 = 6,E12*VLOOKUP(1,Table3[#All],2,FALSE),IF(C12 =5,E12*VLOOKUP(1,Table4[#All],2,FALSE),IF(C12 =4,E12*VLOOKUP(1,Table5[#All],2,FALSE),IF(C12 =3,E12*VLOOKUP(1,Table6[#All],2,FALSE),IF(C12 =2,E12*VLOOKUP(1,Table7[#All],2,FALSE),"N/A")))))</f>
        <v>1.6</v>
      </c>
      <c r="O12" s="65">
        <v>7.0000000000000007E-2</v>
      </c>
      <c r="P12" s="65">
        <v>0.05</v>
      </c>
      <c r="Q12" s="9">
        <v>-7</v>
      </c>
      <c r="R12" s="8" t="b">
        <v>0</v>
      </c>
      <c r="S12" s="8" t="b">
        <v>0</v>
      </c>
      <c r="T12" s="39">
        <v>2</v>
      </c>
      <c r="U12" s="9">
        <v>6</v>
      </c>
      <c r="V12" s="11">
        <v>0</v>
      </c>
      <c r="W12" s="11">
        <v>0</v>
      </c>
      <c r="X12" s="11">
        <v>14</v>
      </c>
      <c r="Y12" s="99">
        <f>VLOOKUP(Table819[[#This Row],[Armor Level]],Table1217[#All],6,FALSE)</f>
        <v>0.43421052631578949</v>
      </c>
    </row>
    <row r="13" spans="1:25" x14ac:dyDescent="0.25">
      <c r="A13" s="22" t="s">
        <v>231</v>
      </c>
      <c r="B13" s="33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61</v>
      </c>
      <c r="C13" s="10">
        <v>4</v>
      </c>
      <c r="D13" s="10" t="s">
        <v>8</v>
      </c>
      <c r="E13" s="9">
        <v>65</v>
      </c>
      <c r="F13" s="31">
        <f>ROUNDDOWN(E13/VLOOKUP(D13,Table2[#All],2,FALSE),0)</f>
        <v>92</v>
      </c>
      <c r="G13" s="31">
        <f>ROUNDDOWN(E13/VLOOKUP(D13,Table2[#All],3,FALSE),0)</f>
        <v>108</v>
      </c>
      <c r="H13" s="32" t="str">
        <f>VLOOKUP(D13,Table2[#All],4,FALSE)</f>
        <v>Very Good</v>
      </c>
      <c r="I13" s="8">
        <v>8.3000000000000007</v>
      </c>
      <c r="J13" s="35" t="e">
        <f>IF(C13&gt;5,E13*VLOOKUP(5,Table3[#All],2,FALSE),NA())</f>
        <v>#N/A</v>
      </c>
      <c r="K13" s="35" t="e">
        <f>IF(C13 = 6,E13*VLOOKUP(4,Table3[#All],2,FALSE),IF(C13 =5,E13*VLOOKUP(4,Table4[#All],2,FALSE),NA()))</f>
        <v>#N/A</v>
      </c>
      <c r="L13" s="33">
        <f>IF(C13 = 6,E13*VLOOKUP(3,Table3[#All],2,FALSE),IF(C13 =5,E13*VLOOKUP(3,Table4[#All],2,FALSE),IF(C13 =4,E13*VLOOKUP(3,Table5[#All],2,FALSE),NA())))</f>
        <v>20.8</v>
      </c>
      <c r="M13" s="34">
        <f>IF(C13 = 6,E13*VLOOKUP(2,Table3[#All],2,FALSE),IF(C13 =5,E13*VLOOKUP(2,Table4[#All],2,FALSE),IF(C13 =4,E13*VLOOKUP(2,Table5[#All],2,FALSE),IF(C13 =3,E13*VLOOKUP(2,Table6[#All],2,FALSE),NA()))))</f>
        <v>10.4</v>
      </c>
      <c r="N13" s="12">
        <f>IF(C13 = 6,E13*VLOOKUP(1,Table3[#All],2,FALSE),IF(C13 =5,E13*VLOOKUP(1,Table4[#All],2,FALSE),IF(C13 =4,E13*VLOOKUP(1,Table5[#All],2,FALSE),IF(C13 =3,E13*VLOOKUP(1,Table6[#All],2,FALSE),IF(C13 =2,E13*VLOOKUP(1,Table7[#All],2,FALSE),NA())))))</f>
        <v>2.6</v>
      </c>
      <c r="O13" s="69">
        <v>0.1</v>
      </c>
      <c r="P13" s="65">
        <v>0.05</v>
      </c>
      <c r="Q13" s="9">
        <v>-5</v>
      </c>
      <c r="R13" s="11" t="b">
        <v>1</v>
      </c>
      <c r="S13" s="8" t="b">
        <v>0</v>
      </c>
      <c r="T13" s="10">
        <v>4</v>
      </c>
      <c r="U13" s="10">
        <v>4</v>
      </c>
      <c r="V13" s="11">
        <v>0</v>
      </c>
      <c r="W13" s="8">
        <v>2</v>
      </c>
      <c r="X13" s="9">
        <v>20</v>
      </c>
      <c r="Y13" s="147">
        <f>VLOOKUP(Table819[[#This Row],[Armor Level]],Table1217[#All],6,FALSE)</f>
        <v>0.43421052631578949</v>
      </c>
    </row>
    <row r="14" spans="1:25" x14ac:dyDescent="0.25">
      <c r="A14" s="22" t="s">
        <v>318</v>
      </c>
      <c r="B14" s="180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56.5</v>
      </c>
      <c r="C14" s="10">
        <v>4</v>
      </c>
      <c r="D14" s="39" t="s">
        <v>13</v>
      </c>
      <c r="E14" s="11">
        <v>45</v>
      </c>
      <c r="F14" s="31">
        <f>ROUNDDOWN(E14/VLOOKUP(D14,Table2[#All],2,FALSE),0)</f>
        <v>75</v>
      </c>
      <c r="G14" s="33">
        <f>ROUNDDOWN(E14/VLOOKUP(D14,Table2[#All],3,FALSE),0)</f>
        <v>75</v>
      </c>
      <c r="H14" s="31" t="str">
        <f>VLOOKUP(D14,Table2[#All],4,FALSE)</f>
        <v>Good</v>
      </c>
      <c r="I14" s="8">
        <v>6.5</v>
      </c>
      <c r="J14" s="35" t="str">
        <f>IF(C14&gt;5,E14*VLOOKUP(5,Table3[#All],2,FALSE),"N/A")</f>
        <v>N/A</v>
      </c>
      <c r="K14" s="35" t="str">
        <f>IF(C14 = 6,E14*VLOOKUP(4,Table3[#All],2,FALSE),IF(C14 =5,E14*VLOOKUP(4,Table4[#All],2,FALSE),"N/A"))</f>
        <v>N/A</v>
      </c>
      <c r="L14" s="33">
        <f>IF(C14 = 6,E14*VLOOKUP(3,Table3[#All],2,FALSE),IF(C14 =5,E14*VLOOKUP(3,Table4[#All],2,FALSE),IF(C14 =4,E14*VLOOKUP(3,Table5[#All],2,FALSE),"N/A")))</f>
        <v>14.4</v>
      </c>
      <c r="M14" s="34">
        <f>IF(C14 = 6,E14*VLOOKUP(2,Table3[#All],2,FALSE),IF(C14 =5,E14*VLOOKUP(2,Table4[#All],2,FALSE),IF(C14 =4,E14*VLOOKUP(2,Table5[#All],2,FALSE),IF(C14 =3,E14*VLOOKUP(2,Table6[#All],2,FALSE),"N/A"))))</f>
        <v>7.2</v>
      </c>
      <c r="N14" s="36">
        <f>IF(C14 = 6,E14*VLOOKUP(1,Table3[#All],2,FALSE),IF(C14 =5,E14*VLOOKUP(1,Table4[#All],2,FALSE),IF(C14 =4,E14*VLOOKUP(1,Table5[#All],2,FALSE),IF(C14 =3,E14*VLOOKUP(1,Table6[#All],2,FALSE),IF(C14 =2,E14*VLOOKUP(1,Table7[#All],2,FALSE),"N/A")))))</f>
        <v>1.8</v>
      </c>
      <c r="O14" s="65">
        <v>0.06</v>
      </c>
      <c r="P14" s="65">
        <v>0.04</v>
      </c>
      <c r="Q14" s="8">
        <v>-3</v>
      </c>
      <c r="R14" s="11" t="b">
        <v>1</v>
      </c>
      <c r="S14" s="8" t="b">
        <v>0</v>
      </c>
      <c r="T14" s="10">
        <v>4</v>
      </c>
      <c r="U14" s="10">
        <v>0</v>
      </c>
      <c r="V14" s="9">
        <v>3</v>
      </c>
      <c r="W14" s="9">
        <v>1</v>
      </c>
      <c r="X14" s="10">
        <v>17</v>
      </c>
      <c r="Y14" s="99">
        <f>VLOOKUP(Table819[[#This Row],[Armor Level]],Table1217[#All],6,FALSE)</f>
        <v>0.43421052631578949</v>
      </c>
    </row>
    <row r="15" spans="1:25" x14ac:dyDescent="0.25">
      <c r="A15" s="171" t="s">
        <v>233</v>
      </c>
      <c r="B15" s="34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37.4</v>
      </c>
      <c r="C15" s="10">
        <v>4</v>
      </c>
      <c r="D15" s="39" t="s">
        <v>5</v>
      </c>
      <c r="E15" s="11">
        <v>40</v>
      </c>
      <c r="F15" s="33">
        <f>ROUNDDOWN(E15/VLOOKUP(D15,Table2[#All],2,FALSE),0)</f>
        <v>72</v>
      </c>
      <c r="G15" s="33">
        <f>ROUNDDOWN(E15/VLOOKUP(D15,Table2[#All],3,FALSE),0)</f>
        <v>80</v>
      </c>
      <c r="H15" s="31" t="str">
        <f>VLOOKUP(D15,Table2[#All],4,FALSE)</f>
        <v>Good</v>
      </c>
      <c r="I15" s="8">
        <v>9.1999999999999993</v>
      </c>
      <c r="J15" s="35" t="e">
        <f>IF(C15&gt;5,E15*VLOOKUP(5,Table3[#All],2,FALSE),NA())</f>
        <v>#N/A</v>
      </c>
      <c r="K15" s="35" t="e">
        <f>IF(C15 = 6,E15*VLOOKUP(4,Table3[#All],2,FALSE),IF(C15 =5,E15*VLOOKUP(4,Table4[#All],2,FALSE),NA()))</f>
        <v>#N/A</v>
      </c>
      <c r="L15" s="33">
        <f>IF(C15 = 6,E15*VLOOKUP(3,Table3[#All],2,FALSE),IF(C15 =5,E15*VLOOKUP(3,Table4[#All],2,FALSE),IF(C15 =4,E15*VLOOKUP(3,Table5[#All],2,FALSE),NA())))</f>
        <v>12.8</v>
      </c>
      <c r="M15" s="34">
        <f>IF(C15 = 6,E15*VLOOKUP(2,Table3[#All],2,FALSE),IF(C15 =5,E15*VLOOKUP(2,Table4[#All],2,FALSE),IF(C15 =4,E15*VLOOKUP(2,Table5[#All],2,FALSE),IF(C15 =3,E15*VLOOKUP(2,Table6[#All],2,FALSE),NA()))))</f>
        <v>6.4</v>
      </c>
      <c r="N15" s="12">
        <f>IF(C15 = 6,E15*VLOOKUP(1,Table3[#All],2,FALSE),IF(C15 =5,E15*VLOOKUP(1,Table4[#All],2,FALSE),IF(C15 =4,E15*VLOOKUP(1,Table5[#All],2,FALSE),IF(C15 =3,E15*VLOOKUP(1,Table6[#All],2,FALSE),IF(C15 =2,E15*VLOOKUP(1,Table7[#All],2,FALSE),NA())))))</f>
        <v>1.6</v>
      </c>
      <c r="O15" s="69">
        <v>0.1</v>
      </c>
      <c r="P15" s="65">
        <v>0.05</v>
      </c>
      <c r="Q15" s="11">
        <v>-15</v>
      </c>
      <c r="R15" s="11" t="b">
        <v>1</v>
      </c>
      <c r="S15" s="8" t="b">
        <v>0</v>
      </c>
      <c r="T15" s="10">
        <v>4</v>
      </c>
      <c r="U15" s="10">
        <v>4</v>
      </c>
      <c r="V15" s="11">
        <v>0</v>
      </c>
      <c r="W15" s="11">
        <v>0</v>
      </c>
      <c r="X15" s="11">
        <v>12</v>
      </c>
      <c r="Y15" s="176">
        <f>VLOOKUP(Table819[[#This Row],[Armor Level]],Table1217[#All],6,FALSE)</f>
        <v>0.43421052631578949</v>
      </c>
    </row>
    <row r="16" spans="1:25" x14ac:dyDescent="0.25">
      <c r="A16" s="170" t="s">
        <v>234</v>
      </c>
      <c r="B16" s="40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32.6</v>
      </c>
      <c r="C16" s="177">
        <v>3</v>
      </c>
      <c r="D16" s="44" t="s">
        <v>5</v>
      </c>
      <c r="E16" s="158">
        <v>80</v>
      </c>
      <c r="F16" s="42">
        <f>ROUNDDOWN(E16/VLOOKUP(D16,Table2[#All],2,FALSE),0)</f>
        <v>145</v>
      </c>
      <c r="G16" s="172">
        <f>ROUNDDOWN(E16/VLOOKUP(D16,Table2[#All],3,FALSE),0)</f>
        <v>160</v>
      </c>
      <c r="H16" s="42" t="str">
        <f>VLOOKUP(D16,Table2[#All],4,FALSE)</f>
        <v>Good</v>
      </c>
      <c r="I16" s="15">
        <v>7.1</v>
      </c>
      <c r="J16" s="41" t="e">
        <f>IF(C16&gt;5,E16*VLOOKUP(5,Table3[#All],2,FALSE),NA())</f>
        <v>#N/A</v>
      </c>
      <c r="K16" s="41" t="e">
        <f>IF(C16 = 6,E16*VLOOKUP(4,Table3[#All],2,FALSE),IF(C16 =5,E16*VLOOKUP(4,Table4[#All],2,FALSE),NA()))</f>
        <v>#N/A</v>
      </c>
      <c r="L16" s="41" t="e">
        <f>IF(C16 = 6,E16*VLOOKUP(3,Table3[#All],2,FALSE),IF(C16 =5,E16*VLOOKUP(3,Table4[#All],2,FALSE),IF(C16 =4,E16*VLOOKUP(3,Table5[#All],2,FALSE),NA())))</f>
        <v>#N/A</v>
      </c>
      <c r="M16" s="40">
        <f>IF(C16 = 6,E16*VLOOKUP(2,Table3[#All],2,FALSE),IF(C16 =5,E16*VLOOKUP(2,Table4[#All],2,FALSE),IF(C16 =4,E16*VLOOKUP(2,Table5[#All],2,FALSE),IF(C16 =3,E16*VLOOKUP(2,Table6[#All],2,FALSE),NA()))))</f>
        <v>20</v>
      </c>
      <c r="N16" s="18">
        <f>IF(C16 = 6,E16*VLOOKUP(1,Table3[#All],2,FALSE),IF(C16 =5,E16*VLOOKUP(1,Table4[#All],2,FALSE),IF(C16 =4,E16*VLOOKUP(1,Table5[#All],2,FALSE),IF(C16 =3,E16*VLOOKUP(1,Table6[#All],2,FALSE),IF(C16 =2,E16*VLOOKUP(1,Table7[#All],2,FALSE),NA())))))</f>
        <v>4</v>
      </c>
      <c r="O16" s="173">
        <v>0.09</v>
      </c>
      <c r="P16" s="129">
        <v>0.05</v>
      </c>
      <c r="Q16" s="178">
        <v>-12</v>
      </c>
      <c r="R16" s="19" t="b">
        <v>1</v>
      </c>
      <c r="S16" s="15" t="b">
        <v>0</v>
      </c>
      <c r="T16" s="174">
        <v>2</v>
      </c>
      <c r="U16" s="17">
        <v>4</v>
      </c>
      <c r="V16" s="19">
        <v>0</v>
      </c>
      <c r="W16" s="19">
        <v>0</v>
      </c>
      <c r="X16" s="19">
        <v>10</v>
      </c>
      <c r="Y16" s="175">
        <f>VLOOKUP(Table819[[#This Row],[Armor Level]],Table1217[#All],6,FALSE)</f>
        <v>0.63157894736842102</v>
      </c>
    </row>
    <row r="17" spans="1:25" x14ac:dyDescent="0.25">
      <c r="A17" s="171" t="s">
        <v>232</v>
      </c>
      <c r="B17" s="54">
        <f>ROUNDDOWN(((Table819[[#This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 - (Table819[[#This Row],[Armor Level]]*(IF(Table819[[#This Row],[Stomach]],Table819[[#This Row],[Effective Durability]]/2,Table819[[#This Row],[Effective Durability]]) + IF(Table819[[#This Row],[Arms]],Table819[[#This Row],[Effective Durability]]/4,Table819[[#This Row],[Effective Durability]])/2)/Table819[[#This Row],[Weight]])*Table819[[#This Row],[Movement Speed]] + (Table819[[#This Row],[Total Slots]]/2)*5 + 5*Table819[[#This Row],[4 Slots]] + 3*Table819[[#This Row],[3 Slots]] + 2*Table819[[#This Row],[2 Slots]])*(100%-Table819[[#This Row],[% Common penetrating rounds]]),1)</f>
        <v>28.5</v>
      </c>
      <c r="C17" s="17">
        <v>4</v>
      </c>
      <c r="D17" s="19" t="s">
        <v>6</v>
      </c>
      <c r="E17" s="178">
        <v>50</v>
      </c>
      <c r="F17" s="40">
        <f>ROUNDDOWN(E17/VLOOKUP(D17,Table2[#All],2,FALSE),0)</f>
        <v>62</v>
      </c>
      <c r="G17" s="166">
        <f>ROUNDDOWN(E17/VLOOKUP(D17,Table2[#All],3,FALSE),0)</f>
        <v>71</v>
      </c>
      <c r="H17" s="40" t="str">
        <f>VLOOKUP(D17,Table2[#All],4,FALSE)</f>
        <v>Bad</v>
      </c>
      <c r="I17" s="17">
        <v>12.2</v>
      </c>
      <c r="J17" s="41" t="e">
        <f>IF(C17&gt;5,E17*VLOOKUP(5,Table3[#All],2,FALSE),NA())</f>
        <v>#N/A</v>
      </c>
      <c r="K17" s="41" t="e">
        <f>IF(C17 = 6,E17*VLOOKUP(4,Table3[#All],2,FALSE),IF(C17 =5,E17*VLOOKUP(4,Table4[#All],2,FALSE),NA()))</f>
        <v>#N/A</v>
      </c>
      <c r="L17" s="53">
        <f>IF(C17 = 6,E17*VLOOKUP(3,Table3[#All],2,FALSE),IF(C17 =5,E17*VLOOKUP(3,Table4[#All],2,FALSE),IF(C17 =4,E17*VLOOKUP(3,Table5[#All],2,FALSE),NA())))</f>
        <v>16</v>
      </c>
      <c r="M17" s="40">
        <f>IF(C17 = 6,E17*VLOOKUP(2,Table3[#All],2,FALSE),IF(C17 =5,E17*VLOOKUP(2,Table4[#All],2,FALSE),IF(C17 =4,E17*VLOOKUP(2,Table5[#All],2,FALSE),IF(C17 =3,E17*VLOOKUP(2,Table6[#All],2,FALSE),NA()))))</f>
        <v>8</v>
      </c>
      <c r="N17" s="18">
        <f>IF(C17 = 6,E17*VLOOKUP(1,Table3[#All],2,FALSE),IF(C17 =5,E17*VLOOKUP(1,Table4[#All],2,FALSE),IF(C17 =4,E17*VLOOKUP(1,Table5[#All],2,FALSE),IF(C17 =3,E17*VLOOKUP(1,Table6[#All],2,FALSE),IF(C17 =2,E17*VLOOKUP(1,Table7[#All],2,FALSE),NA())))))</f>
        <v>2</v>
      </c>
      <c r="O17" s="179">
        <v>0.14000000000000001</v>
      </c>
      <c r="P17" s="129">
        <v>7.0000000000000007E-2</v>
      </c>
      <c r="Q17" s="178">
        <v>-12</v>
      </c>
      <c r="R17" s="19" t="b">
        <v>1</v>
      </c>
      <c r="S17" s="15" t="b">
        <v>0</v>
      </c>
      <c r="T17" s="174">
        <v>2</v>
      </c>
      <c r="U17" s="17">
        <v>4</v>
      </c>
      <c r="V17" s="19">
        <v>0</v>
      </c>
      <c r="W17" s="19">
        <v>0</v>
      </c>
      <c r="X17" s="19">
        <v>10</v>
      </c>
      <c r="Y17" s="176">
        <f>VLOOKUP(Table819[[#This Row],[Armor Level]],Table1217[#All],6,FALSE)</f>
        <v>0.43421052631578949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ADD0-0FA9-4DD8-9A63-FD2E7A73F111}">
  <dimension ref="A1:AC34"/>
  <sheetViews>
    <sheetView zoomScale="85" zoomScaleNormal="85" workbookViewId="0">
      <selection activeCell="I12" sqref="I12"/>
    </sheetView>
  </sheetViews>
  <sheetFormatPr defaultRowHeight="15" x14ac:dyDescent="0.25"/>
  <cols>
    <col min="1" max="1" width="44.7109375" bestFit="1" customWidth="1"/>
    <col min="2" max="2" width="17.5703125" customWidth="1"/>
    <col min="3" max="3" width="16.5703125" bestFit="1" customWidth="1"/>
    <col min="4" max="4" width="20.140625" bestFit="1" customWidth="1"/>
    <col min="5" max="5" width="22.85546875" bestFit="1" customWidth="1"/>
    <col min="6" max="6" width="23" bestFit="1" customWidth="1"/>
    <col min="7" max="7" width="23.5703125" bestFit="1" customWidth="1"/>
    <col min="8" max="8" width="17.140625" bestFit="1" customWidth="1"/>
    <col min="9" max="9" width="12.5703125" bestFit="1" customWidth="1"/>
    <col min="10" max="11" width="11.5703125" bestFit="1" customWidth="1"/>
    <col min="12" max="12" width="11.42578125" customWidth="1"/>
    <col min="13" max="14" width="11.5703125" bestFit="1" customWidth="1"/>
    <col min="15" max="15" width="20" bestFit="1" customWidth="1"/>
    <col min="16" max="16" width="20.28515625" bestFit="1" customWidth="1"/>
    <col min="17" max="17" width="19.42578125" bestFit="1" customWidth="1"/>
    <col min="18" max="18" width="21.5703125" bestFit="1" customWidth="1"/>
    <col min="19" max="19" width="15.7109375" customWidth="1"/>
    <col min="20" max="20" width="16.140625" bestFit="1" customWidth="1"/>
    <col min="21" max="21" width="9.5703125" bestFit="1" customWidth="1"/>
    <col min="22" max="22" width="10.85546875" bestFit="1" customWidth="1"/>
    <col min="23" max="23" width="10" bestFit="1" customWidth="1"/>
    <col min="24" max="24" width="10.42578125" bestFit="1" customWidth="1"/>
    <col min="25" max="25" width="10.5703125" bestFit="1" customWidth="1"/>
    <col min="26" max="26" width="19.85546875" bestFit="1" customWidth="1"/>
    <col min="27" max="27" width="24.140625" bestFit="1" customWidth="1"/>
    <col min="28" max="28" width="33.5703125" bestFit="1" customWidth="1"/>
  </cols>
  <sheetData>
    <row r="1" spans="1:29" ht="18.75" x14ac:dyDescent="0.3">
      <c r="A1" s="45" t="s">
        <v>71</v>
      </c>
      <c r="B1" s="1"/>
      <c r="C1" s="1"/>
      <c r="D1" s="1"/>
      <c r="E1" s="1"/>
      <c r="F1" s="1"/>
      <c r="G1" s="1"/>
      <c r="H1" s="1"/>
      <c r="I1" s="1"/>
      <c r="J1" s="1"/>
      <c r="K1" s="45"/>
      <c r="L1" s="45" t="s">
        <v>70</v>
      </c>
      <c r="M1" s="1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x14ac:dyDescent="0.25">
      <c r="A2" s="38" t="s">
        <v>50</v>
      </c>
      <c r="B2" s="52" t="s">
        <v>73</v>
      </c>
      <c r="C2" s="38" t="s">
        <v>20</v>
      </c>
      <c r="D2" s="38" t="s">
        <v>2</v>
      </c>
      <c r="E2" s="38" t="s">
        <v>18</v>
      </c>
      <c r="F2" s="38" t="s">
        <v>19</v>
      </c>
      <c r="G2" s="38" t="s">
        <v>22</v>
      </c>
      <c r="H2" s="38" t="s">
        <v>9</v>
      </c>
      <c r="I2" s="38" t="s">
        <v>31</v>
      </c>
      <c r="J2" s="38" t="s">
        <v>23</v>
      </c>
      <c r="K2" s="38" t="s">
        <v>24</v>
      </c>
      <c r="L2" s="38" t="s">
        <v>25</v>
      </c>
      <c r="M2" s="38" t="s">
        <v>26</v>
      </c>
      <c r="N2" s="38" t="s">
        <v>27</v>
      </c>
      <c r="O2" s="38" t="s">
        <v>51</v>
      </c>
      <c r="P2" s="38" t="s">
        <v>52</v>
      </c>
      <c r="Q2" s="38" t="s">
        <v>53</v>
      </c>
      <c r="R2" s="38" t="s">
        <v>29</v>
      </c>
      <c r="S2" s="38" t="s">
        <v>28</v>
      </c>
      <c r="T2" s="38" t="s">
        <v>30</v>
      </c>
      <c r="U2" s="38" t="s">
        <v>192</v>
      </c>
      <c r="V2" s="6" t="s">
        <v>46</v>
      </c>
      <c r="W2" s="6" t="s">
        <v>47</v>
      </c>
      <c r="X2" s="6" t="s">
        <v>48</v>
      </c>
      <c r="Y2" s="7" t="s">
        <v>49</v>
      </c>
      <c r="Z2" s="6" t="s">
        <v>59</v>
      </c>
      <c r="AA2" s="13" t="s">
        <v>60</v>
      </c>
      <c r="AB2" s="52" t="s">
        <v>307</v>
      </c>
      <c r="AC2" s="6"/>
    </row>
    <row r="3" spans="1:29" x14ac:dyDescent="0.25">
      <c r="A3" s="31" t="s">
        <v>268</v>
      </c>
      <c r="B3" s="150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128.4</v>
      </c>
      <c r="C3" s="9">
        <v>5</v>
      </c>
      <c r="D3" s="39" t="s">
        <v>5</v>
      </c>
      <c r="E3" s="39">
        <v>50</v>
      </c>
      <c r="F3" s="32">
        <f>ROUNDDOWN(E3/VLOOKUP(D3,Table2[#All],2,FALSE),0)</f>
        <v>90</v>
      </c>
      <c r="G3" s="32">
        <f>ROUNDDOWN(E3/VLOOKUP(D3,Table2[#All],3,FALSE),0)</f>
        <v>100</v>
      </c>
      <c r="H3" s="31" t="str">
        <f>VLOOKUP(D3,Table2[#All],4,FALSE)</f>
        <v>Good</v>
      </c>
      <c r="I3" s="11">
        <v>2.5</v>
      </c>
      <c r="J3" s="35" t="e">
        <f>IF(C3&gt;5,E3*VLOOKUP(5,Table3[#All],2,FALSE),NA())</f>
        <v>#N/A</v>
      </c>
      <c r="K3" s="31">
        <f>IF(C3 = 6,E3*VLOOKUP(4,Table3[#All],2,FALSE),IF(C3 =5,E3*VLOOKUP(4,Table4[#All],2,FALSE),NA()))</f>
        <v>20</v>
      </c>
      <c r="L3" s="33">
        <f>IF(C3 = 6,E3*VLOOKUP(3,Table3[#All],2,FALSE),IF(C3 =5,E3*VLOOKUP(3,Table4[#All],2,FALSE),IF(C3 =4,E3*VLOOKUP(3,Table5[#All],2,FALSE),NA())))</f>
        <v>10</v>
      </c>
      <c r="M3" s="34">
        <f>IF(C3 = 6,E3*VLOOKUP(2,Table3[#All],2,FALSE),IF(C3 =5,E3*VLOOKUP(2,Table4[#All],2,FALSE),IF(C3 =4,E3*VLOOKUP(2,Table5[#All],2,FALSE),IF(C3 =3,E3*VLOOKUP(2,Table6[#All],2,FALSE),NA()))))</f>
        <v>5</v>
      </c>
      <c r="N3" s="36">
        <f>IF(C3 = 6,E3*VLOOKUP(1,Table3[#All],2,FALSE),IF(C3 =5,E3*VLOOKUP(1,Table4[#All],2,FALSE),IF(C3 =4,E3*VLOOKUP(1,Table5[#All],2,FALSE),IF(C3 =3,E3*VLOOKUP(1,Table6[#All],2,FALSE),IF(C3 =2,E3*VLOOKUP(1,Table7[#All],2,FALSE),NA())))))</f>
        <v>1</v>
      </c>
      <c r="O3" s="8" t="s">
        <v>55</v>
      </c>
      <c r="P3" s="12" t="s">
        <v>55</v>
      </c>
      <c r="Q3" s="12" t="b">
        <v>1</v>
      </c>
      <c r="R3" s="65">
        <v>0.03</v>
      </c>
      <c r="S3" s="69">
        <v>0.08</v>
      </c>
      <c r="T3" s="10">
        <v>-4</v>
      </c>
      <c r="U3" s="8" t="b">
        <v>1</v>
      </c>
      <c r="V3" s="8" t="b">
        <v>1</v>
      </c>
      <c r="W3" s="8" t="b">
        <v>1</v>
      </c>
      <c r="X3" s="10" t="b">
        <v>0</v>
      </c>
      <c r="Y3" s="28" t="b">
        <v>0</v>
      </c>
      <c r="Z3" s="48" t="b">
        <v>0</v>
      </c>
      <c r="AA3" s="69">
        <v>0</v>
      </c>
      <c r="AB3" s="97">
        <f>VLOOKUP(Table921[[#This Row],[Armor Level]],Table1217[#All],6,FALSE)</f>
        <v>0.21052631578947367</v>
      </c>
      <c r="AC3" s="1"/>
    </row>
    <row r="4" spans="1:29" x14ac:dyDescent="0.25">
      <c r="A4" s="33" t="s">
        <v>280</v>
      </c>
      <c r="B4" s="32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100.3</v>
      </c>
      <c r="C4" s="10">
        <v>4</v>
      </c>
      <c r="D4" s="39" t="s">
        <v>4</v>
      </c>
      <c r="E4" s="39">
        <v>50</v>
      </c>
      <c r="F4" s="32">
        <f>ROUNDDOWN(E4/VLOOKUP(D4,Table2[#All],2,FALSE),0)</f>
        <v>100</v>
      </c>
      <c r="G4" s="32">
        <f>ROUNDDOWN(E4/VLOOKUP(D4,Table2[#All],3,FALSE),0)</f>
        <v>125</v>
      </c>
      <c r="H4" s="33" t="str">
        <f>VLOOKUP(D4,Table2[#All],4,FALSE)</f>
        <v>Average</v>
      </c>
      <c r="I4" s="9">
        <v>1.1200000000000001</v>
      </c>
      <c r="J4" s="35" t="e">
        <f>IF(C4&gt;5,E4*VLOOKUP(5,Table3[#All],2,FALSE),NA())</f>
        <v>#N/A</v>
      </c>
      <c r="K4" s="35" t="e">
        <f>IF(C4 = 6,E4*VLOOKUP(4,Table3[#All],2,FALSE),IF(C4 =5,E4*VLOOKUP(4,Table4[#All],2,FALSE),NA()))</f>
        <v>#N/A</v>
      </c>
      <c r="L4" s="33">
        <f>IF(C4 = 6,E4*VLOOKUP(3,Table3[#All],2,FALSE),IF(C4 =5,E4*VLOOKUP(3,Table4[#All],2,FALSE),IF(C4 =4,E4*VLOOKUP(3,Table5[#All],2,FALSE),NA())))</f>
        <v>16</v>
      </c>
      <c r="M4" s="34">
        <f>IF(C4 = 6,E4*VLOOKUP(2,Table3[#All],2,FALSE),IF(C4 =5,E4*VLOOKUP(2,Table4[#All],2,FALSE),IF(C4 =4,E4*VLOOKUP(2,Table5[#All],2,FALSE),IF(C4 =3,E4*VLOOKUP(2,Table6[#All],2,FALSE),NA()))))</f>
        <v>8</v>
      </c>
      <c r="N4" s="36">
        <f>IF(C4 = 6,E4*VLOOKUP(1,Table3[#All],2,FALSE),IF(C4 =5,E4*VLOOKUP(1,Table4[#All],2,FALSE),IF(C4 =4,E4*VLOOKUP(1,Table5[#All],2,FALSE),IF(C4 =3,E4*VLOOKUP(1,Table6[#All],2,FALSE),IF(C4 =2,E4*VLOOKUP(1,Table7[#All],2,FALSE),NA())))))</f>
        <v>2</v>
      </c>
      <c r="O4" s="8" t="s">
        <v>55</v>
      </c>
      <c r="P4" s="8" t="s">
        <v>57</v>
      </c>
      <c r="Q4" s="8" t="b">
        <v>0</v>
      </c>
      <c r="R4" s="65">
        <v>0.02</v>
      </c>
      <c r="S4" s="69">
        <v>0.08</v>
      </c>
      <c r="T4" s="8">
        <v>-1</v>
      </c>
      <c r="U4" s="8" t="b">
        <v>1</v>
      </c>
      <c r="V4" s="8" t="b">
        <v>1</v>
      </c>
      <c r="W4" s="11" t="b">
        <v>0</v>
      </c>
      <c r="X4" s="10" t="b">
        <v>0</v>
      </c>
      <c r="Y4" s="28" t="b">
        <v>0</v>
      </c>
      <c r="Z4" s="48" t="b">
        <v>0</v>
      </c>
      <c r="AA4" s="69">
        <v>0</v>
      </c>
      <c r="AB4" s="99">
        <f>VLOOKUP(Table921[[#This Row],[Armor Level]],Table1217[#All],6,FALSE)</f>
        <v>0.43421052631578949</v>
      </c>
      <c r="AC4" s="1"/>
    </row>
    <row r="5" spans="1:29" x14ac:dyDescent="0.25">
      <c r="A5" s="33" t="s">
        <v>279</v>
      </c>
      <c r="B5" s="32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91.6</v>
      </c>
      <c r="C5" s="10">
        <v>4</v>
      </c>
      <c r="D5" s="39" t="s">
        <v>4</v>
      </c>
      <c r="E5" s="39">
        <v>45</v>
      </c>
      <c r="F5" s="32">
        <f>ROUNDDOWN(E5/VLOOKUP(D5,Table2[#All],2,FALSE),0)</f>
        <v>90</v>
      </c>
      <c r="G5" s="32">
        <f>ROUNDDOWN(E5/VLOOKUP(D5,Table2[#All],3,FALSE),0)</f>
        <v>112</v>
      </c>
      <c r="H5" s="33" t="str">
        <f>VLOOKUP(D5,Table2[#All],4,FALSE)</f>
        <v>Average</v>
      </c>
      <c r="I5" s="9">
        <v>1.18</v>
      </c>
      <c r="J5" s="35" t="e">
        <f>IF(C5&gt;5,E5*VLOOKUP(5,Table3[#All],2,FALSE),NA())</f>
        <v>#N/A</v>
      </c>
      <c r="K5" s="35" t="e">
        <f>IF(C5 = 6,E5*VLOOKUP(4,Table3[#All],2,FALSE),IF(C5 =5,E5*VLOOKUP(4,Table4[#All],2,FALSE),NA()))</f>
        <v>#N/A</v>
      </c>
      <c r="L5" s="33">
        <f>IF(C5 = 6,E5*VLOOKUP(3,Table3[#All],2,FALSE),IF(C5 =5,E5*VLOOKUP(3,Table4[#All],2,FALSE),IF(C5 =4,E5*VLOOKUP(3,Table5[#All],2,FALSE),NA())))</f>
        <v>14.4</v>
      </c>
      <c r="M5" s="34">
        <f>IF(C5 = 6,E5*VLOOKUP(2,Table3[#All],2,FALSE),IF(C5 =5,E5*VLOOKUP(2,Table4[#All],2,FALSE),IF(C5 =4,E5*VLOOKUP(2,Table5[#All],2,FALSE),IF(C5 =3,E5*VLOOKUP(2,Table6[#All],2,FALSE),NA()))))</f>
        <v>7.2</v>
      </c>
      <c r="N5" s="36">
        <f>IF(C5 = 6,E5*VLOOKUP(1,Table3[#All],2,FALSE),IF(C5 =5,E5*VLOOKUP(1,Table4[#All],2,FALSE),IF(C5 =4,E5*VLOOKUP(1,Table5[#All],2,FALSE),IF(C5 =3,E5*VLOOKUP(1,Table6[#All],2,FALSE),IF(C5 =2,E5*VLOOKUP(1,Table7[#All],2,FALSE),NA())))))</f>
        <v>1.8</v>
      </c>
      <c r="O5" s="8" t="s">
        <v>55</v>
      </c>
      <c r="P5" s="8" t="s">
        <v>57</v>
      </c>
      <c r="Q5" s="8" t="b">
        <v>0</v>
      </c>
      <c r="R5" s="66">
        <v>0.01</v>
      </c>
      <c r="S5" s="69">
        <v>0.06</v>
      </c>
      <c r="T5" s="10">
        <v>-4</v>
      </c>
      <c r="U5" s="8" t="b">
        <v>1</v>
      </c>
      <c r="V5" s="8" t="b">
        <v>1</v>
      </c>
      <c r="W5" s="11" t="b">
        <v>0</v>
      </c>
      <c r="X5" s="10" t="b">
        <v>0</v>
      </c>
      <c r="Y5" s="28" t="b">
        <v>0</v>
      </c>
      <c r="Z5" s="48" t="b">
        <v>0</v>
      </c>
      <c r="AA5" s="69">
        <v>0</v>
      </c>
      <c r="AB5" s="99">
        <f>VLOOKUP(Table921[[#This Row],[Armor Level]],Table1217[#All],6,FALSE)</f>
        <v>0.43421052631578949</v>
      </c>
      <c r="AC5" s="1"/>
    </row>
    <row r="6" spans="1:29" x14ac:dyDescent="0.25">
      <c r="A6" s="31" t="s">
        <v>295</v>
      </c>
      <c r="B6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88.6</v>
      </c>
      <c r="C6" s="9">
        <v>5</v>
      </c>
      <c r="D6" s="33" t="s">
        <v>8</v>
      </c>
      <c r="E6" s="9">
        <v>40</v>
      </c>
      <c r="F6" s="34">
        <f>ROUNDDOWN(E6/VLOOKUP(D6,Table2[#All],2,FALSE),0)</f>
        <v>57</v>
      </c>
      <c r="G6" s="31">
        <f>ROUNDDOWN(E6/VLOOKUP(D6,Table2[#All],3,FALSE),0)</f>
        <v>66</v>
      </c>
      <c r="H6" s="32" t="str">
        <f>VLOOKUP(D6,Table2[#All],4,FALSE)</f>
        <v>Very Good</v>
      </c>
      <c r="I6" s="10">
        <v>1.5</v>
      </c>
      <c r="J6" s="35" t="e">
        <f>IF(C6&gt;5,E6*VLOOKUP(5,Table3[#All],2,FALSE),NA())</f>
        <v>#N/A</v>
      </c>
      <c r="K6" s="31">
        <f>IF(C6 = 6,E6*VLOOKUP(4,Table3[#All],2,FALSE),IF(C6 =5,E6*VLOOKUP(4,Table4[#All],2,FALSE),NA()))</f>
        <v>16</v>
      </c>
      <c r="L6" s="33">
        <f>IF(C6 = 6,E6*VLOOKUP(3,Table3[#All],2,FALSE),IF(C6 =5,E6*VLOOKUP(3,Table4[#All],2,FALSE),IF(C6 =4,E6*VLOOKUP(3,Table5[#All],2,FALSE),NA())))</f>
        <v>8</v>
      </c>
      <c r="M6" s="34">
        <f>IF(C6 = 6,E6*VLOOKUP(2,Table3[#All],2,FALSE),IF(C6 =5,E6*VLOOKUP(2,Table4[#All],2,FALSE),IF(C6 =4,E6*VLOOKUP(2,Table5[#All],2,FALSE),IF(C6 =3,E6*VLOOKUP(2,Table6[#All],2,FALSE),NA()))))</f>
        <v>4</v>
      </c>
      <c r="N6" s="36">
        <f>IF(C6 = 6,E6*VLOOKUP(1,Table3[#All],2,FALSE),IF(C6 =5,E6*VLOOKUP(1,Table4[#All],2,FALSE),IF(C6 =4,E6*VLOOKUP(1,Table5[#All],2,FALSE),IF(C6 =3,E6*VLOOKUP(1,Table6[#All],2,FALSE),IF(C6 =2,E6*VLOOKUP(1,Table7[#All],2,FALSE),NA())))))</f>
        <v>0.8</v>
      </c>
      <c r="O6" s="8" t="s">
        <v>55</v>
      </c>
      <c r="P6" s="12" t="s">
        <v>55</v>
      </c>
      <c r="Q6" s="12" t="b">
        <v>1</v>
      </c>
      <c r="R6" s="68">
        <v>0.05</v>
      </c>
      <c r="S6" s="68">
        <v>0.1</v>
      </c>
      <c r="T6" s="12">
        <v>-10</v>
      </c>
      <c r="U6" s="8" t="b">
        <v>1</v>
      </c>
      <c r="V6" s="12" t="b">
        <v>0</v>
      </c>
      <c r="W6" s="8" t="b">
        <v>1</v>
      </c>
      <c r="X6" s="8" t="b">
        <v>1</v>
      </c>
      <c r="Y6" s="21" t="b">
        <v>1</v>
      </c>
      <c r="Z6" s="12" t="b">
        <v>1</v>
      </c>
      <c r="AA6" s="66">
        <v>0.7</v>
      </c>
      <c r="AB6" s="97">
        <f>VLOOKUP(Table921[[#This Row],[Armor Level]],Table1217[#All],6,FALSE)</f>
        <v>0.21052631578947367</v>
      </c>
      <c r="AC6" s="1"/>
    </row>
    <row r="7" spans="1:29" x14ac:dyDescent="0.25">
      <c r="A7" s="33" t="s">
        <v>278</v>
      </c>
      <c r="B7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87.8</v>
      </c>
      <c r="C7" s="10">
        <v>4</v>
      </c>
      <c r="D7" s="39" t="s">
        <v>4</v>
      </c>
      <c r="E7" s="39">
        <v>40</v>
      </c>
      <c r="F7" s="31">
        <f>ROUNDDOWN(E7/VLOOKUP(D7,Table2[#All],2,FALSE),0)</f>
        <v>80</v>
      </c>
      <c r="G7" s="32">
        <f>ROUNDDOWN(E7/VLOOKUP(D7,Table2[#All],3,FALSE),0)</f>
        <v>100</v>
      </c>
      <c r="H7" s="33" t="str">
        <f>VLOOKUP(D7,Table2[#All],4,FALSE)</f>
        <v>Average</v>
      </c>
      <c r="I7" s="8">
        <v>0.88</v>
      </c>
      <c r="J7" s="35" t="e">
        <f>IF(C7&gt;5,E7*VLOOKUP(5,Table3[#All],2,FALSE),NA())</f>
        <v>#N/A</v>
      </c>
      <c r="K7" s="35" t="e">
        <f>IF(C7 = 6,E7*VLOOKUP(4,Table3[#All],2,FALSE),IF(C7 =5,E7*VLOOKUP(4,Table4[#All],2,FALSE),NA()))</f>
        <v>#N/A</v>
      </c>
      <c r="L7" s="33">
        <f>IF(C7 = 6,E7*VLOOKUP(3,Table3[#All],2,FALSE),IF(C7 =5,E7*VLOOKUP(3,Table4[#All],2,FALSE),IF(C7 =4,E7*VLOOKUP(3,Table5[#All],2,FALSE),NA())))</f>
        <v>12.8</v>
      </c>
      <c r="M7" s="34">
        <f>IF(C7 = 6,E7*VLOOKUP(2,Table3[#All],2,FALSE),IF(C7 =5,E7*VLOOKUP(2,Table4[#All],2,FALSE),IF(C7 =4,E7*VLOOKUP(2,Table5[#All],2,FALSE),IF(C7 =3,E7*VLOOKUP(2,Table6[#All],2,FALSE),NA()))))</f>
        <v>6.4</v>
      </c>
      <c r="N7" s="36">
        <f>IF(C7 = 6,E7*VLOOKUP(1,Table3[#All],2,FALSE),IF(C7 =5,E7*VLOOKUP(1,Table4[#All],2,FALSE),IF(C7 =4,E7*VLOOKUP(1,Table5[#All],2,FALSE),IF(C7 =3,E7*VLOOKUP(1,Table6[#All],2,FALSE),IF(C7 =2,E7*VLOOKUP(1,Table7[#All],2,FALSE),NA())))))</f>
        <v>1.6</v>
      </c>
      <c r="O7" s="8" t="s">
        <v>55</v>
      </c>
      <c r="P7" s="8" t="s">
        <v>57</v>
      </c>
      <c r="Q7" s="8" t="b">
        <v>0</v>
      </c>
      <c r="R7" s="66">
        <v>0</v>
      </c>
      <c r="S7" s="65">
        <v>0.03</v>
      </c>
      <c r="T7" s="9">
        <v>-3</v>
      </c>
      <c r="U7" s="8" t="b">
        <v>1</v>
      </c>
      <c r="V7" s="8" t="b">
        <v>1</v>
      </c>
      <c r="W7" s="11" t="b">
        <v>0</v>
      </c>
      <c r="X7" s="10" t="b">
        <v>0</v>
      </c>
      <c r="Y7" s="28" t="b">
        <v>0</v>
      </c>
      <c r="Z7" s="8" t="b">
        <v>0</v>
      </c>
      <c r="AA7" s="69">
        <v>0</v>
      </c>
      <c r="AB7" s="99">
        <f>VLOOKUP(Table921[[#This Row],[Armor Level]],Table1217[#All],6,FALSE)</f>
        <v>0.43421052631578949</v>
      </c>
      <c r="AC7" s="1"/>
    </row>
    <row r="8" spans="1:29" x14ac:dyDescent="0.25">
      <c r="A8" s="33" t="s">
        <v>275</v>
      </c>
      <c r="B8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86.4</v>
      </c>
      <c r="C8" s="10">
        <v>4</v>
      </c>
      <c r="D8" s="39" t="s">
        <v>34</v>
      </c>
      <c r="E8" s="10">
        <v>38</v>
      </c>
      <c r="F8" s="31">
        <f>ROUNDDOWN(E8/VLOOKUP(D8,Table2[#All],2,FALSE),0)</f>
        <v>84</v>
      </c>
      <c r="G8" s="32">
        <f>ROUNDDOWN(E8/VLOOKUP(D8,Table2[#All],3,FALSE),0)</f>
        <v>95</v>
      </c>
      <c r="H8" s="32" t="str">
        <f>VLOOKUP(D8,Table2[#All],4,FALSE)</f>
        <v>Very Good</v>
      </c>
      <c r="I8" s="10">
        <v>1.9</v>
      </c>
      <c r="J8" s="35" t="e">
        <f>IF(C8&gt;5,E8*VLOOKUP(5,Table3[#All],2,FALSE),NA())</f>
        <v>#N/A</v>
      </c>
      <c r="K8" s="35" t="e">
        <f>IF(C8 = 6,E8*VLOOKUP(4,Table3[#All],2,FALSE),IF(C8 =5,E8*VLOOKUP(4,Table4[#All],2,FALSE),NA()))</f>
        <v>#N/A</v>
      </c>
      <c r="L8" s="33">
        <f>IF(C8 = 6,E8*VLOOKUP(3,Table3[#All],2,FALSE),IF(C8 =5,E8*VLOOKUP(3,Table4[#All],2,FALSE),IF(C8 =4,E8*VLOOKUP(3,Table5[#All],2,FALSE),NA())))</f>
        <v>12.16</v>
      </c>
      <c r="M8" s="34">
        <f>IF(C8 = 6,E8*VLOOKUP(2,Table3[#All],2,FALSE),IF(C8 =5,E8*VLOOKUP(2,Table4[#All],2,FALSE),IF(C8 =4,E8*VLOOKUP(2,Table5[#All],2,FALSE),IF(C8 =3,E8*VLOOKUP(2,Table6[#All],2,FALSE),NA()))))</f>
        <v>6.08</v>
      </c>
      <c r="N8" s="36">
        <f>IF(C8 = 6,E8*VLOOKUP(1,Table3[#All],2,FALSE),IF(C8 =5,E8*VLOOKUP(1,Table4[#All],2,FALSE),IF(C8 =4,E8*VLOOKUP(1,Table5[#All],2,FALSE),IF(C8 =3,E8*VLOOKUP(1,Table6[#All],2,FALSE),IF(C8 =2,E8*VLOOKUP(1,Table7[#All],2,FALSE),NA())))))</f>
        <v>1.52</v>
      </c>
      <c r="O8" s="8" t="s">
        <v>55</v>
      </c>
      <c r="P8" s="9" t="s">
        <v>58</v>
      </c>
      <c r="Q8" s="8" t="b">
        <v>0</v>
      </c>
      <c r="R8" s="65">
        <v>0.02</v>
      </c>
      <c r="S8" s="68">
        <v>0.1</v>
      </c>
      <c r="T8" s="10">
        <v>-4</v>
      </c>
      <c r="U8" s="8" t="b">
        <v>1</v>
      </c>
      <c r="V8" s="8" t="b">
        <v>1</v>
      </c>
      <c r="W8" s="8" t="b">
        <v>1</v>
      </c>
      <c r="X8" s="10" t="b">
        <v>0</v>
      </c>
      <c r="Y8" s="28" t="b">
        <v>0</v>
      </c>
      <c r="Z8" s="48" t="b">
        <v>0</v>
      </c>
      <c r="AA8" s="69">
        <v>0</v>
      </c>
      <c r="AB8" s="99">
        <f>VLOOKUP(Table921[[#This Row],[Armor Level]],Table1217[#All],6,FALSE)</f>
        <v>0.43421052631578949</v>
      </c>
      <c r="AC8" s="1"/>
    </row>
    <row r="9" spans="1:29" x14ac:dyDescent="0.25">
      <c r="A9" s="33" t="s">
        <v>277</v>
      </c>
      <c r="B9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84</v>
      </c>
      <c r="C9" s="10">
        <v>4</v>
      </c>
      <c r="D9" s="39" t="s">
        <v>4</v>
      </c>
      <c r="E9" s="39">
        <v>40</v>
      </c>
      <c r="F9" s="31">
        <f>ROUNDDOWN(E9/VLOOKUP(D9,Table2[#All],2,FALSE),0)</f>
        <v>80</v>
      </c>
      <c r="G9" s="32">
        <f>ROUNDDOWN(E9/VLOOKUP(D9,Table2[#All],3,FALSE),0)</f>
        <v>100</v>
      </c>
      <c r="H9" s="33" t="str">
        <f>VLOOKUP(D9,Table2[#All],4,FALSE)</f>
        <v>Average</v>
      </c>
      <c r="I9" s="8">
        <v>0.9</v>
      </c>
      <c r="J9" s="35" t="e">
        <f>IF(C9&gt;5,E9*VLOOKUP(5,Table3[#All],2,FALSE),NA())</f>
        <v>#N/A</v>
      </c>
      <c r="K9" s="35" t="e">
        <f>IF(C9 = 6,E9*VLOOKUP(4,Table3[#All],2,FALSE),IF(C9 =5,E9*VLOOKUP(4,Table4[#All],2,FALSE),NA()))</f>
        <v>#N/A</v>
      </c>
      <c r="L9" s="33">
        <f>IF(C9 = 6,E9*VLOOKUP(3,Table3[#All],2,FALSE),IF(C9 =5,E9*VLOOKUP(3,Table4[#All],2,FALSE),IF(C9 =4,E9*VLOOKUP(3,Table5[#All],2,FALSE),NA())))</f>
        <v>12.8</v>
      </c>
      <c r="M9" s="34">
        <f>IF(C9 = 6,E9*VLOOKUP(2,Table3[#All],2,FALSE),IF(C9 =5,E9*VLOOKUP(2,Table4[#All],2,FALSE),IF(C9 =4,E9*VLOOKUP(2,Table5[#All],2,FALSE),IF(C9 =3,E9*VLOOKUP(2,Table6[#All],2,FALSE),NA()))))</f>
        <v>6.4</v>
      </c>
      <c r="N9" s="36">
        <f>IF(C9 = 6,E9*VLOOKUP(1,Table3[#All],2,FALSE),IF(C9 =5,E9*VLOOKUP(1,Table4[#All],2,FALSE),IF(C9 =4,E9*VLOOKUP(1,Table5[#All],2,FALSE),IF(C9 =3,E9*VLOOKUP(1,Table6[#All],2,FALSE),IF(C9 =2,E9*VLOOKUP(1,Table7[#All],2,FALSE),NA())))))</f>
        <v>1.6</v>
      </c>
      <c r="O9" s="8" t="s">
        <v>55</v>
      </c>
      <c r="P9" s="8" t="s">
        <v>57</v>
      </c>
      <c r="Q9" s="8" t="b">
        <v>0</v>
      </c>
      <c r="R9" s="66">
        <v>0.01</v>
      </c>
      <c r="S9" s="69">
        <v>7.0000000000000007E-2</v>
      </c>
      <c r="T9" s="8">
        <v>0</v>
      </c>
      <c r="U9" s="8" t="b">
        <v>1</v>
      </c>
      <c r="V9" s="8" t="b">
        <v>1</v>
      </c>
      <c r="W9" s="11" t="b">
        <v>0</v>
      </c>
      <c r="X9" s="10" t="b">
        <v>0</v>
      </c>
      <c r="Y9" s="28" t="b">
        <v>0</v>
      </c>
      <c r="Z9" s="48" t="b">
        <v>0</v>
      </c>
      <c r="AA9" s="69">
        <v>0</v>
      </c>
      <c r="AB9" s="99">
        <f>VLOOKUP(Table921[[#This Row],[Armor Level]],Table1217[#All],6,FALSE)</f>
        <v>0.43421052631578949</v>
      </c>
      <c r="AC9" s="1"/>
    </row>
    <row r="10" spans="1:29" x14ac:dyDescent="0.25">
      <c r="A10" s="33" t="s">
        <v>276</v>
      </c>
      <c r="B10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81.8</v>
      </c>
      <c r="C10" s="10">
        <v>4</v>
      </c>
      <c r="D10" s="39" t="s">
        <v>4</v>
      </c>
      <c r="E10" s="39">
        <v>40</v>
      </c>
      <c r="F10" s="31">
        <f>ROUNDDOWN(E10/VLOOKUP(D10,Table2[#All],2,FALSE),0)</f>
        <v>80</v>
      </c>
      <c r="G10" s="32">
        <f>ROUNDDOWN(E10/VLOOKUP(D10,Table2[#All],3,FALSE),0)</f>
        <v>100</v>
      </c>
      <c r="H10" s="33" t="str">
        <f>VLOOKUP(D10,Table2[#All],4,FALSE)</f>
        <v>Average</v>
      </c>
      <c r="I10" s="8">
        <v>0.96</v>
      </c>
      <c r="J10" s="35" t="e">
        <f>IF(C10&gt;5,E10*VLOOKUP(5,Table3[#All],2,FALSE),NA())</f>
        <v>#N/A</v>
      </c>
      <c r="K10" s="35" t="e">
        <f>IF(C10 = 6,E10*VLOOKUP(4,Table3[#All],2,FALSE),IF(C10 =5,E10*VLOOKUP(4,Table4[#All],2,FALSE),NA()))</f>
        <v>#N/A</v>
      </c>
      <c r="L10" s="33">
        <f>IF(C10 = 6,E10*VLOOKUP(3,Table3[#All],2,FALSE),IF(C10 =5,E10*VLOOKUP(3,Table4[#All],2,FALSE),IF(C10 =4,E10*VLOOKUP(3,Table5[#All],2,FALSE),NA())))</f>
        <v>12.8</v>
      </c>
      <c r="M10" s="34">
        <f>IF(C10 = 6,E10*VLOOKUP(2,Table3[#All],2,FALSE),IF(C10 =5,E10*VLOOKUP(2,Table4[#All],2,FALSE),IF(C10 =4,E10*VLOOKUP(2,Table5[#All],2,FALSE),IF(C10 =3,E10*VLOOKUP(2,Table6[#All],2,FALSE),NA()))))</f>
        <v>6.4</v>
      </c>
      <c r="N10" s="36">
        <f>IF(C10 = 6,E10*VLOOKUP(1,Table3[#All],2,FALSE),IF(C10 =5,E10*VLOOKUP(1,Table4[#All],2,FALSE),IF(C10 =4,E10*VLOOKUP(1,Table5[#All],2,FALSE),IF(C10 =3,E10*VLOOKUP(1,Table6[#All],2,FALSE),IF(C10 =2,E10*VLOOKUP(1,Table7[#All],2,FALSE),NA())))))</f>
        <v>1.6</v>
      </c>
      <c r="O10" s="8" t="s">
        <v>55</v>
      </c>
      <c r="P10" s="8" t="s">
        <v>57</v>
      </c>
      <c r="Q10" s="8" t="b">
        <v>0</v>
      </c>
      <c r="R10" s="66">
        <v>0.01</v>
      </c>
      <c r="S10" s="69">
        <v>7.0000000000000007E-2</v>
      </c>
      <c r="T10" s="9">
        <v>-2</v>
      </c>
      <c r="U10" s="8" t="b">
        <v>1</v>
      </c>
      <c r="V10" s="8" t="b">
        <v>1</v>
      </c>
      <c r="W10" s="11" t="b">
        <v>0</v>
      </c>
      <c r="X10" s="10" t="b">
        <v>0</v>
      </c>
      <c r="Y10" s="28" t="b">
        <v>0</v>
      </c>
      <c r="Z10" s="48" t="b">
        <v>0</v>
      </c>
      <c r="AA10" s="69">
        <v>0</v>
      </c>
      <c r="AB10" s="99">
        <f>VLOOKUP(Table921[[#This Row],[Armor Level]],Table1217[#All],6,FALSE)</f>
        <v>0.43421052631578949</v>
      </c>
      <c r="AC10" s="1"/>
    </row>
    <row r="11" spans="1:29" x14ac:dyDescent="0.25">
      <c r="A11" s="34" t="s">
        <v>288</v>
      </c>
      <c r="B11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81.099999999999994</v>
      </c>
      <c r="C11" s="11">
        <v>3</v>
      </c>
      <c r="D11" s="32" t="s">
        <v>3</v>
      </c>
      <c r="E11" s="8">
        <v>60</v>
      </c>
      <c r="F11" s="32">
        <f>ROUNDDOWN(E11/VLOOKUP(D11,Table2[#All],2,FALSE),0)</f>
        <v>240</v>
      </c>
      <c r="G11" s="32">
        <f>ROUNDDOWN(E11/VLOOKUP(D11,Table2[#All],3,FALSE),0)</f>
        <v>300</v>
      </c>
      <c r="H11" s="31" t="str">
        <f>VLOOKUP(D11,Table2[#All],4,FALSE)</f>
        <v>Good</v>
      </c>
      <c r="I11" s="10">
        <v>1.6</v>
      </c>
      <c r="J11" s="35" t="e">
        <f>IF(C11&gt;5,E11*VLOOKUP(5,Table3[#All],2,FALSE),NA())</f>
        <v>#N/A</v>
      </c>
      <c r="K11" s="35" t="e">
        <f>IF(C11 = 6,E11*VLOOKUP(4,Table3[#All],2,FALSE),IF(C11 =5,E11*VLOOKUP(4,Table4[#All],2,FALSE),NA()))</f>
        <v>#N/A</v>
      </c>
      <c r="L11" s="35" t="e">
        <f>IF(C11 = 6,E11*VLOOKUP(3,Table3[#All],2,FALSE),IF(C11 =5,E11*VLOOKUP(3,Table4[#All],2,FALSE),IF(C11 =4,E11*VLOOKUP(3,Table5[#All],2,FALSE),NA())))</f>
        <v>#N/A</v>
      </c>
      <c r="M11" s="34">
        <f>IF(C11 = 6,E11*VLOOKUP(2,Table3[#All],2,FALSE),IF(C11 =5,E11*VLOOKUP(2,Table4[#All],2,FALSE),IF(C11 =4,E11*VLOOKUP(2,Table5[#All],2,FALSE),IF(C11 =3,E11*VLOOKUP(2,Table6[#All],2,FALSE),NA()))))</f>
        <v>15</v>
      </c>
      <c r="N11" s="36">
        <f>IF(C11 = 6,E11*VLOOKUP(1,Table3[#All],2,FALSE),IF(C11 =5,E11*VLOOKUP(1,Table4[#All],2,FALSE),IF(C11 =4,E11*VLOOKUP(1,Table5[#All],2,FALSE),IF(C11 =3,E11*VLOOKUP(1,Table6[#All],2,FALSE),IF(C11 =2,E11*VLOOKUP(1,Table7[#All],2,FALSE),NA())))))</f>
        <v>3</v>
      </c>
      <c r="O11" s="12" t="s">
        <v>57</v>
      </c>
      <c r="P11" s="12" t="s">
        <v>55</v>
      </c>
      <c r="Q11" s="12" t="b">
        <v>1</v>
      </c>
      <c r="R11" s="68">
        <v>0.05</v>
      </c>
      <c r="S11" s="68">
        <v>0.1</v>
      </c>
      <c r="T11" s="10">
        <v>-5</v>
      </c>
      <c r="U11" s="8" t="b">
        <v>1</v>
      </c>
      <c r="V11" s="8" t="b">
        <v>1</v>
      </c>
      <c r="W11" s="8" t="b">
        <v>1</v>
      </c>
      <c r="X11" s="8" t="b">
        <v>1</v>
      </c>
      <c r="Y11" s="21" t="b">
        <v>1</v>
      </c>
      <c r="Z11" s="49" t="b">
        <v>1</v>
      </c>
      <c r="AA11" s="69">
        <v>0</v>
      </c>
      <c r="AB11" s="101">
        <f>VLOOKUP(Table921[[#This Row],[Armor Level]],Table1217[#All],6,FALSE)</f>
        <v>0.63157894736842102</v>
      </c>
      <c r="AC11" s="1"/>
    </row>
    <row r="12" spans="1:29" x14ac:dyDescent="0.25">
      <c r="A12" s="32" t="s">
        <v>267</v>
      </c>
      <c r="B12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71.400000000000006</v>
      </c>
      <c r="C12" s="8">
        <v>6</v>
      </c>
      <c r="D12" s="39" t="s">
        <v>4</v>
      </c>
      <c r="E12" s="39">
        <v>55</v>
      </c>
      <c r="F12" s="32">
        <f>ROUNDDOWN(E12/VLOOKUP(D12,Table2[#All],2,FALSE),0)</f>
        <v>110</v>
      </c>
      <c r="G12" s="32">
        <f>ROUNDDOWN(E12/VLOOKUP(D12,Table2[#All],3,FALSE),0)</f>
        <v>137</v>
      </c>
      <c r="H12" s="33" t="str">
        <f>VLOOKUP(D12,Table2[#All],4,FALSE)</f>
        <v>Average</v>
      </c>
      <c r="I12" s="12">
        <v>4.5</v>
      </c>
      <c r="J12" s="32">
        <f>IF(C12&gt;5,E12*VLOOKUP(5,Table3[#All],2,FALSE),NA())</f>
        <v>24.75</v>
      </c>
      <c r="K12" s="31">
        <f>IF(C12 = 6,E12*VLOOKUP(4,Table3[#All],2,FALSE),IF(C12 =5,E12*VLOOKUP(4,Table4[#All],2,FALSE),NA()))</f>
        <v>12.375</v>
      </c>
      <c r="L12" s="33">
        <f>IF(C12 = 6,E12*VLOOKUP(3,Table3[#All],2,FALSE),IF(C12 =5,E12*VLOOKUP(3,Table4[#All],2,FALSE),IF(C12 =4,E12*VLOOKUP(3,Table5[#All],2,FALSE),NA())))</f>
        <v>6.875</v>
      </c>
      <c r="M12" s="34">
        <f>IF(C12 = 6,E12*VLOOKUP(2,Table3[#All],2,FALSE),IF(C12 =5,E12*VLOOKUP(2,Table4[#All],2,FALSE),IF(C12 =4,E12*VLOOKUP(2,Table5[#All],2,FALSE),IF(C12 =3,E12*VLOOKUP(2,Table6[#All],2,FALSE),NA()))))</f>
        <v>3.4375</v>
      </c>
      <c r="N12" s="36">
        <f>IF(C12 = 6,E12*VLOOKUP(1,Table3[#All],2,FALSE),IF(C12 =5,E12*VLOOKUP(1,Table4[#All],2,FALSE),IF(C12 =4,E12*VLOOKUP(1,Table5[#All],2,FALSE),IF(C12 =3,E12*VLOOKUP(1,Table6[#All],2,FALSE),IF(C12 =2,E12*VLOOKUP(1,Table7[#All],2,FALSE),NA())))))</f>
        <v>0.6875</v>
      </c>
      <c r="O12" s="8" t="s">
        <v>55</v>
      </c>
      <c r="P12" s="12" t="s">
        <v>55</v>
      </c>
      <c r="Q12" s="12" t="b">
        <v>1</v>
      </c>
      <c r="R12" s="67">
        <v>7.0000000000000007E-2</v>
      </c>
      <c r="S12" s="67">
        <v>0.33</v>
      </c>
      <c r="T12" s="12">
        <v>-20</v>
      </c>
      <c r="U12" s="8" t="b">
        <v>1</v>
      </c>
      <c r="V12" s="8" t="b">
        <v>1</v>
      </c>
      <c r="W12" s="8" t="b">
        <v>1</v>
      </c>
      <c r="X12" s="10" t="b">
        <v>0</v>
      </c>
      <c r="Y12" s="28" t="b">
        <v>0</v>
      </c>
      <c r="Z12" s="48" t="b">
        <v>0</v>
      </c>
      <c r="AA12" s="69">
        <v>0</v>
      </c>
      <c r="AB12" s="95">
        <f>VLOOKUP(Table921[[#This Row],[Armor Level]],Table1217[#All],6,FALSE)</f>
        <v>0.10526315789473684</v>
      </c>
      <c r="AC12" s="1"/>
    </row>
    <row r="13" spans="1:29" x14ac:dyDescent="0.25">
      <c r="A13" s="33" t="s">
        <v>281</v>
      </c>
      <c r="B13" s="31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71.2</v>
      </c>
      <c r="C13" s="10">
        <v>4</v>
      </c>
      <c r="D13" s="39" t="s">
        <v>4</v>
      </c>
      <c r="E13" s="39">
        <v>55</v>
      </c>
      <c r="F13" s="32">
        <f>ROUNDDOWN(E13/VLOOKUP(D13,Table2[#All],2,FALSE),0)</f>
        <v>110</v>
      </c>
      <c r="G13" s="32">
        <f>ROUNDDOWN(E13/VLOOKUP(D13,Table2[#All],3,FALSE),0)</f>
        <v>137</v>
      </c>
      <c r="H13" s="33" t="str">
        <f>VLOOKUP(D13,Table2[#All],4,FALSE)</f>
        <v>Average</v>
      </c>
      <c r="I13" s="12">
        <v>3.4</v>
      </c>
      <c r="J13" s="35" t="e">
        <f>IF(C13&gt;5,E13*VLOOKUP(5,Table3[#All],2,FALSE),NA())</f>
        <v>#N/A</v>
      </c>
      <c r="K13" s="35" t="e">
        <f>IF(C13 = 6,E13*VLOOKUP(4,Table3[#All],2,FALSE),IF(C13 =5,E13*VLOOKUP(4,Table4[#All],2,FALSE),NA()))</f>
        <v>#N/A</v>
      </c>
      <c r="L13" s="33">
        <f>IF(C13 = 6,E13*VLOOKUP(3,Table3[#All],2,FALSE),IF(C13 =5,E13*VLOOKUP(3,Table4[#All],2,FALSE),IF(C13 =4,E13*VLOOKUP(3,Table5[#All],2,FALSE),NA())))</f>
        <v>17.600000000000001</v>
      </c>
      <c r="M13" s="34">
        <f>IF(C13 = 6,E13*VLOOKUP(2,Table3[#All],2,FALSE),IF(C13 =5,E13*VLOOKUP(2,Table4[#All],2,FALSE),IF(C13 =4,E13*VLOOKUP(2,Table5[#All],2,FALSE),IF(C13 =3,E13*VLOOKUP(2,Table6[#All],2,FALSE),NA()))))</f>
        <v>8.8000000000000007</v>
      </c>
      <c r="N13" s="36">
        <f>IF(C13 = 6,E13*VLOOKUP(1,Table3[#All],2,FALSE),IF(C13 =5,E13*VLOOKUP(1,Table4[#All],2,FALSE),IF(C13 =4,E13*VLOOKUP(1,Table5[#All],2,FALSE),IF(C13 =3,E13*VLOOKUP(1,Table6[#All],2,FALSE),IF(C13 =2,E13*VLOOKUP(1,Table7[#All],2,FALSE),NA())))))</f>
        <v>2.2000000000000002</v>
      </c>
      <c r="O13" s="8" t="s">
        <v>55</v>
      </c>
      <c r="P13" s="12" t="s">
        <v>55</v>
      </c>
      <c r="Q13" s="12" t="b">
        <v>1</v>
      </c>
      <c r="R13" s="65">
        <v>0.03</v>
      </c>
      <c r="S13" s="67">
        <v>0.15</v>
      </c>
      <c r="T13" s="12">
        <v>-10</v>
      </c>
      <c r="U13" s="8" t="b">
        <v>1</v>
      </c>
      <c r="V13" s="8" t="b">
        <v>1</v>
      </c>
      <c r="W13" s="8" t="b">
        <v>1</v>
      </c>
      <c r="X13" s="10" t="b">
        <v>0</v>
      </c>
      <c r="Y13" s="28" t="b">
        <v>0</v>
      </c>
      <c r="Z13" s="48" t="b">
        <v>0</v>
      </c>
      <c r="AA13" s="69">
        <v>0</v>
      </c>
      <c r="AB13" s="99">
        <f>VLOOKUP(Table921[[#This Row],[Armor Level]],Table1217[#All],6,FALSE)</f>
        <v>0.43421052631578949</v>
      </c>
      <c r="AC13" s="1"/>
    </row>
    <row r="14" spans="1:29" x14ac:dyDescent="0.25">
      <c r="A14" s="31" t="s">
        <v>269</v>
      </c>
      <c r="B14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63.9</v>
      </c>
      <c r="C14" s="9">
        <v>5</v>
      </c>
      <c r="D14" s="33" t="s">
        <v>8</v>
      </c>
      <c r="E14" s="39">
        <v>45</v>
      </c>
      <c r="F14" s="33">
        <f>ROUNDDOWN(E14/VLOOKUP(D14,Table2[#All],2,FALSE),0)</f>
        <v>64</v>
      </c>
      <c r="G14" s="33">
        <f>ROUNDDOWN(E14/VLOOKUP(D14,Table2[#All],3,FALSE),0)</f>
        <v>75</v>
      </c>
      <c r="H14" s="32" t="str">
        <f>VLOOKUP(D14,Table2[#All],4,FALSE)</f>
        <v>Very Good</v>
      </c>
      <c r="I14" s="12">
        <v>4</v>
      </c>
      <c r="J14" s="35" t="e">
        <f>IF(C14&gt;5,E14*VLOOKUP(5,Table3[#All],2,FALSE),NA())</f>
        <v>#N/A</v>
      </c>
      <c r="K14" s="31">
        <f>IF(C14 = 6,E14*VLOOKUP(4,Table3[#All],2,FALSE),IF(C14 =5,E14*VLOOKUP(4,Table4[#All],2,FALSE),NA()))</f>
        <v>18</v>
      </c>
      <c r="L14" s="33">
        <f>IF(C14 = 6,E14*VLOOKUP(3,Table3[#All],2,FALSE),IF(C14 =5,E14*VLOOKUP(3,Table4[#All],2,FALSE),IF(C14 =4,E14*VLOOKUP(3,Table5[#All],2,FALSE),NA())))</f>
        <v>9</v>
      </c>
      <c r="M14" s="34">
        <f>IF(C14 = 6,E14*VLOOKUP(2,Table3[#All],2,FALSE),IF(C14 =5,E14*VLOOKUP(2,Table4[#All],2,FALSE),IF(C14 =4,E14*VLOOKUP(2,Table5[#All],2,FALSE),IF(C14 =3,E14*VLOOKUP(2,Table6[#All],2,FALSE),NA()))))</f>
        <v>4.5</v>
      </c>
      <c r="N14" s="36">
        <f>IF(C14 = 6,E14*VLOOKUP(1,Table3[#All],2,FALSE),IF(C14 =5,E14*VLOOKUP(1,Table4[#All],2,FALSE),IF(C14 =4,E14*VLOOKUP(1,Table5[#All],2,FALSE),IF(C14 =3,E14*VLOOKUP(1,Table6[#All],2,FALSE),IF(C14 =2,E14*VLOOKUP(1,Table7[#All],2,FALSE),NA())))))</f>
        <v>0.9</v>
      </c>
      <c r="O14" s="8" t="s">
        <v>55</v>
      </c>
      <c r="P14" s="12" t="s">
        <v>55</v>
      </c>
      <c r="Q14" s="12" t="b">
        <v>1</v>
      </c>
      <c r="R14" s="67">
        <v>7.0000000000000007E-2</v>
      </c>
      <c r="S14" s="67">
        <v>0.17</v>
      </c>
      <c r="T14" s="11">
        <v>-6</v>
      </c>
      <c r="U14" s="8" t="b">
        <v>1</v>
      </c>
      <c r="V14" s="8" t="b">
        <v>1</v>
      </c>
      <c r="W14" s="8" t="b">
        <v>1</v>
      </c>
      <c r="X14" s="10" t="b">
        <v>0</v>
      </c>
      <c r="Y14" s="28" t="b">
        <v>0</v>
      </c>
      <c r="Z14" s="48" t="b">
        <v>0</v>
      </c>
      <c r="AA14" s="69">
        <v>0</v>
      </c>
      <c r="AB14" s="97">
        <f>VLOOKUP(Table921[[#This Row],[Armor Level]],Table1217[#All],6,FALSE)</f>
        <v>0.21052631578947367</v>
      </c>
      <c r="AC14" s="1"/>
    </row>
    <row r="15" spans="1:29" x14ac:dyDescent="0.25">
      <c r="A15" s="33" t="s">
        <v>282</v>
      </c>
      <c r="B15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60.7</v>
      </c>
      <c r="C15" s="10">
        <v>4</v>
      </c>
      <c r="D15" s="33" t="s">
        <v>8</v>
      </c>
      <c r="E15" s="8">
        <v>60</v>
      </c>
      <c r="F15" s="31">
        <f>ROUNDDOWN(E15/VLOOKUP(D15,Table2[#All],2,FALSE),0)</f>
        <v>85</v>
      </c>
      <c r="G15" s="32">
        <f>ROUNDDOWN(E15/VLOOKUP(D15,Table2[#All],3,FALSE),0)</f>
        <v>100</v>
      </c>
      <c r="H15" s="32" t="str">
        <f>VLOOKUP(D15,Table2[#All],4,FALSE)</f>
        <v>Very Good</v>
      </c>
      <c r="I15" s="11">
        <v>2.6</v>
      </c>
      <c r="J15" s="35" t="e">
        <f>IF(C15&gt;5,E15*VLOOKUP(5,Table3[#All],2,FALSE),NA())</f>
        <v>#N/A</v>
      </c>
      <c r="K15" s="35" t="e">
        <f>IF(C15 = 6,E15*VLOOKUP(4,Table3[#All],2,FALSE),IF(C15 =5,E15*VLOOKUP(4,Table4[#All],2,FALSE),NA()))</f>
        <v>#N/A</v>
      </c>
      <c r="L15" s="33">
        <f>IF(C15 = 6,E15*VLOOKUP(3,Table3[#All],2,FALSE),IF(C15 =5,E15*VLOOKUP(3,Table4[#All],2,FALSE),IF(C15 =4,E15*VLOOKUP(3,Table5[#All],2,FALSE),NA())))</f>
        <v>19.2</v>
      </c>
      <c r="M15" s="34">
        <f>IF(C15 = 6,E15*VLOOKUP(2,Table3[#All],2,FALSE),IF(C15 =5,E15*VLOOKUP(2,Table4[#All],2,FALSE),IF(C15 =4,E15*VLOOKUP(2,Table5[#All],2,FALSE),IF(C15 =3,E15*VLOOKUP(2,Table6[#All],2,FALSE),NA()))))</f>
        <v>9.6</v>
      </c>
      <c r="N15" s="36">
        <f>IF(C15 = 6,E15*VLOOKUP(1,Table3[#All],2,FALSE),IF(C15 =5,E15*VLOOKUP(1,Table4[#All],2,FALSE),IF(C15 =4,E15*VLOOKUP(1,Table5[#All],2,FALSE),IF(C15 =3,E15*VLOOKUP(1,Table6[#All],2,FALSE),IF(C15 =2,E15*VLOOKUP(1,Table7[#All],2,FALSE),NA())))))</f>
        <v>2.4</v>
      </c>
      <c r="O15" s="10" t="s">
        <v>56</v>
      </c>
      <c r="P15" s="12" t="s">
        <v>55</v>
      </c>
      <c r="Q15" s="12" t="b">
        <v>1</v>
      </c>
      <c r="R15" s="65">
        <v>0.03</v>
      </c>
      <c r="S15" s="69">
        <v>0.06</v>
      </c>
      <c r="T15" s="11">
        <v>-7</v>
      </c>
      <c r="U15" s="8" t="b">
        <v>1</v>
      </c>
      <c r="V15" s="8" t="b">
        <v>1</v>
      </c>
      <c r="W15" s="8" t="b">
        <v>1</v>
      </c>
      <c r="X15" s="10" t="b">
        <v>0</v>
      </c>
      <c r="Y15" s="28" t="b">
        <v>0</v>
      </c>
      <c r="Z15" s="8" t="b">
        <v>0</v>
      </c>
      <c r="AA15" s="69">
        <v>0</v>
      </c>
      <c r="AB15" s="99">
        <f>VLOOKUP(Table921[[#This Row],[Armor Level]],Table1217[#All],6,FALSE)</f>
        <v>0.43421052631578949</v>
      </c>
      <c r="AC15" s="1"/>
    </row>
    <row r="16" spans="1:29" x14ac:dyDescent="0.25">
      <c r="A16" s="33" t="s">
        <v>272</v>
      </c>
      <c r="B16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59.7</v>
      </c>
      <c r="C16" s="10">
        <v>4</v>
      </c>
      <c r="D16" s="39" t="s">
        <v>4</v>
      </c>
      <c r="E16" s="10">
        <v>30</v>
      </c>
      <c r="F16" s="33">
        <f>ROUNDDOWN(E16/VLOOKUP(D16,Table2[#All],2,FALSE),0)</f>
        <v>60</v>
      </c>
      <c r="G16" s="33">
        <f>ROUNDDOWN(E16/VLOOKUP(D16,Table2[#All],3,FALSE),0)</f>
        <v>75</v>
      </c>
      <c r="H16" s="33" t="str">
        <f>VLOOKUP(D16,Table2[#All],4,FALSE)</f>
        <v>Average</v>
      </c>
      <c r="I16" s="9">
        <v>1.17</v>
      </c>
      <c r="J16" s="35" t="e">
        <f>IF(C16&gt;5,E16*VLOOKUP(5,Table3[#All],2,FALSE),NA())</f>
        <v>#N/A</v>
      </c>
      <c r="K16" s="35" t="e">
        <f>IF(C16 = 6,E16*VLOOKUP(4,Table3[#All],2,FALSE),IF(C16 =5,E16*VLOOKUP(4,Table4[#All],2,FALSE),NA()))</f>
        <v>#N/A</v>
      </c>
      <c r="L16" s="33">
        <f>IF(C16 = 6,E16*VLOOKUP(3,Table3[#All],2,FALSE),IF(C16 =5,E16*VLOOKUP(3,Table4[#All],2,FALSE),IF(C16 =4,E16*VLOOKUP(3,Table5[#All],2,FALSE),NA())))</f>
        <v>9.6</v>
      </c>
      <c r="M16" s="34">
        <f>IF(C16 = 6,E16*VLOOKUP(2,Table3[#All],2,FALSE),IF(C16 =5,E16*VLOOKUP(2,Table4[#All],2,FALSE),IF(C16 =4,E16*VLOOKUP(2,Table5[#All],2,FALSE),IF(C16 =3,E16*VLOOKUP(2,Table6[#All],2,FALSE),NA()))))</f>
        <v>4.8</v>
      </c>
      <c r="N16" s="36">
        <f>IF(C16 = 6,E16*VLOOKUP(1,Table3[#All],2,FALSE),IF(C16 =5,E16*VLOOKUP(1,Table4[#All],2,FALSE),IF(C16 =4,E16*VLOOKUP(1,Table5[#All],2,FALSE),IF(C16 =3,E16*VLOOKUP(1,Table6[#All],2,FALSE),IF(C16 =2,E16*VLOOKUP(1,Table7[#All],2,FALSE),NA())))))</f>
        <v>1.2</v>
      </c>
      <c r="O16" s="8" t="s">
        <v>55</v>
      </c>
      <c r="P16" s="8" t="s">
        <v>57</v>
      </c>
      <c r="Q16" s="8" t="b">
        <v>0</v>
      </c>
      <c r="R16" s="65">
        <v>0.02</v>
      </c>
      <c r="S16" s="69">
        <v>0.08</v>
      </c>
      <c r="T16" s="8">
        <v>-1</v>
      </c>
      <c r="U16" s="8" t="b">
        <v>1</v>
      </c>
      <c r="V16" s="8" t="b">
        <v>1</v>
      </c>
      <c r="W16" s="11" t="b">
        <v>0</v>
      </c>
      <c r="X16" s="10" t="b">
        <v>0</v>
      </c>
      <c r="Y16" s="28" t="b">
        <v>0</v>
      </c>
      <c r="Z16" s="48" t="b">
        <v>0</v>
      </c>
      <c r="AA16" s="69">
        <v>0</v>
      </c>
      <c r="AB16" s="99">
        <f>VLOOKUP(Table921[[#This Row],[Armor Level]],Table1217[#All],6,FALSE)</f>
        <v>0.43421052631578949</v>
      </c>
      <c r="AC16" s="1"/>
    </row>
    <row r="17" spans="1:29" x14ac:dyDescent="0.25">
      <c r="A17" s="33" t="s">
        <v>273</v>
      </c>
      <c r="B17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59.7</v>
      </c>
      <c r="C17" s="10">
        <v>4</v>
      </c>
      <c r="D17" s="39" t="s">
        <v>4</v>
      </c>
      <c r="E17" s="10">
        <v>30</v>
      </c>
      <c r="F17" s="33">
        <f>ROUNDDOWN(E17/VLOOKUP(D17,Table2[#All],2,FALSE),0)</f>
        <v>60</v>
      </c>
      <c r="G17" s="33">
        <f>ROUNDDOWN(E17/VLOOKUP(D17,Table2[#All],3,FALSE),0)</f>
        <v>75</v>
      </c>
      <c r="H17" s="33" t="str">
        <f>VLOOKUP(D17,Table2[#All],4,FALSE)</f>
        <v>Average</v>
      </c>
      <c r="I17" s="10">
        <v>1.5</v>
      </c>
      <c r="J17" s="35" t="e">
        <f>IF(C17&gt;5,E17*VLOOKUP(5,Table3[#All],2,FALSE),NA())</f>
        <v>#N/A</v>
      </c>
      <c r="K17" s="35" t="e">
        <f>IF(C17 = 6,E17*VLOOKUP(4,Table3[#All],2,FALSE),IF(C17 =5,E17*VLOOKUP(4,Table4[#All],2,FALSE),NA()))</f>
        <v>#N/A</v>
      </c>
      <c r="L17" s="33">
        <f>IF(C17 = 6,E17*VLOOKUP(3,Table3[#All],2,FALSE),IF(C17 =5,E17*VLOOKUP(3,Table4[#All],2,FALSE),IF(C17 =4,E17*VLOOKUP(3,Table5[#All],2,FALSE),NA())))</f>
        <v>9.6</v>
      </c>
      <c r="M17" s="34">
        <f>IF(C17 = 6,E17*VLOOKUP(2,Table3[#All],2,FALSE),IF(C17 =5,E17*VLOOKUP(2,Table4[#All],2,FALSE),IF(C17 =4,E17*VLOOKUP(2,Table5[#All],2,FALSE),IF(C17 =3,E17*VLOOKUP(2,Table6[#All],2,FALSE),NA()))))</f>
        <v>4.8</v>
      </c>
      <c r="N17" s="36">
        <f>IF(C17 = 6,E17*VLOOKUP(1,Table3[#All],2,FALSE),IF(C17 =5,E17*VLOOKUP(1,Table4[#All],2,FALSE),IF(C17 =4,E17*VLOOKUP(1,Table5[#All],2,FALSE),IF(C17 =3,E17*VLOOKUP(1,Table6[#All],2,FALSE),IF(C17 =2,E17*VLOOKUP(1,Table7[#All],2,FALSE),NA())))))</f>
        <v>1.2</v>
      </c>
      <c r="O17" s="8" t="s">
        <v>55</v>
      </c>
      <c r="P17" s="8" t="s">
        <v>57</v>
      </c>
      <c r="Q17" s="8" t="b">
        <v>0</v>
      </c>
      <c r="R17" s="65">
        <v>0.02</v>
      </c>
      <c r="S17" s="69">
        <v>7.0000000000000007E-2</v>
      </c>
      <c r="T17" s="9">
        <v>-2</v>
      </c>
      <c r="U17" s="8" t="b">
        <v>1</v>
      </c>
      <c r="V17" s="8" t="b">
        <v>1</v>
      </c>
      <c r="W17" s="11" t="b">
        <v>0</v>
      </c>
      <c r="X17" s="10" t="b">
        <v>0</v>
      </c>
      <c r="Y17" s="28" t="b">
        <v>0</v>
      </c>
      <c r="Z17" s="48" t="b">
        <v>0</v>
      </c>
      <c r="AA17" s="69">
        <v>0</v>
      </c>
      <c r="AB17" s="99">
        <f>VLOOKUP(Table921[[#This Row],[Armor Level]],Table1217[#All],6,FALSE)</f>
        <v>0.43421052631578949</v>
      </c>
      <c r="AC17" s="1"/>
    </row>
    <row r="18" spans="1:29" x14ac:dyDescent="0.25">
      <c r="A18" s="34" t="s">
        <v>285</v>
      </c>
      <c r="B18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56</v>
      </c>
      <c r="C18" s="11">
        <v>3</v>
      </c>
      <c r="D18" s="32" t="s">
        <v>3</v>
      </c>
      <c r="E18" s="10">
        <v>30</v>
      </c>
      <c r="F18" s="32">
        <f>ROUNDDOWN(E18/VLOOKUP(D18,Table2[#All],2,FALSE),0)</f>
        <v>120</v>
      </c>
      <c r="G18" s="32">
        <f>ROUNDDOWN(E18/VLOOKUP(D18,Table2[#All],3,FALSE),0)</f>
        <v>150</v>
      </c>
      <c r="H18" s="31" t="str">
        <f>VLOOKUP(D18,Table2[#All],4,FALSE)</f>
        <v>Good</v>
      </c>
      <c r="I18" s="8">
        <v>0.95</v>
      </c>
      <c r="J18" s="35" t="e">
        <f>IF(C18&gt;5,E18*VLOOKUP(5,Table3[#All],2,FALSE),NA())</f>
        <v>#N/A</v>
      </c>
      <c r="K18" s="35" t="e">
        <f>IF(C18 = 6,E18*VLOOKUP(4,Table3[#All],2,FALSE),IF(C18 =5,E18*VLOOKUP(4,Table4[#All],2,FALSE),NA()))</f>
        <v>#N/A</v>
      </c>
      <c r="L18" s="35" t="e">
        <f>IF(C18 = 6,E18*VLOOKUP(3,Table3[#All],2,FALSE),IF(C18 =5,E18*VLOOKUP(3,Table4[#All],2,FALSE),IF(C18 =4,E18*VLOOKUP(3,Table5[#All],2,FALSE),NA())))</f>
        <v>#N/A</v>
      </c>
      <c r="M18" s="34">
        <f>IF(C18 = 6,E18*VLOOKUP(2,Table3[#All],2,FALSE),IF(C18 =5,E18*VLOOKUP(2,Table4[#All],2,FALSE),IF(C18 =4,E18*VLOOKUP(2,Table5[#All],2,FALSE),IF(C18 =3,E18*VLOOKUP(2,Table6[#All],2,FALSE),NA()))))</f>
        <v>7.5</v>
      </c>
      <c r="N18" s="36">
        <f>IF(C18 = 6,E18*VLOOKUP(1,Table3[#All],2,FALSE),IF(C18 =5,E18*VLOOKUP(1,Table4[#All],2,FALSE),IF(C18 =4,E18*VLOOKUP(1,Table5[#All],2,FALSE),IF(C18 =3,E18*VLOOKUP(1,Table6[#All],2,FALSE),IF(C18 =2,E18*VLOOKUP(1,Table7[#All],2,FALSE),NA())))))</f>
        <v>1.5</v>
      </c>
      <c r="O18" s="10" t="s">
        <v>56</v>
      </c>
      <c r="P18" s="8" t="s">
        <v>57</v>
      </c>
      <c r="Q18" s="8" t="b">
        <v>0</v>
      </c>
      <c r="R18" s="66">
        <v>0.01</v>
      </c>
      <c r="S18" s="69">
        <v>7.0000000000000007E-2</v>
      </c>
      <c r="T18" s="8">
        <v>-1</v>
      </c>
      <c r="U18" s="8" t="b">
        <v>1</v>
      </c>
      <c r="V18" s="8" t="b">
        <v>1</v>
      </c>
      <c r="W18" s="11" t="b">
        <v>0</v>
      </c>
      <c r="X18" s="10" t="b">
        <v>0</v>
      </c>
      <c r="Y18" s="28" t="b">
        <v>0</v>
      </c>
      <c r="Z18" s="48" t="b">
        <v>0</v>
      </c>
      <c r="AA18" s="69">
        <v>0</v>
      </c>
      <c r="AB18" s="101">
        <f>VLOOKUP(Table921[[#This Row],[Armor Level]],Table1217[#All],6,FALSE)</f>
        <v>0.63157894736842102</v>
      </c>
      <c r="AC18" s="1"/>
    </row>
    <row r="19" spans="1:29" x14ac:dyDescent="0.25">
      <c r="A19" s="33" t="s">
        <v>271</v>
      </c>
      <c r="B19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52.5</v>
      </c>
      <c r="C19" s="10">
        <v>4</v>
      </c>
      <c r="D19" s="39" t="s">
        <v>4</v>
      </c>
      <c r="E19" s="11">
        <v>27</v>
      </c>
      <c r="F19" s="34">
        <f>ROUNDDOWN(E19/VLOOKUP(D19,Table2[#All],2,FALSE),0)</f>
        <v>54</v>
      </c>
      <c r="G19" s="33">
        <f>ROUNDDOWN(E19/VLOOKUP(D19,Table2[#All],3,FALSE),0)</f>
        <v>67</v>
      </c>
      <c r="H19" s="33" t="str">
        <f>VLOOKUP(D19,Table2[#All],4,FALSE)</f>
        <v>Average</v>
      </c>
      <c r="I19" s="9">
        <v>1.45</v>
      </c>
      <c r="J19" s="35" t="e">
        <f>IF(C19&gt;5,E19*VLOOKUP(5,Table3[#All],2,FALSE),NA())</f>
        <v>#N/A</v>
      </c>
      <c r="K19" s="35" t="e">
        <f>IF(C19 = 6,E19*VLOOKUP(4,Table3[#All],2,FALSE),IF(C19 =5,E19*VLOOKUP(4,Table4[#All],2,FALSE),NA()))</f>
        <v>#N/A</v>
      </c>
      <c r="L19" s="33">
        <f>IF(C19 = 6,E19*VLOOKUP(3,Table3[#All],2,FALSE),IF(C19 =5,E19*VLOOKUP(3,Table4[#All],2,FALSE),IF(C19 =4,E19*VLOOKUP(3,Table5[#All],2,FALSE),NA())))</f>
        <v>8.64</v>
      </c>
      <c r="M19" s="34">
        <f>IF(C19 = 6,E19*VLOOKUP(2,Table3[#All],2,FALSE),IF(C19 =5,E19*VLOOKUP(2,Table4[#All],2,FALSE),IF(C19 =4,E19*VLOOKUP(2,Table5[#All],2,FALSE),IF(C19 =3,E19*VLOOKUP(2,Table6[#All],2,FALSE),NA()))))</f>
        <v>4.32</v>
      </c>
      <c r="N19" s="36">
        <f>IF(C19 = 6,E19*VLOOKUP(1,Table3[#All],2,FALSE),IF(C19 =5,E19*VLOOKUP(1,Table4[#All],2,FALSE),IF(C19 =4,E19*VLOOKUP(1,Table5[#All],2,FALSE),IF(C19 =3,E19*VLOOKUP(1,Table6[#All],2,FALSE),IF(C19 =2,E19*VLOOKUP(1,Table7[#All],2,FALSE),NA())))))</f>
        <v>1.08</v>
      </c>
      <c r="O19" s="8" t="s">
        <v>55</v>
      </c>
      <c r="P19" s="8" t="s">
        <v>57</v>
      </c>
      <c r="Q19" s="8" t="b">
        <v>0</v>
      </c>
      <c r="R19" s="65">
        <v>0.02</v>
      </c>
      <c r="S19" s="69">
        <v>0.08</v>
      </c>
      <c r="T19" s="9">
        <v>-2</v>
      </c>
      <c r="U19" s="8" t="b">
        <v>1</v>
      </c>
      <c r="V19" s="8" t="b">
        <v>1</v>
      </c>
      <c r="W19" s="11" t="b">
        <v>0</v>
      </c>
      <c r="X19" s="10" t="b">
        <v>0</v>
      </c>
      <c r="Y19" s="28" t="b">
        <v>0</v>
      </c>
      <c r="Z19" s="48" t="b">
        <v>0</v>
      </c>
      <c r="AA19" s="69">
        <v>0</v>
      </c>
      <c r="AB19" s="99">
        <f>VLOOKUP(Table921[[#This Row],[Armor Level]],Table1217[#All],6,FALSE)</f>
        <v>0.43421052631578949</v>
      </c>
      <c r="AC19" s="1"/>
    </row>
    <row r="20" spans="1:29" x14ac:dyDescent="0.25">
      <c r="A20" s="33" t="s">
        <v>274</v>
      </c>
      <c r="B20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52.3</v>
      </c>
      <c r="C20" s="10">
        <v>4</v>
      </c>
      <c r="D20" s="39" t="s">
        <v>4</v>
      </c>
      <c r="E20" s="10">
        <v>35</v>
      </c>
      <c r="F20" s="33">
        <f>ROUNDDOWN(E20/VLOOKUP(D20,Table2[#All],2,FALSE),0)</f>
        <v>70</v>
      </c>
      <c r="G20" s="31">
        <f>ROUNDDOWN(E20/VLOOKUP(D20,Table2[#All],3,FALSE),0)</f>
        <v>87</v>
      </c>
      <c r="H20" s="33" t="str">
        <f>VLOOKUP(D20,Table2[#All],4,FALSE)</f>
        <v>Average</v>
      </c>
      <c r="I20" s="12">
        <v>3.7</v>
      </c>
      <c r="J20" s="35" t="e">
        <f>IF(C20&gt;5,E20*VLOOKUP(5,Table3[#All],2,FALSE),NA())</f>
        <v>#N/A</v>
      </c>
      <c r="K20" s="35" t="e">
        <f>IF(C20 = 6,E20*VLOOKUP(4,Table3[#All],2,FALSE),IF(C20 =5,E20*VLOOKUP(4,Table4[#All],2,FALSE),NA()))</f>
        <v>#N/A</v>
      </c>
      <c r="L20" s="33">
        <f>IF(C20 = 6,E20*VLOOKUP(3,Table3[#All],2,FALSE),IF(C20 =5,E20*VLOOKUP(3,Table4[#All],2,FALSE),IF(C20 =4,E20*VLOOKUP(3,Table5[#All],2,FALSE),NA())))</f>
        <v>11.200000000000001</v>
      </c>
      <c r="M20" s="34">
        <f>IF(C20 = 6,E20*VLOOKUP(2,Table3[#All],2,FALSE),IF(C20 =5,E20*VLOOKUP(2,Table4[#All],2,FALSE),IF(C20 =4,E20*VLOOKUP(2,Table5[#All],2,FALSE),IF(C20 =3,E20*VLOOKUP(2,Table6[#All],2,FALSE),NA()))))</f>
        <v>5.6000000000000005</v>
      </c>
      <c r="N20" s="36">
        <f>IF(C20 = 6,E20*VLOOKUP(1,Table3[#All],2,FALSE),IF(C20 =5,E20*VLOOKUP(1,Table4[#All],2,FALSE),IF(C20 =4,E20*VLOOKUP(1,Table5[#All],2,FALSE),IF(C20 =3,E20*VLOOKUP(1,Table6[#All],2,FALSE),IF(C20 =2,E20*VLOOKUP(1,Table7[#All],2,FALSE),NA())))))</f>
        <v>1.4000000000000001</v>
      </c>
      <c r="O20" s="10" t="s">
        <v>56</v>
      </c>
      <c r="P20" s="12" t="s">
        <v>55</v>
      </c>
      <c r="Q20" s="12" t="b">
        <v>1</v>
      </c>
      <c r="R20" s="65">
        <v>0.03</v>
      </c>
      <c r="S20" s="69">
        <v>0.08</v>
      </c>
      <c r="T20" s="9">
        <v>-2</v>
      </c>
      <c r="U20" s="8" t="b">
        <v>1</v>
      </c>
      <c r="V20" s="8" t="b">
        <v>1</v>
      </c>
      <c r="W20" s="8" t="b">
        <v>1</v>
      </c>
      <c r="X20" s="10" t="b">
        <v>0</v>
      </c>
      <c r="Y20" s="28" t="b">
        <v>0</v>
      </c>
      <c r="Z20" s="48" t="b">
        <v>0</v>
      </c>
      <c r="AA20" s="69">
        <v>0</v>
      </c>
      <c r="AB20" s="99">
        <f>VLOOKUP(Table921[[#This Row],[Armor Level]],Table1217[#All],6,FALSE)</f>
        <v>0.43421052631578949</v>
      </c>
      <c r="AC20" s="1"/>
    </row>
    <row r="21" spans="1:29" x14ac:dyDescent="0.25">
      <c r="A21" s="34" t="s">
        <v>283</v>
      </c>
      <c r="B21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51.3</v>
      </c>
      <c r="C21" s="11">
        <v>3</v>
      </c>
      <c r="D21" s="32" t="s">
        <v>3</v>
      </c>
      <c r="E21" s="11">
        <v>25</v>
      </c>
      <c r="F21" s="32">
        <f>ROUNDDOWN(E21/VLOOKUP(D21,Table2[#All],2,FALSE),0)</f>
        <v>100</v>
      </c>
      <c r="G21" s="32">
        <f>ROUNDDOWN(E21/VLOOKUP(D21,Table2[#All],3,FALSE),0)</f>
        <v>125</v>
      </c>
      <c r="H21" s="31" t="str">
        <f>VLOOKUP(D21,Table2[#All],4,FALSE)</f>
        <v>Good</v>
      </c>
      <c r="I21" s="11">
        <v>2.2000000000000002</v>
      </c>
      <c r="J21" s="35" t="e">
        <f>IF(C21&gt;5,E21*VLOOKUP(5,Table3[#All],2,FALSE),NA())</f>
        <v>#N/A</v>
      </c>
      <c r="K21" s="35" t="e">
        <f>IF(C21 = 6,E21*VLOOKUP(4,Table3[#All],2,FALSE),IF(C21 =5,E21*VLOOKUP(4,Table4[#All],2,FALSE),NA()))</f>
        <v>#N/A</v>
      </c>
      <c r="L21" s="35" t="e">
        <f>IF(C21 = 6,E21*VLOOKUP(3,Table3[#All],2,FALSE),IF(C21 =5,E21*VLOOKUP(3,Table4[#All],2,FALSE),IF(C21 =4,E21*VLOOKUP(3,Table5[#All],2,FALSE),NA())))</f>
        <v>#N/A</v>
      </c>
      <c r="M21" s="34">
        <f>IF(C21 = 6,E21*VLOOKUP(2,Table3[#All],2,FALSE),IF(C21 =5,E21*VLOOKUP(2,Table4[#All],2,FALSE),IF(C21 =4,E21*VLOOKUP(2,Table5[#All],2,FALSE),IF(C21 =3,E21*VLOOKUP(2,Table6[#All],2,FALSE),NA()))))</f>
        <v>6.25</v>
      </c>
      <c r="N21" s="36">
        <f>IF(C21 = 6,E21*VLOOKUP(1,Table3[#All],2,FALSE),IF(C21 =5,E21*VLOOKUP(1,Table4[#All],2,FALSE),IF(C21 =4,E21*VLOOKUP(1,Table5[#All],2,FALSE),IF(C21 =3,E21*VLOOKUP(1,Table6[#All],2,FALSE),IF(C21 =2,E21*VLOOKUP(1,Table7[#All],2,FALSE),NA())))))</f>
        <v>1.25</v>
      </c>
      <c r="O21" s="8" t="s">
        <v>55</v>
      </c>
      <c r="P21" s="9" t="s">
        <v>58</v>
      </c>
      <c r="Q21" s="8" t="b">
        <v>0</v>
      </c>
      <c r="R21" s="65">
        <v>0.02</v>
      </c>
      <c r="S21" s="68">
        <v>0.1</v>
      </c>
      <c r="T21" s="9">
        <v>-2</v>
      </c>
      <c r="U21" s="8" t="b">
        <v>1</v>
      </c>
      <c r="V21" s="8" t="b">
        <v>1</v>
      </c>
      <c r="W21" s="8" t="b">
        <v>1</v>
      </c>
      <c r="X21" s="10" t="b">
        <v>0</v>
      </c>
      <c r="Y21" s="28" t="b">
        <v>0</v>
      </c>
      <c r="Z21" s="48" t="b">
        <v>0</v>
      </c>
      <c r="AA21" s="69">
        <v>0</v>
      </c>
      <c r="AB21" s="101">
        <f>VLOOKUP(Table921[[#This Row],[Armor Level]],Table1217[#All],6,FALSE)</f>
        <v>0.63157894736842102</v>
      </c>
      <c r="AC21" s="1"/>
    </row>
    <row r="22" spans="1:29" x14ac:dyDescent="0.25">
      <c r="A22" s="34" t="s">
        <v>54</v>
      </c>
      <c r="B22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50.8</v>
      </c>
      <c r="C22" s="11">
        <v>3</v>
      </c>
      <c r="D22" s="33" t="s">
        <v>8</v>
      </c>
      <c r="E22" s="8">
        <v>100</v>
      </c>
      <c r="F22" s="32">
        <f>ROUNDDOWN(E22/VLOOKUP(D22,Table2[#All],2,FALSE),0)</f>
        <v>142</v>
      </c>
      <c r="G22" s="32">
        <f>ROUNDDOWN(E22/VLOOKUP(D22,Table2[#All],3,FALSE),0)</f>
        <v>166</v>
      </c>
      <c r="H22" s="32" t="str">
        <f>VLOOKUP(D22,Table2[#All],4,FALSE)</f>
        <v>Very Good</v>
      </c>
      <c r="I22" s="12">
        <v>3.5</v>
      </c>
      <c r="J22" s="35" t="e">
        <f>IF(C22&gt;5,E22*VLOOKUP(5,Table3[#All],2,FALSE),NA())</f>
        <v>#N/A</v>
      </c>
      <c r="K22" s="35" t="e">
        <f>IF(C22 = 6,E22*VLOOKUP(4,Table3[#All],2,FALSE),IF(C22 =5,E22*VLOOKUP(4,Table4[#All],2,FALSE),NA()))</f>
        <v>#N/A</v>
      </c>
      <c r="L22" s="35" t="e">
        <f>IF(C22 = 6,E22*VLOOKUP(3,Table3[#All],2,FALSE),IF(C22 =5,E22*VLOOKUP(3,Table4[#All],2,FALSE),IF(C22 =4,E22*VLOOKUP(3,Table5[#All],2,FALSE),NA())))</f>
        <v>#N/A</v>
      </c>
      <c r="M22" s="34">
        <f>IF(C22 = 6,E22*VLOOKUP(2,Table3[#All],2,FALSE),IF(C22 =5,E22*VLOOKUP(2,Table4[#All],2,FALSE),IF(C22 =4,E22*VLOOKUP(2,Table5[#All],2,FALSE),IF(C22 =3,E22*VLOOKUP(2,Table6[#All],2,FALSE),NA()))))</f>
        <v>25</v>
      </c>
      <c r="N22" s="36">
        <f>IF(C22 = 6,E22*VLOOKUP(1,Table3[#All],2,FALSE),IF(C22 =5,E22*VLOOKUP(1,Table4[#All],2,FALSE),IF(C22 =4,E22*VLOOKUP(1,Table5[#All],2,FALSE),IF(C22 =3,E22*VLOOKUP(1,Table6[#All],2,FALSE),IF(C22 =2,E22*VLOOKUP(1,Table7[#All],2,FALSE),NA())))))</f>
        <v>5</v>
      </c>
      <c r="O22" s="10" t="s">
        <v>56</v>
      </c>
      <c r="P22" s="12" t="s">
        <v>55</v>
      </c>
      <c r="Q22" s="12" t="b">
        <v>1</v>
      </c>
      <c r="R22" s="65">
        <v>0.02</v>
      </c>
      <c r="S22" s="68">
        <v>0.1</v>
      </c>
      <c r="T22" s="9">
        <v>-3</v>
      </c>
      <c r="U22" s="8" t="b">
        <v>1</v>
      </c>
      <c r="V22" s="8" t="b">
        <v>1</v>
      </c>
      <c r="W22" s="8" t="b">
        <v>1</v>
      </c>
      <c r="X22" s="10" t="b">
        <v>0</v>
      </c>
      <c r="Y22" s="28" t="b">
        <v>0</v>
      </c>
      <c r="Z22" s="48" t="b">
        <v>0</v>
      </c>
      <c r="AA22" s="69">
        <v>0</v>
      </c>
      <c r="AB22" s="101">
        <f>VLOOKUP(Table921[[#This Row],[Armor Level]],Table1217[#All],6,FALSE)</f>
        <v>0.63157894736842102</v>
      </c>
      <c r="AC22" s="1"/>
    </row>
    <row r="23" spans="1:29" x14ac:dyDescent="0.25">
      <c r="A23" s="33" t="s">
        <v>270</v>
      </c>
      <c r="B23" s="3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48.5</v>
      </c>
      <c r="C23" s="10">
        <v>4</v>
      </c>
      <c r="D23" s="39" t="s">
        <v>4</v>
      </c>
      <c r="E23" s="11">
        <v>25</v>
      </c>
      <c r="F23" s="34">
        <f>ROUNDDOWN(E23/VLOOKUP(D23,Table2[#All],2,FALSE),0)</f>
        <v>50</v>
      </c>
      <c r="G23" s="33">
        <f>ROUNDDOWN(E23/VLOOKUP(D23,Table2[#All],3,FALSE),0)</f>
        <v>62</v>
      </c>
      <c r="H23" s="33" t="str">
        <f>VLOOKUP(D23,Table2[#All],4,FALSE)</f>
        <v>Average</v>
      </c>
      <c r="I23" s="9">
        <v>1.4</v>
      </c>
      <c r="J23" s="35" t="e">
        <f>IF(C23&gt;5,E23*VLOOKUP(5,Table3[#All],2,FALSE),NA())</f>
        <v>#N/A</v>
      </c>
      <c r="K23" s="35" t="e">
        <f>IF(C23 = 6,E23*VLOOKUP(4,Table3[#All],2,FALSE),IF(C23 =5,E23*VLOOKUP(4,Table4[#All],2,FALSE),NA()))</f>
        <v>#N/A</v>
      </c>
      <c r="L23" s="33">
        <f>IF(C23 = 6,E23*VLOOKUP(3,Table3[#All],2,FALSE),IF(C23 =5,E23*VLOOKUP(3,Table4[#All],2,FALSE),IF(C23 =4,E23*VLOOKUP(3,Table5[#All],2,FALSE),NA())))</f>
        <v>8</v>
      </c>
      <c r="M23" s="34">
        <f>IF(C23 = 6,E23*VLOOKUP(2,Table3[#All],2,FALSE),IF(C23 =5,E23*VLOOKUP(2,Table4[#All],2,FALSE),IF(C23 =4,E23*VLOOKUP(2,Table5[#All],2,FALSE),IF(C23 =3,E23*VLOOKUP(2,Table6[#All],2,FALSE),NA()))))</f>
        <v>4</v>
      </c>
      <c r="N23" s="36">
        <f>IF(C23 = 6,E23*VLOOKUP(1,Table3[#All],2,FALSE),IF(C23 =5,E23*VLOOKUP(1,Table4[#All],2,FALSE),IF(C23 =4,E23*VLOOKUP(1,Table5[#All],2,FALSE),IF(C23 =3,E23*VLOOKUP(1,Table6[#All],2,FALSE),IF(C23 =2,E23*VLOOKUP(1,Table7[#All],2,FALSE),NA())))))</f>
        <v>1</v>
      </c>
      <c r="O23" s="8" t="s">
        <v>55</v>
      </c>
      <c r="P23" s="8" t="s">
        <v>57</v>
      </c>
      <c r="Q23" s="8" t="b">
        <v>0</v>
      </c>
      <c r="R23" s="65">
        <v>0.02</v>
      </c>
      <c r="S23" s="69">
        <v>0.08</v>
      </c>
      <c r="T23" s="9">
        <v>-2</v>
      </c>
      <c r="U23" s="8" t="b">
        <v>1</v>
      </c>
      <c r="V23" s="8" t="b">
        <v>1</v>
      </c>
      <c r="W23" s="11" t="b">
        <v>0</v>
      </c>
      <c r="X23" s="10" t="b">
        <v>0</v>
      </c>
      <c r="Y23" s="28" t="b">
        <v>0</v>
      </c>
      <c r="Z23" s="48" t="b">
        <v>0</v>
      </c>
      <c r="AA23" s="69">
        <v>0</v>
      </c>
      <c r="AB23" s="99">
        <f>VLOOKUP(Table921[[#This Row],[Armor Level]],Table1217[#All],6,FALSE)</f>
        <v>0.43421052631578949</v>
      </c>
      <c r="AC23" s="1"/>
    </row>
    <row r="24" spans="1:29" x14ac:dyDescent="0.25">
      <c r="A24" s="46" t="s">
        <v>310</v>
      </c>
      <c r="B24" s="163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32.299999999999997</v>
      </c>
      <c r="C24" s="46">
        <v>1</v>
      </c>
      <c r="D24" s="32" t="s">
        <v>3</v>
      </c>
      <c r="E24" s="165">
        <v>150</v>
      </c>
      <c r="F24" s="32">
        <f>ROUNDDOWN(E24/VLOOKUP(D24,Table2[#All],2,FALSE),0)</f>
        <v>600</v>
      </c>
      <c r="G24" s="32">
        <f>ROUNDDOWN(E24/VLOOKUP(D24,Table2[#All],3,FALSE),0)</f>
        <v>750</v>
      </c>
      <c r="H24" s="31" t="str">
        <f>VLOOKUP(D24,Table2[#All],4,FALSE)</f>
        <v>Good</v>
      </c>
      <c r="I24" s="8">
        <v>0.1</v>
      </c>
      <c r="J24" s="35" t="e">
        <f>IF(C24&gt;5,E24*VLOOKUP(5,Table3[#All],2,FALSE),NA())</f>
        <v>#N/A</v>
      </c>
      <c r="K24" s="35" t="e">
        <f>IF(C24 = 6,E24*VLOOKUP(4,Table3[#All],2,FALSE),IF(C24 =5,E24*VLOOKUP(4,Table4[#All],2,FALSE),NA()))</f>
        <v>#N/A</v>
      </c>
      <c r="L24" s="35" t="e">
        <f>IF(C24 = 6,E24*VLOOKUP(3,Table3[#All],2,FALSE),IF(C24 =5,E24*VLOOKUP(3,Table4[#All],2,FALSE),IF(C24 =4,E24*VLOOKUP(3,Table5[#All],2,FALSE),NA())))</f>
        <v>#N/A</v>
      </c>
      <c r="M24" s="35" t="e">
        <f>IF(C24 = 6,E24*VLOOKUP(2,Table3[#All],2,FALSE),IF(C24 =5,E24*VLOOKUP(2,Table4[#All],2,FALSE),IF(C24 =4,E24*VLOOKUP(2,Table5[#All],2,FALSE),IF(C24 =3,E24*VLOOKUP(2,Table6[#All],2,FALSE),NA()))))</f>
        <v>#N/A</v>
      </c>
      <c r="N24" s="36" t="e">
        <f>IF(C24 = 6,E24*VLOOKUP(1,Table3[#All],2,FALSE),IF(C24 =5,E24*VLOOKUP(1,Table4[#All],2,FALSE),IF(C24 =4,E24*VLOOKUP(1,Table5[#All],2,FALSE),IF(C24 =3,E24*VLOOKUP(1,Table6[#All],2,FALSE),IF(C24 =2,E24*VLOOKUP(1,Table7[#All],2,FALSE),NA())))))</f>
        <v>#N/A</v>
      </c>
      <c r="O24" s="11" t="s">
        <v>58</v>
      </c>
      <c r="P24" s="8" t="s">
        <v>57</v>
      </c>
      <c r="Q24" s="8" t="b">
        <v>0</v>
      </c>
      <c r="R24" s="66">
        <v>0</v>
      </c>
      <c r="S24" s="66">
        <v>0</v>
      </c>
      <c r="T24" s="8">
        <v>0</v>
      </c>
      <c r="U24" s="8" t="b">
        <v>1</v>
      </c>
      <c r="V24" s="12" t="b">
        <v>0</v>
      </c>
      <c r="W24" s="11" t="b">
        <v>0</v>
      </c>
      <c r="X24" s="10" t="b">
        <v>0</v>
      </c>
      <c r="Y24" s="28" t="b">
        <v>0</v>
      </c>
      <c r="Z24" s="48" t="b">
        <v>0</v>
      </c>
      <c r="AA24" s="69">
        <v>0</v>
      </c>
      <c r="AB24" s="105">
        <f>VLOOKUP(Table921[[#This Row],[Armor Level]],Table1217[#All],6,FALSE)</f>
        <v>0.86842105263157898</v>
      </c>
      <c r="AC24" s="1"/>
    </row>
    <row r="25" spans="1:29" x14ac:dyDescent="0.25">
      <c r="A25" s="34" t="s">
        <v>287</v>
      </c>
      <c r="B25" s="34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30.1</v>
      </c>
      <c r="C25" s="11">
        <v>3</v>
      </c>
      <c r="D25" s="39" t="s">
        <v>34</v>
      </c>
      <c r="E25" s="10">
        <v>35</v>
      </c>
      <c r="F25" s="33">
        <f>ROUNDDOWN(E25/VLOOKUP(D25,Table2[#All],2,FALSE),0)</f>
        <v>77</v>
      </c>
      <c r="G25" s="31">
        <f>ROUNDDOWN(E25/VLOOKUP(D25,Table2[#All],3,FALSE),0)</f>
        <v>87</v>
      </c>
      <c r="H25" s="32" t="str">
        <f>VLOOKUP(D25,Table2[#All],4,FALSE)</f>
        <v>Very Good</v>
      </c>
      <c r="I25" s="9">
        <v>1.2</v>
      </c>
      <c r="J25" s="35" t="e">
        <f>IF(C25&gt;5,E25*VLOOKUP(5,Table3[#All],2,FALSE),NA())</f>
        <v>#N/A</v>
      </c>
      <c r="K25" s="35" t="e">
        <f>IF(C25 = 6,E25*VLOOKUP(4,Table3[#All],2,FALSE),IF(C25 =5,E25*VLOOKUP(4,Table4[#All],2,FALSE),NA()))</f>
        <v>#N/A</v>
      </c>
      <c r="L25" s="35" t="e">
        <f>IF(C25 = 6,E25*VLOOKUP(3,Table3[#All],2,FALSE),IF(C25 =5,E25*VLOOKUP(3,Table4[#All],2,FALSE),IF(C25 =4,E25*VLOOKUP(3,Table5[#All],2,FALSE),NA())))</f>
        <v>#N/A</v>
      </c>
      <c r="M25" s="34">
        <f>IF(C25 = 6,E25*VLOOKUP(2,Table3[#All],2,FALSE),IF(C25 =5,E25*VLOOKUP(2,Table4[#All],2,FALSE),IF(C25 =4,E25*VLOOKUP(2,Table5[#All],2,FALSE),IF(C25 =3,E25*VLOOKUP(2,Table6[#All],2,FALSE),NA()))))</f>
        <v>8.75</v>
      </c>
      <c r="N25" s="36">
        <f>IF(C25 = 6,E25*VLOOKUP(1,Table3[#All],2,FALSE),IF(C25 =5,E25*VLOOKUP(1,Table4[#All],2,FALSE),IF(C25 =4,E25*VLOOKUP(1,Table5[#All],2,FALSE),IF(C25 =3,E25*VLOOKUP(1,Table6[#All],2,FALSE),IF(C25 =2,E25*VLOOKUP(1,Table7[#All],2,FALSE),NA())))))</f>
        <v>1.75</v>
      </c>
      <c r="O25" s="10" t="s">
        <v>56</v>
      </c>
      <c r="P25" s="12" t="s">
        <v>55</v>
      </c>
      <c r="Q25" s="12" t="b">
        <v>1</v>
      </c>
      <c r="R25" s="65">
        <v>0.03</v>
      </c>
      <c r="S25" s="65">
        <v>0.05</v>
      </c>
      <c r="T25" s="8">
        <v>-1</v>
      </c>
      <c r="U25" s="8" t="b">
        <v>1</v>
      </c>
      <c r="V25" s="8" t="b">
        <v>1</v>
      </c>
      <c r="W25" s="8" t="b">
        <v>1</v>
      </c>
      <c r="X25" s="10" t="b">
        <v>0</v>
      </c>
      <c r="Y25" s="28" t="b">
        <v>0</v>
      </c>
      <c r="Z25" s="48" t="b">
        <v>0</v>
      </c>
      <c r="AA25" s="69">
        <v>0</v>
      </c>
      <c r="AB25" s="101">
        <f>VLOOKUP(Table921[[#This Row],[Armor Level]],Table1217[#All],6,FALSE)</f>
        <v>0.63157894736842102</v>
      </c>
      <c r="AC25" s="1"/>
    </row>
    <row r="26" spans="1:29" x14ac:dyDescent="0.25">
      <c r="A26" s="36" t="s">
        <v>291</v>
      </c>
      <c r="B26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28.1</v>
      </c>
      <c r="C26" s="12">
        <v>2</v>
      </c>
      <c r="D26" s="32" t="s">
        <v>3</v>
      </c>
      <c r="E26" s="8">
        <v>65</v>
      </c>
      <c r="F26" s="32">
        <f>ROUNDDOWN(E26/VLOOKUP(D26,Table2[#All],2,FALSE),0)</f>
        <v>260</v>
      </c>
      <c r="G26" s="32">
        <f>ROUNDDOWN(E26/VLOOKUP(D26,Table2[#All],3,FALSE),0)</f>
        <v>325</v>
      </c>
      <c r="H26" s="31" t="str">
        <f>VLOOKUP(D26,Table2[#All],4,FALSE)</f>
        <v>Good</v>
      </c>
      <c r="I26" s="9">
        <v>1.3</v>
      </c>
      <c r="J26" s="35" t="e">
        <f>IF(C26&gt;5,E26*VLOOKUP(5,Table3[#All],2,FALSE),NA())</f>
        <v>#N/A</v>
      </c>
      <c r="K26" s="35" t="e">
        <f>IF(C26 = 6,E26*VLOOKUP(4,Table3[#All],2,FALSE),IF(C26 =5,E26*VLOOKUP(4,Table4[#All],2,FALSE),NA()))</f>
        <v>#N/A</v>
      </c>
      <c r="L26" s="35" t="e">
        <f>IF(C26 = 6,E26*VLOOKUP(3,Table3[#All],2,FALSE),IF(C26 =5,E26*VLOOKUP(3,Table4[#All],2,FALSE),IF(C26 =4,E26*VLOOKUP(3,Table5[#All],2,FALSE),NA())))</f>
        <v>#N/A</v>
      </c>
      <c r="M26" s="35" t="e">
        <f>IF(C26 = 6,E26*VLOOKUP(2,Table3[#All],2,FALSE),IF(C26 =5,E26*VLOOKUP(2,Table4[#All],2,FALSE),IF(C26 =4,E26*VLOOKUP(2,Table5[#All],2,FALSE),IF(C26 =3,E26*VLOOKUP(2,Table6[#All],2,FALSE),NA()))))</f>
        <v>#N/A</v>
      </c>
      <c r="N26" s="36">
        <f>IF(C26 = 6,E26*VLOOKUP(1,Table3[#All],2,FALSE),IF(C26 =5,E26*VLOOKUP(1,Table4[#All],2,FALSE),IF(C26 =4,E26*VLOOKUP(1,Table5[#All],2,FALSE),IF(C26 =3,E26*VLOOKUP(1,Table6[#All],2,FALSE),IF(C26 =2,E26*VLOOKUP(1,Table7[#All],2,FALSE),NA())))))</f>
        <v>8.125</v>
      </c>
      <c r="O26" s="11" t="s">
        <v>58</v>
      </c>
      <c r="P26" s="12" t="s">
        <v>55</v>
      </c>
      <c r="Q26" s="12" t="b">
        <v>1</v>
      </c>
      <c r="R26" s="66">
        <v>0</v>
      </c>
      <c r="S26" s="67">
        <v>0.13</v>
      </c>
      <c r="T26" s="12">
        <v>-14</v>
      </c>
      <c r="U26" s="8" t="b">
        <v>1</v>
      </c>
      <c r="V26" s="8" t="b">
        <v>1</v>
      </c>
      <c r="W26" s="8" t="b">
        <v>1</v>
      </c>
      <c r="X26" s="10" t="b">
        <v>0</v>
      </c>
      <c r="Y26" s="28" t="b">
        <v>0</v>
      </c>
      <c r="Z26" s="49" t="b">
        <v>1</v>
      </c>
      <c r="AA26" s="69">
        <v>0</v>
      </c>
      <c r="AB26" s="103">
        <f>VLOOKUP(Table921[[#This Row],[Armor Level]],Table1217[#All],6,FALSE)</f>
        <v>0.75</v>
      </c>
      <c r="AC26" s="1"/>
    </row>
    <row r="27" spans="1:29" x14ac:dyDescent="0.25">
      <c r="A27" s="84" t="s">
        <v>294</v>
      </c>
      <c r="B27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23.9</v>
      </c>
      <c r="C27" s="46">
        <v>1</v>
      </c>
      <c r="D27" s="32" t="s">
        <v>3</v>
      </c>
      <c r="E27" s="8">
        <v>100</v>
      </c>
      <c r="F27" s="32">
        <f>ROUNDDOWN(E27/VLOOKUP(D27,Table2[#All],2,FALSE),0)</f>
        <v>400</v>
      </c>
      <c r="G27" s="32">
        <f>ROUNDDOWN(E27/VLOOKUP(D27,Table2[#All],3,FALSE),0)</f>
        <v>500</v>
      </c>
      <c r="H27" s="31" t="str">
        <f>VLOOKUP(D27,Table2[#All],4,FALSE)</f>
        <v>Good</v>
      </c>
      <c r="I27" s="8">
        <v>0.9</v>
      </c>
      <c r="J27" s="35" t="e">
        <f>IF(C27&gt;5,E27*VLOOKUP(5,Table3[#All],2,FALSE),NA())</f>
        <v>#N/A</v>
      </c>
      <c r="K27" s="35" t="e">
        <f>IF(C27 = 6,E27*VLOOKUP(4,Table3[#All],2,FALSE),IF(C27 =5,E27*VLOOKUP(4,Table4[#All],2,FALSE),NA()))</f>
        <v>#N/A</v>
      </c>
      <c r="L27" s="35" t="e">
        <f>IF(C27 = 6,E27*VLOOKUP(3,Table3[#All],2,FALSE),IF(C27 =5,E27*VLOOKUP(3,Table4[#All],2,FALSE),IF(C27 =4,E27*VLOOKUP(3,Table5[#All],2,FALSE),NA())))</f>
        <v>#N/A</v>
      </c>
      <c r="M27" s="35" t="e">
        <f>IF(C27 = 6,E27*VLOOKUP(2,Table3[#All],2,FALSE),IF(C27 =5,E27*VLOOKUP(2,Table4[#All],2,FALSE),IF(C27 =4,E27*VLOOKUP(2,Table5[#All],2,FALSE),IF(C27 =3,E27*VLOOKUP(2,Table6[#All],2,FALSE),NA()))))</f>
        <v>#N/A</v>
      </c>
      <c r="N27" s="35" t="e">
        <f>IF(C27 = 6,E27*VLOOKUP(1,Table3[#All],2,FALSE),IF(C27 =5,E27*VLOOKUP(1,Table4[#All],2,FALSE),IF(C27 =4,E27*VLOOKUP(1,Table5[#All],2,FALSE),IF(C27 =3,E27*VLOOKUP(1,Table6[#All],2,FALSE),IF(C27 =2,E27*VLOOKUP(1,Table7[#All],2,FALSE),NA())))))</f>
        <v>#N/A</v>
      </c>
      <c r="O27" s="8" t="s">
        <v>55</v>
      </c>
      <c r="P27" s="9" t="s">
        <v>58</v>
      </c>
      <c r="Q27" s="12" t="b">
        <v>1</v>
      </c>
      <c r="R27" s="66">
        <v>0</v>
      </c>
      <c r="S27" s="66">
        <v>0</v>
      </c>
      <c r="T27" s="8">
        <v>0</v>
      </c>
      <c r="U27" s="8" t="b">
        <v>1</v>
      </c>
      <c r="V27" s="8" t="b">
        <v>1</v>
      </c>
      <c r="W27" s="8" t="b">
        <v>1</v>
      </c>
      <c r="X27" s="10" t="b">
        <v>0</v>
      </c>
      <c r="Y27" s="28" t="b">
        <v>0</v>
      </c>
      <c r="Z27" s="48" t="b">
        <v>0</v>
      </c>
      <c r="AA27" s="69">
        <v>0</v>
      </c>
      <c r="AB27" s="105">
        <f>VLOOKUP(Table921[[#This Row],[Armor Level]],Table1217[#All],6,FALSE)</f>
        <v>0.86842105263157898</v>
      </c>
      <c r="AC27" s="1"/>
    </row>
    <row r="28" spans="1:29" x14ac:dyDescent="0.25">
      <c r="A28" s="34" t="s">
        <v>284</v>
      </c>
      <c r="B28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22.5</v>
      </c>
      <c r="C28" s="11">
        <v>3</v>
      </c>
      <c r="D28" s="33" t="s">
        <v>13</v>
      </c>
      <c r="E28" s="11">
        <v>25</v>
      </c>
      <c r="F28" s="36">
        <f>ROUNDDOWN(E28/VLOOKUP(D28,Table2[#All],2,FALSE),0)</f>
        <v>41</v>
      </c>
      <c r="G28" s="36">
        <f>ROUNDDOWN(E28/VLOOKUP(D28,Table2[#All],3,FALSE),0)</f>
        <v>41</v>
      </c>
      <c r="H28" s="31" t="str">
        <f>VLOOKUP(D28,Table2[#All],4,FALSE)</f>
        <v>Good</v>
      </c>
      <c r="I28" s="9">
        <v>1.3</v>
      </c>
      <c r="J28" s="35" t="e">
        <f>IF(C28&gt;5,E28*VLOOKUP(5,Table3[#All],2,FALSE),NA())</f>
        <v>#N/A</v>
      </c>
      <c r="K28" s="35" t="e">
        <f>IF(C28 = 6,E28*VLOOKUP(4,Table3[#All],2,FALSE),IF(C28 =5,E28*VLOOKUP(4,Table4[#All],2,FALSE),NA()))</f>
        <v>#N/A</v>
      </c>
      <c r="L28" s="35" t="e">
        <f>IF(C28 = 6,E28*VLOOKUP(3,Table3[#All],2,FALSE),IF(C28 =5,E28*VLOOKUP(3,Table4[#All],2,FALSE),IF(C28 =4,E28*VLOOKUP(3,Table5[#All],2,FALSE),NA())))</f>
        <v>#N/A</v>
      </c>
      <c r="M28" s="34">
        <f>IF(C28 = 6,E28*VLOOKUP(2,Table3[#All],2,FALSE),IF(C28 =5,E28*VLOOKUP(2,Table4[#All],2,FALSE),IF(C28 =4,E28*VLOOKUP(2,Table5[#All],2,FALSE),IF(C28 =3,E28*VLOOKUP(2,Table6[#All],2,FALSE),NA()))))</f>
        <v>6.25</v>
      </c>
      <c r="N28" s="36">
        <f>IF(C28 = 6,E28*VLOOKUP(1,Table3[#All],2,FALSE),IF(C28 =5,E28*VLOOKUP(1,Table4[#All],2,FALSE),IF(C28 =4,E28*VLOOKUP(1,Table5[#All],2,FALSE),IF(C28 =3,E28*VLOOKUP(1,Table6[#All],2,FALSE),IF(C28 =2,E28*VLOOKUP(1,Table7[#All],2,FALSE),NA())))))</f>
        <v>1.25</v>
      </c>
      <c r="O28" s="8" t="s">
        <v>55</v>
      </c>
      <c r="P28" s="9" t="s">
        <v>58</v>
      </c>
      <c r="Q28" s="8" t="b">
        <v>0</v>
      </c>
      <c r="R28" s="66">
        <v>0.01</v>
      </c>
      <c r="S28" s="65">
        <v>0.05</v>
      </c>
      <c r="T28" s="9">
        <v>-2</v>
      </c>
      <c r="U28" s="8" t="b">
        <v>1</v>
      </c>
      <c r="V28" s="8" t="b">
        <v>1</v>
      </c>
      <c r="W28" s="8" t="b">
        <v>1</v>
      </c>
      <c r="X28" s="10" t="b">
        <v>0</v>
      </c>
      <c r="Y28" s="28" t="b">
        <v>0</v>
      </c>
      <c r="Z28" s="48" t="b">
        <v>0</v>
      </c>
      <c r="AA28" s="69">
        <v>0</v>
      </c>
      <c r="AB28" s="101">
        <f>VLOOKUP(Table921[[#This Row],[Armor Level]],Table1217[#All],6,FALSE)</f>
        <v>0.63157894736842102</v>
      </c>
      <c r="AC28" s="1"/>
    </row>
    <row r="29" spans="1:29" x14ac:dyDescent="0.25">
      <c r="A29" s="36" t="s">
        <v>292</v>
      </c>
      <c r="B29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18.3</v>
      </c>
      <c r="C29" s="12">
        <v>2</v>
      </c>
      <c r="D29" s="39" t="s">
        <v>34</v>
      </c>
      <c r="E29" s="39">
        <v>40</v>
      </c>
      <c r="F29" s="31">
        <f>ROUNDDOWN(E29/VLOOKUP(D29,Table2[#All],2,FALSE),0)</f>
        <v>88</v>
      </c>
      <c r="G29" s="32">
        <f>ROUNDDOWN(E29/VLOOKUP(D29,Table2[#All],3,FALSE),0)</f>
        <v>100</v>
      </c>
      <c r="H29" s="32" t="str">
        <f>VLOOKUP(D29,Table2[#All],4,FALSE)</f>
        <v>Very Good</v>
      </c>
      <c r="I29" s="9">
        <v>1.2</v>
      </c>
      <c r="J29" s="35" t="e">
        <f>IF(C29&gt;5,E29*VLOOKUP(5,Table3[#All],2,FALSE),NA())</f>
        <v>#N/A</v>
      </c>
      <c r="K29" s="35" t="e">
        <f>IF(C29 = 6,E29*VLOOKUP(4,Table3[#All],2,FALSE),IF(C29 =5,E29*VLOOKUP(4,Table4[#All],2,FALSE),NA()))</f>
        <v>#N/A</v>
      </c>
      <c r="L29" s="35" t="e">
        <f>IF(C29 = 6,E29*VLOOKUP(3,Table3[#All],2,FALSE),IF(C29 =5,E29*VLOOKUP(3,Table4[#All],2,FALSE),IF(C29 =4,E29*VLOOKUP(3,Table5[#All],2,FALSE),NA())))</f>
        <v>#N/A</v>
      </c>
      <c r="M29" s="35" t="e">
        <f>IF(C29 = 6,E29*VLOOKUP(2,Table3[#All],2,FALSE),IF(C29 =5,E29*VLOOKUP(2,Table4[#All],2,FALSE),IF(C29 =4,E29*VLOOKUP(2,Table5[#All],2,FALSE),IF(C29 =3,E29*VLOOKUP(2,Table6[#All],2,FALSE),NA()))))</f>
        <v>#N/A</v>
      </c>
      <c r="N29" s="36">
        <f>IF(C29 = 6,E29*VLOOKUP(1,Table3[#All],2,FALSE),IF(C29 =5,E29*VLOOKUP(1,Table4[#All],2,FALSE),IF(C29 =4,E29*VLOOKUP(1,Table5[#All],2,FALSE),IF(C29 =3,E29*VLOOKUP(1,Table6[#All],2,FALSE),IF(C29 =2,E29*VLOOKUP(1,Table7[#All],2,FALSE),NA())))))</f>
        <v>5</v>
      </c>
      <c r="O29" s="12" t="s">
        <v>57</v>
      </c>
      <c r="P29" s="9" t="s">
        <v>58</v>
      </c>
      <c r="Q29" s="12" t="b">
        <v>1</v>
      </c>
      <c r="R29" s="65">
        <v>0.03</v>
      </c>
      <c r="S29" s="65">
        <v>0.05</v>
      </c>
      <c r="T29" s="8">
        <v>0</v>
      </c>
      <c r="U29" s="8" t="b">
        <v>1</v>
      </c>
      <c r="V29" s="8" t="b">
        <v>1</v>
      </c>
      <c r="W29" s="8" t="b">
        <v>1</v>
      </c>
      <c r="X29" s="8" t="b">
        <v>1</v>
      </c>
      <c r="Y29" s="21" t="b">
        <v>1</v>
      </c>
      <c r="Z29" s="48" t="b">
        <v>0</v>
      </c>
      <c r="AA29" s="69">
        <v>0</v>
      </c>
      <c r="AB29" s="103">
        <f>VLOOKUP(Table921[[#This Row],[Armor Level]],Table1217[#All],6,FALSE)</f>
        <v>0.75</v>
      </c>
      <c r="AC29" s="1"/>
    </row>
    <row r="30" spans="1:29" x14ac:dyDescent="0.25">
      <c r="A30" s="36" t="s">
        <v>290</v>
      </c>
      <c r="B30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17</v>
      </c>
      <c r="C30" s="12">
        <v>2</v>
      </c>
      <c r="D30" s="32" t="s">
        <v>3</v>
      </c>
      <c r="E30" s="39">
        <v>40</v>
      </c>
      <c r="F30" s="32">
        <f>ROUNDDOWN(E30/VLOOKUP(D30,Table2[#All],2,FALSE),0)</f>
        <v>160</v>
      </c>
      <c r="G30" s="32">
        <f>ROUNDDOWN(E30/VLOOKUP(D30,Table2[#All],3,FALSE),0)</f>
        <v>200</v>
      </c>
      <c r="H30" s="31" t="str">
        <f>VLOOKUP(D30,Table2[#All],4,FALSE)</f>
        <v>Good</v>
      </c>
      <c r="I30" s="10">
        <v>1.5</v>
      </c>
      <c r="J30" s="35" t="e">
        <f>IF(C30&gt;5,E30*VLOOKUP(5,Table3[#All],2,FALSE),NA())</f>
        <v>#N/A</v>
      </c>
      <c r="K30" s="35" t="e">
        <f>IF(C30 = 6,E30*VLOOKUP(4,Table3[#All],2,FALSE),IF(C30 =5,E30*VLOOKUP(4,Table4[#All],2,FALSE),NA()))</f>
        <v>#N/A</v>
      </c>
      <c r="L30" s="35" t="e">
        <f>IF(C30 = 6,E30*VLOOKUP(3,Table3[#All],2,FALSE),IF(C30 =5,E30*VLOOKUP(3,Table4[#All],2,FALSE),IF(C30 =4,E30*VLOOKUP(3,Table5[#All],2,FALSE),NA())))</f>
        <v>#N/A</v>
      </c>
      <c r="M30" s="35" t="e">
        <f>IF(C30 = 6,E30*VLOOKUP(2,Table3[#All],2,FALSE),IF(C30 =5,E30*VLOOKUP(2,Table4[#All],2,FALSE),IF(C30 =4,E30*VLOOKUP(2,Table5[#All],2,FALSE),IF(C30 =3,E30*VLOOKUP(2,Table6[#All],2,FALSE),NA()))))</f>
        <v>#N/A</v>
      </c>
      <c r="N30" s="36">
        <f>IF(C30 = 6,E30*VLOOKUP(1,Table3[#All],2,FALSE),IF(C30 =5,E30*VLOOKUP(1,Table4[#All],2,FALSE),IF(C30 =4,E30*VLOOKUP(1,Table5[#All],2,FALSE),IF(C30 =3,E30*VLOOKUP(1,Table6[#All],2,FALSE),IF(C30 =2,E30*VLOOKUP(1,Table7[#All],2,FALSE),NA())))))</f>
        <v>5</v>
      </c>
      <c r="O30" s="11" t="s">
        <v>58</v>
      </c>
      <c r="P30" s="12" t="s">
        <v>55</v>
      </c>
      <c r="Q30" s="12" t="b">
        <v>1</v>
      </c>
      <c r="R30" s="66">
        <v>0</v>
      </c>
      <c r="S30" s="68">
        <v>0.12</v>
      </c>
      <c r="T30" s="12">
        <v>-10</v>
      </c>
      <c r="U30" s="8" t="b">
        <v>1</v>
      </c>
      <c r="V30" s="8" t="b">
        <v>1</v>
      </c>
      <c r="W30" s="8" t="b">
        <v>1</v>
      </c>
      <c r="X30" s="10" t="b">
        <v>0</v>
      </c>
      <c r="Y30" s="28" t="b">
        <v>0</v>
      </c>
      <c r="Z30" s="49" t="b">
        <v>1</v>
      </c>
      <c r="AA30" s="69">
        <v>0</v>
      </c>
      <c r="AB30" s="103">
        <f>VLOOKUP(Table921[[#This Row],[Armor Level]],Table1217[#All],6,FALSE)</f>
        <v>0.75</v>
      </c>
      <c r="AC30" s="1"/>
    </row>
    <row r="31" spans="1:29" x14ac:dyDescent="0.25">
      <c r="A31" s="162" t="s">
        <v>286</v>
      </c>
      <c r="B31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11.9</v>
      </c>
      <c r="C31" s="19">
        <v>3</v>
      </c>
      <c r="D31" s="53" t="s">
        <v>8</v>
      </c>
      <c r="E31" s="17">
        <v>30</v>
      </c>
      <c r="F31" s="54">
        <f>ROUNDDOWN(E31/VLOOKUP(D31,Table2[#All],2,FALSE),0)</f>
        <v>42</v>
      </c>
      <c r="G31" s="40">
        <f>ROUNDDOWN(E31/VLOOKUP(D31,Table2[#All],3,FALSE),0)</f>
        <v>50</v>
      </c>
      <c r="H31" s="43" t="str">
        <f>VLOOKUP(D31,Table2[#All],4,FALSE)</f>
        <v>Very Good</v>
      </c>
      <c r="I31" s="17">
        <v>1.5</v>
      </c>
      <c r="J31" s="41" t="e">
        <f>IF(C31&gt;5,E31*VLOOKUP(5,Table3[#All],2,FALSE),NA())</f>
        <v>#N/A</v>
      </c>
      <c r="K31" s="41" t="e">
        <f>IF(C31 = 6,E31*VLOOKUP(4,Table3[#All],2,FALSE),IF(C31 =5,E31*VLOOKUP(4,Table4[#All],2,FALSE),NA()))</f>
        <v>#N/A</v>
      </c>
      <c r="L31" s="41" t="e">
        <f>IF(C31 = 6,E31*VLOOKUP(3,Table3[#All],2,FALSE),IF(C31 =5,E31*VLOOKUP(3,Table4[#All],2,FALSE),IF(C31 =4,E31*VLOOKUP(3,Table5[#All],2,FALSE),NA())))</f>
        <v>#N/A</v>
      </c>
      <c r="M31" s="40">
        <f>IF(C31 = 6,E31*VLOOKUP(2,Table3[#All],2,FALSE),IF(C31 =5,E31*VLOOKUP(2,Table4[#All],2,FALSE),IF(C31 =4,E31*VLOOKUP(2,Table5[#All],2,FALSE),IF(C31 =3,E31*VLOOKUP(2,Table6[#All],2,FALSE),NA()))))</f>
        <v>7.5</v>
      </c>
      <c r="N31" s="54">
        <f>IF(C31 = 6,E31*VLOOKUP(1,Table3[#All],2,FALSE),IF(C31 =5,E31*VLOOKUP(1,Table4[#All],2,FALSE),IF(C31 =4,E31*VLOOKUP(1,Table5[#All],2,FALSE),IF(C31 =3,E31*VLOOKUP(1,Table6[#All],2,FALSE),IF(C31 =2,E31*VLOOKUP(1,Table7[#All],2,FALSE),NA())))))</f>
        <v>1.5</v>
      </c>
      <c r="O31" s="15" t="s">
        <v>55</v>
      </c>
      <c r="P31" s="15" t="s">
        <v>57</v>
      </c>
      <c r="Q31" s="15" t="b">
        <v>0</v>
      </c>
      <c r="R31" s="129">
        <v>0.02</v>
      </c>
      <c r="S31" s="134">
        <v>0.06</v>
      </c>
      <c r="T31" s="18">
        <v>-13</v>
      </c>
      <c r="U31" s="8" t="b">
        <v>1</v>
      </c>
      <c r="V31" s="15" t="b">
        <v>1</v>
      </c>
      <c r="W31" s="19" t="b">
        <v>0</v>
      </c>
      <c r="X31" s="17" t="b">
        <v>0</v>
      </c>
      <c r="Y31" s="157" t="b">
        <v>0</v>
      </c>
      <c r="Z31" s="48" t="b">
        <v>0</v>
      </c>
      <c r="AA31" s="69">
        <v>0</v>
      </c>
      <c r="AB31" s="101">
        <f>VLOOKUP(Table921[[#This Row],[Armor Level]],Table1217[#All],6,FALSE)</f>
        <v>0.63157894736842102</v>
      </c>
      <c r="AC31" s="1"/>
    </row>
    <row r="32" spans="1:29" x14ac:dyDescent="0.25">
      <c r="A32" s="144" t="s">
        <v>296</v>
      </c>
      <c r="B32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10.199999999999999</v>
      </c>
      <c r="C32" s="51">
        <v>1</v>
      </c>
      <c r="D32" s="43" t="s">
        <v>3</v>
      </c>
      <c r="E32" s="16">
        <v>40</v>
      </c>
      <c r="F32" s="43">
        <f>ROUNDDOWN(E32/VLOOKUP(D32,Table2[#All],2,FALSE),0)</f>
        <v>160</v>
      </c>
      <c r="G32" s="43">
        <f>ROUNDDOWN(E32/VLOOKUP(D32,Table2[#All],3,FALSE),0)</f>
        <v>200</v>
      </c>
      <c r="H32" s="42" t="str">
        <f>VLOOKUP(D32,Table2[#All],4,FALSE)</f>
        <v>Good</v>
      </c>
      <c r="I32" s="15">
        <v>0.3</v>
      </c>
      <c r="J32" s="41" t="e">
        <f>IF(C32&gt;5,E32*VLOOKUP(5,Table3[#All],2,FALSE),NA())</f>
        <v>#N/A</v>
      </c>
      <c r="K32" s="41" t="e">
        <f>IF(C32 = 6,E32*VLOOKUP(4,Table3[#All],2,FALSE),IF(C32 =5,E32*VLOOKUP(4,Table4[#All],2,FALSE),NA()))</f>
        <v>#N/A</v>
      </c>
      <c r="L32" s="41" t="e">
        <f>IF(C32 = 6,E32*VLOOKUP(3,Table3[#All],2,FALSE),IF(C32 =5,E32*VLOOKUP(3,Table4[#All],2,FALSE),IF(C32 =4,E32*VLOOKUP(3,Table5[#All],2,FALSE),NA())))</f>
        <v>#N/A</v>
      </c>
      <c r="M32" s="41" t="e">
        <f>IF(C32 = 6,E32*VLOOKUP(2,Table3[#All],2,FALSE),IF(C32 =5,E32*VLOOKUP(2,Table4[#All],2,FALSE),IF(C32 =4,E32*VLOOKUP(2,Table5[#All],2,FALSE),IF(C32 =3,E32*VLOOKUP(2,Table6[#All],2,FALSE),NA()))))</f>
        <v>#N/A</v>
      </c>
      <c r="N32" s="41" t="e">
        <f>IF(C32 = 6,E32*VLOOKUP(1,Table3[#All],2,FALSE),IF(C32 =5,E32*VLOOKUP(1,Table4[#All],2,FALSE),IF(C32 =4,E32*VLOOKUP(1,Table5[#All],2,FALSE),IF(C32 =3,E32*VLOOKUP(1,Table6[#All],2,FALSE),IF(C32 =2,E32*VLOOKUP(1,Table7[#All],2,FALSE),NA())))))</f>
        <v>#N/A</v>
      </c>
      <c r="O32" s="15" t="s">
        <v>55</v>
      </c>
      <c r="P32" s="8" t="s">
        <v>57</v>
      </c>
      <c r="Q32" s="8" t="b">
        <v>0</v>
      </c>
      <c r="R32" s="70">
        <v>0</v>
      </c>
      <c r="S32" s="70">
        <v>0</v>
      </c>
      <c r="T32" s="15">
        <v>0</v>
      </c>
      <c r="U32" s="8" t="b">
        <v>1</v>
      </c>
      <c r="V32" s="12" t="b">
        <v>0</v>
      </c>
      <c r="W32" s="11" t="b">
        <v>0</v>
      </c>
      <c r="X32" s="8" t="b">
        <v>1</v>
      </c>
      <c r="Y32" s="21" t="b">
        <v>1</v>
      </c>
      <c r="Z32" s="49" t="b">
        <v>1</v>
      </c>
      <c r="AA32" s="69">
        <v>0</v>
      </c>
      <c r="AB32" s="105">
        <f>VLOOKUP(Table921[[#This Row],[Armor Level]],Table1217[#All],6,FALSE)</f>
        <v>0.86842105263157898</v>
      </c>
      <c r="AC32" s="1"/>
    </row>
    <row r="33" spans="1:29" x14ac:dyDescent="0.25">
      <c r="A33" s="36" t="s">
        <v>289</v>
      </c>
      <c r="B33" s="36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9</v>
      </c>
      <c r="C33" s="18">
        <v>2</v>
      </c>
      <c r="D33" s="32" t="s">
        <v>3</v>
      </c>
      <c r="E33" s="19">
        <v>25</v>
      </c>
      <c r="F33" s="43">
        <f>ROUNDDOWN(E33/VLOOKUP(D33,Table2[#All],2,FALSE),0)</f>
        <v>100</v>
      </c>
      <c r="G33" s="43">
        <f>ROUNDDOWN(E33/VLOOKUP(D33,Table2[#All],3,FALSE),0)</f>
        <v>125</v>
      </c>
      <c r="H33" s="42" t="str">
        <f>VLOOKUP(D33,Table2[#All],4,FALSE)</f>
        <v>Good</v>
      </c>
      <c r="I33" s="17">
        <v>1.9</v>
      </c>
      <c r="J33" s="41" t="e">
        <f>IF(C33&gt;5,E33*VLOOKUP(5,Table3[#All],2,FALSE),NA())</f>
        <v>#N/A</v>
      </c>
      <c r="K33" s="41" t="e">
        <f>IF(C33 = 6,E33*VLOOKUP(4,Table3[#All],2,FALSE),IF(C33 =5,E33*VLOOKUP(4,Table4[#All],2,FALSE),NA()))</f>
        <v>#N/A</v>
      </c>
      <c r="L33" s="41" t="e">
        <f>IF(C33 = 6,E33*VLOOKUP(3,Table3[#All],2,FALSE),IF(C33 =5,E33*VLOOKUP(3,Table4[#All],2,FALSE),IF(C33 =4,E33*VLOOKUP(3,Table5[#All],2,FALSE),NA())))</f>
        <v>#N/A</v>
      </c>
      <c r="M33" s="41" t="e">
        <f>IF(C33 = 6,E33*VLOOKUP(2,Table3[#All],2,FALSE),IF(C33 =5,E33*VLOOKUP(2,Table4[#All],2,FALSE),IF(C33 =4,E33*VLOOKUP(2,Table5[#All],2,FALSE),IF(C33 =3,E33*VLOOKUP(2,Table6[#All],2,FALSE),NA()))))</f>
        <v>#N/A</v>
      </c>
      <c r="N33" s="54">
        <f>IF(C33 = 6,E33*VLOOKUP(1,Table3[#All],2,FALSE),IF(C33 =5,E33*VLOOKUP(1,Table4[#All],2,FALSE),IF(C33 =4,E33*VLOOKUP(1,Table5[#All],2,FALSE),IF(C33 =3,E33*VLOOKUP(1,Table6[#All],2,FALSE),IF(C33 =2,E33*VLOOKUP(1,Table7[#All],2,FALSE),NA())))))</f>
        <v>3.125</v>
      </c>
      <c r="O33" s="19" t="s">
        <v>58</v>
      </c>
      <c r="P33" s="12" t="s">
        <v>55</v>
      </c>
      <c r="Q33" s="18" t="b">
        <v>1</v>
      </c>
      <c r="R33" s="65">
        <v>0.02</v>
      </c>
      <c r="S33" s="68">
        <v>0.1</v>
      </c>
      <c r="T33" s="10">
        <v>-5</v>
      </c>
      <c r="U33" s="8" t="b">
        <v>1</v>
      </c>
      <c r="V33" s="12" t="b">
        <v>0</v>
      </c>
      <c r="W33" s="11" t="b">
        <v>0</v>
      </c>
      <c r="X33" s="10" t="b">
        <v>0</v>
      </c>
      <c r="Y33" s="10" t="b">
        <v>0</v>
      </c>
      <c r="Z33" s="48" t="b">
        <v>0</v>
      </c>
      <c r="AA33" s="69">
        <v>0</v>
      </c>
      <c r="AB33" s="103">
        <f>VLOOKUP(Table921[[#This Row],[Armor Level]],Table1217[#All],6,FALSE)</f>
        <v>0.75</v>
      </c>
      <c r="AC33" s="1"/>
    </row>
    <row r="34" spans="1:29" x14ac:dyDescent="0.25">
      <c r="A34" s="161" t="s">
        <v>293</v>
      </c>
      <c r="B34" s="54">
        <f>ROUNDDOWN(((Table921[[#This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Durability]]))/8))-(Table921[[#This Row],[Armor Level]]*((IF(Table921[[#This Row],[Blocks Headset]],Table921[[#This Row],[Effective Durability]]/5,Table921[[#This Row],[Effective Durability]])+IF(Table921[[#This Row],[Ricochet chance]] = "High",Table921[[#This Row],[Effective Durability]],IF(Table921[[#This Row],[Ricochet chance]] = "Medium",Table921[[#This Row],[Effective Durability]]/2,IF(Table921[[#This Row],[Ricochet chance]] = "Low",Table921[[#This Row],[Effective Durability]]/3,Table921[[#This Row],[Effective Durability]]/4)))+IF(Table921[[#This Row],[Blocks Headset]],Table921[[#This Row],[Effective Durability]]/4,Table921[[#This Row],[Effective Durability]])+IF(Table921[[#This Row],[Nape]],Table921[[#This Row],[Effective Durability]],Table921[[#This Row],[Effective Durability]]/4)+IF(Table921[[#This Row],[Ears]],Table921[[#This Row],[Effective Durability]],Table921[[#This Row],[Effective Durability]]/3)+IF(Table921[[#This Row],[Eyes]],Table921[[#This Row],[Effective Durability]],Table921[[#This Row],[Effective Durability]]/2)+IF(Table921[[#This Row],[Jaws]],Table921[[#This Row],[Effective Durability]],Table921[[#This Row],[Effective Durability]]/2)+IF(Table921[[#This Row],[Blocks Eyeware]],Table921[[#This Row],[Effective Durability]]/4,Table921[[#This Row],[Effective Durability]]))/8))*(Table921[[#This Row],[Movement Speed]]+Table921[[#This Row],[Turn Speed]]+(100%-Table921[[#This Row],[Blindness Protection]])/3)+2*Table921[[#This Row],[Ergonomics]])*(100%-Table921[[#This Row],[% Common penetrating rounds]]),1)</f>
        <v>5.2</v>
      </c>
      <c r="C34" s="51">
        <v>1</v>
      </c>
      <c r="D34" s="164" t="s">
        <v>4</v>
      </c>
      <c r="E34" s="44">
        <v>40</v>
      </c>
      <c r="F34" s="160">
        <f>ROUNDDOWN(E34/VLOOKUP(D34,Table2[#All],2,FALSE),0)</f>
        <v>80</v>
      </c>
      <c r="G34" s="43">
        <f>ROUNDDOWN(E34/VLOOKUP(D34,Table2[#All],3,FALSE),0)</f>
        <v>100</v>
      </c>
      <c r="H34" s="166" t="str">
        <f>VLOOKUP(D34,Table2[#All],4,FALSE)</f>
        <v>Average</v>
      </c>
      <c r="I34" s="15">
        <v>0.45</v>
      </c>
      <c r="J34" s="41" t="e">
        <f>IF(C34&gt;5,E34*VLOOKUP(5,Table3[#All],2,FALSE),NA())</f>
        <v>#N/A</v>
      </c>
      <c r="K34" s="41" t="e">
        <f>IF(C34 = 6,E34*VLOOKUP(4,Table3[#All],2,FALSE),IF(C34 =5,E34*VLOOKUP(4,Table4[#All],2,FALSE),NA()))</f>
        <v>#N/A</v>
      </c>
      <c r="L34" s="41" t="e">
        <f>IF(C34 = 6,E34*VLOOKUP(3,Table3[#All],2,FALSE),IF(C34 =5,E34*VLOOKUP(3,Table4[#All],2,FALSE),IF(C34 =4,E34*VLOOKUP(3,Table5[#All],2,FALSE),NA())))</f>
        <v>#N/A</v>
      </c>
      <c r="M34" s="41" t="e">
        <f>IF(C34 = 6,E34*VLOOKUP(2,Table3[#All],2,FALSE),IF(C34 =5,E34*VLOOKUP(2,Table4[#All],2,FALSE),IF(C34 =4,E34*VLOOKUP(2,Table5[#All],2,FALSE),IF(C34 =3,E34*VLOOKUP(2,Table6[#All],2,FALSE),NA()))))</f>
        <v>#N/A</v>
      </c>
      <c r="N34" s="41" t="e">
        <f>IF(C34 = 6,E34*VLOOKUP(1,Table3[#All],2,FALSE),IF(C34 =5,E34*VLOOKUP(1,Table4[#All],2,FALSE),IF(C34 =4,E34*VLOOKUP(1,Table5[#All],2,FALSE),IF(C34 =3,E34*VLOOKUP(1,Table6[#All],2,FALSE),IF(C34 =2,E34*VLOOKUP(1,Table7[#All],2,FALSE),NA())))))</f>
        <v>#N/A</v>
      </c>
      <c r="O34" s="158" t="s">
        <v>55</v>
      </c>
      <c r="P34" s="158" t="s">
        <v>57</v>
      </c>
      <c r="Q34" s="15" t="b">
        <v>0</v>
      </c>
      <c r="R34" s="70">
        <v>0</v>
      </c>
      <c r="S34" s="159">
        <v>0</v>
      </c>
      <c r="T34" s="158">
        <v>-1</v>
      </c>
      <c r="U34" s="158" t="b">
        <v>1</v>
      </c>
      <c r="V34" s="8" t="b">
        <v>1</v>
      </c>
      <c r="W34" s="11" t="b">
        <v>0</v>
      </c>
      <c r="X34" s="10" t="b">
        <v>0</v>
      </c>
      <c r="Y34" s="10" t="b">
        <v>0</v>
      </c>
      <c r="Z34" s="48" t="b">
        <v>0</v>
      </c>
      <c r="AA34" s="134">
        <v>0</v>
      </c>
      <c r="AB34" s="143">
        <f>VLOOKUP(Table921[[#This Row],[Armor Level]],Table1217[#All],6,FALSE)</f>
        <v>0.86842105263157898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58F9-C520-4287-BCEB-9170F2776128}">
  <dimension ref="A1:AB31"/>
  <sheetViews>
    <sheetView workbookViewId="0">
      <selection activeCell="J31" sqref="J31"/>
    </sheetView>
  </sheetViews>
  <sheetFormatPr defaultRowHeight="15" x14ac:dyDescent="0.25"/>
  <cols>
    <col min="1" max="1" width="37.140625" bestFit="1" customWidth="1"/>
    <col min="2" max="2" width="17.28515625" bestFit="1" customWidth="1"/>
    <col min="3" max="3" width="16.28515625" bestFit="1" customWidth="1"/>
    <col min="4" max="4" width="19.140625" bestFit="1" customWidth="1"/>
    <col min="5" max="5" width="14.28515625" bestFit="1" customWidth="1"/>
    <col min="6" max="6" width="22.85546875" bestFit="1" customWidth="1"/>
    <col min="7" max="7" width="23.42578125" bestFit="1" customWidth="1"/>
    <col min="8" max="8" width="16.85546875" bestFit="1" customWidth="1"/>
    <col min="9" max="9" width="12.140625" bestFit="1" customWidth="1"/>
    <col min="10" max="11" width="10.5703125" bestFit="1" customWidth="1"/>
    <col min="12" max="12" width="11.7109375" customWidth="1"/>
    <col min="13" max="14" width="10.5703125" bestFit="1" customWidth="1"/>
    <col min="15" max="15" width="19.85546875" bestFit="1" customWidth="1"/>
    <col min="16" max="16" width="20.28515625" bestFit="1" customWidth="1"/>
    <col min="17" max="18" width="15.7109375" bestFit="1" customWidth="1"/>
    <col min="19" max="19" width="10.28515625" bestFit="1" customWidth="1"/>
    <col min="20" max="20" width="9.140625" bestFit="1" customWidth="1"/>
    <col min="21" max="21" width="9.5703125" bestFit="1" customWidth="1"/>
    <col min="22" max="22" width="9.7109375" bestFit="1" customWidth="1"/>
    <col min="23" max="25" width="24.140625" bestFit="1" customWidth="1"/>
    <col min="26" max="26" width="19.28515625" bestFit="1" customWidth="1"/>
    <col min="27" max="27" width="24.140625" bestFit="1" customWidth="1"/>
    <col min="28" max="28" width="33.5703125" bestFit="1" customWidth="1"/>
  </cols>
  <sheetData>
    <row r="1" spans="1:28" ht="18.75" x14ac:dyDescent="0.3">
      <c r="A1" s="45" t="s">
        <v>178</v>
      </c>
      <c r="B1" s="1"/>
      <c r="C1" s="1"/>
      <c r="D1" s="1"/>
      <c r="E1" s="1"/>
      <c r="F1" s="1"/>
      <c r="G1" s="1"/>
      <c r="H1" s="1"/>
      <c r="I1" s="1"/>
      <c r="J1" s="1"/>
      <c r="L1" s="45" t="s">
        <v>70</v>
      </c>
      <c r="M1" s="1"/>
      <c r="N1" s="3"/>
      <c r="O1" s="3"/>
      <c r="P1" s="1"/>
      <c r="Q1" s="1"/>
      <c r="R1" s="1"/>
      <c r="S1" s="1"/>
      <c r="T1" s="1"/>
      <c r="U1" s="1"/>
      <c r="V1" s="1"/>
    </row>
    <row r="2" spans="1:28" x14ac:dyDescent="0.25">
      <c r="A2" s="37" t="s">
        <v>17</v>
      </c>
      <c r="B2" s="38" t="s">
        <v>73</v>
      </c>
      <c r="C2" s="38" t="s">
        <v>20</v>
      </c>
      <c r="D2" s="38" t="s">
        <v>2</v>
      </c>
      <c r="E2" s="38" t="s">
        <v>18</v>
      </c>
      <c r="F2" s="38" t="s">
        <v>19</v>
      </c>
      <c r="G2" s="38" t="s">
        <v>22</v>
      </c>
      <c r="H2" s="38" t="s">
        <v>9</v>
      </c>
      <c r="I2" s="38" t="s">
        <v>31</v>
      </c>
      <c r="J2" s="38" t="s">
        <v>23</v>
      </c>
      <c r="K2" s="38" t="s">
        <v>24</v>
      </c>
      <c r="L2" s="38" t="s">
        <v>25</v>
      </c>
      <c r="M2" s="38" t="s">
        <v>26</v>
      </c>
      <c r="N2" s="38" t="s">
        <v>27</v>
      </c>
      <c r="O2" s="38" t="s">
        <v>51</v>
      </c>
      <c r="P2" s="38" t="s">
        <v>52</v>
      </c>
      <c r="Q2" s="38" t="s">
        <v>53</v>
      </c>
      <c r="R2" s="38" t="s">
        <v>247</v>
      </c>
      <c r="S2" s="38" t="s">
        <v>28</v>
      </c>
      <c r="T2" s="38" t="s">
        <v>30</v>
      </c>
      <c r="U2" s="38" t="s">
        <v>192</v>
      </c>
      <c r="V2" s="38" t="s">
        <v>46</v>
      </c>
      <c r="W2" s="38" t="s">
        <v>47</v>
      </c>
      <c r="X2" s="38" t="s">
        <v>48</v>
      </c>
      <c r="Y2" s="38" t="s">
        <v>49</v>
      </c>
      <c r="Z2" s="38" t="s">
        <v>59</v>
      </c>
      <c r="AA2" s="38" t="s">
        <v>60</v>
      </c>
      <c r="AB2" s="38" t="s">
        <v>307</v>
      </c>
    </row>
    <row r="3" spans="1:28" x14ac:dyDescent="0.25">
      <c r="A3" s="56" t="s">
        <v>262</v>
      </c>
      <c r="B3" s="48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209.7</v>
      </c>
      <c r="C3" s="34">
        <v>3</v>
      </c>
      <c r="D3" s="33" t="s">
        <v>13</v>
      </c>
      <c r="E3" s="9">
        <v>30</v>
      </c>
      <c r="F3" s="32">
        <f>ROUNDDOWN(E3/VLOOKUP(D3,Table2[#All],2,FALSE),0)</f>
        <v>50</v>
      </c>
      <c r="G3" s="31">
        <f>ROUNDDOWN(E3/VLOOKUP(D3,Table2[#All],3,FALSE),0)</f>
        <v>50</v>
      </c>
      <c r="H3" s="31" t="str">
        <f>VLOOKUP(D3,Table2[#All],4,FALSE)</f>
        <v>Good</v>
      </c>
      <c r="I3" s="8">
        <v>0.17199999999999999</v>
      </c>
      <c r="J3" s="35" t="e">
        <f>IF(C3&gt;5,E3*VLOOKUP(5,Table3[#All],2,FALSE),NA())</f>
        <v>#N/A</v>
      </c>
      <c r="K3" s="35" t="e">
        <f>IF(C3 = 6,E3*VLOOKUP(4,Table3[#All],2,FALSE),IF(C3 =5,E3*VLOOKUP(4,Table4[#All],2,FALSE),NA()))</f>
        <v>#N/A</v>
      </c>
      <c r="L3" s="35" t="e">
        <f>IF(C3 = 6,E3*VLOOKUP(3,Table3[#All],2,FALSE),IF(C3 =5,E3*VLOOKUP(3,Table4[#All],2,FALSE),IF(C3 =4,E3*VLOOKUP(3,Table5[#All],2,FALSE),NA())))</f>
        <v>#N/A</v>
      </c>
      <c r="M3" s="34">
        <f>IF(C3 = 6,E3*VLOOKUP(2,Table3[#All],2,FALSE),IF(C3 =5,E3*VLOOKUP(2,Table4[#All],2,FALSE),IF(C3 =4,E3*VLOOKUP(2,Table5[#All],2,FALSE),IF(C3 =3,E3*VLOOKUP(2,Table6[#All],2,FALSE),NA()))))</f>
        <v>7.5</v>
      </c>
      <c r="N3" s="36">
        <f>IF(C3 = 6,E3*VLOOKUP(1,Table3[#All],2,FALSE),IF(C3 =5,E3*VLOOKUP(1,Table4[#All],2,FALSE),IF(C3 =4,E3*VLOOKUP(1,Table5[#All],2,FALSE),IF(C3 =3,E3*VLOOKUP(1,Table6[#All],2,FALSE),IF(C3 =2,E3*VLOOKUP(1,Table7[#All],2,FALSE),NA())))))</f>
        <v>1.5</v>
      </c>
      <c r="O3" s="32" t="s">
        <v>55</v>
      </c>
      <c r="P3" s="31" t="s">
        <v>58</v>
      </c>
      <c r="Q3" s="8" t="b">
        <v>0</v>
      </c>
      <c r="R3" s="74">
        <v>0</v>
      </c>
      <c r="S3" s="66">
        <v>0</v>
      </c>
      <c r="T3" s="8">
        <v>0</v>
      </c>
      <c r="U3" s="11" t="b">
        <v>0</v>
      </c>
      <c r="V3" s="10" t="b">
        <v>0</v>
      </c>
      <c r="W3" s="8" t="b">
        <v>1</v>
      </c>
      <c r="X3" s="11" t="b">
        <v>0</v>
      </c>
      <c r="Y3" s="11" t="b">
        <v>0</v>
      </c>
      <c r="Z3" s="48" t="b">
        <v>0</v>
      </c>
      <c r="AA3" s="75">
        <v>0</v>
      </c>
      <c r="AB3" s="140">
        <f>VLOOKUP(Table1022[[#This Row],[Armor Level]],Table1217[#All],6,FALSE)</f>
        <v>0.63157894736842102</v>
      </c>
    </row>
    <row r="4" spans="1:28" x14ac:dyDescent="0.25">
      <c r="A4" s="23" t="s">
        <v>266</v>
      </c>
      <c r="B4" s="48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176.6</v>
      </c>
      <c r="C4" s="12">
        <v>2</v>
      </c>
      <c r="D4" s="32" t="s">
        <v>3</v>
      </c>
      <c r="E4" s="8">
        <v>45</v>
      </c>
      <c r="F4" s="32">
        <f>ROUNDDOWN(E4/VLOOKUP(D4,Table2[#All],2,FALSE),0)</f>
        <v>180</v>
      </c>
      <c r="G4" s="32">
        <f>ROUNDDOWN(E4/VLOOKUP(D4,Table2[#All],3,FALSE),0)</f>
        <v>225</v>
      </c>
      <c r="H4" s="31" t="str">
        <f>VLOOKUP(D4,Table2[#All],4,FALSE)</f>
        <v>Good</v>
      </c>
      <c r="I4" s="8">
        <v>0.4</v>
      </c>
      <c r="J4" s="35" t="e">
        <f>IF(C4&gt;5,E4*VLOOKUP(5,Table3[#All],2,FALSE),NA())</f>
        <v>#N/A</v>
      </c>
      <c r="K4" s="35" t="e">
        <f>IF(C4 = 6,E4*VLOOKUP(4,Table3[#All],2,FALSE),IF(C4 =5,E4*VLOOKUP(4,Table4[#All],2,FALSE),NA()))</f>
        <v>#N/A</v>
      </c>
      <c r="L4" s="35" t="e">
        <f>IF(C4 = 6,E4*VLOOKUP(3,Table3[#All],2,FALSE),IF(C4 =5,E4*VLOOKUP(3,Table4[#All],2,FALSE),IF(C4 =4,E4*VLOOKUP(3,Table5[#All],2,FALSE),NA())))</f>
        <v>#N/A</v>
      </c>
      <c r="M4" s="35" t="e">
        <f>IF(C4 = 6,E4*VLOOKUP(2,Table3[#All],2,FALSE),IF(C4 =5,E4*VLOOKUP(2,Table4[#All],2,FALSE),IF(C4 =4,E4*VLOOKUP(2,Table5[#All],2,FALSE),IF(C4 =3,E4*VLOOKUP(2,Table6[#All],2,FALSE),NA()))))</f>
        <v>#N/A</v>
      </c>
      <c r="N4" s="36">
        <f>IF(C4 = 6,E4*VLOOKUP(1,Table3[#All],2,FALSE),IF(C4 =5,E4*VLOOKUP(1,Table4[#All],2,FALSE),IF(C4 =4,E4*VLOOKUP(1,Table5[#All],2,FALSE),IF(C4 =3,E4*VLOOKUP(1,Table6[#All],2,FALSE),IF(C4 =2,E4*VLOOKUP(1,Table7[#All],2,FALSE),NA())))))</f>
        <v>5.625</v>
      </c>
      <c r="O4" s="32" t="s">
        <v>55</v>
      </c>
      <c r="P4" s="32" t="s">
        <v>57</v>
      </c>
      <c r="Q4" s="8" t="b">
        <v>0</v>
      </c>
      <c r="R4" s="74">
        <v>0</v>
      </c>
      <c r="S4" s="66">
        <v>0.02</v>
      </c>
      <c r="T4" s="9">
        <v>-2</v>
      </c>
      <c r="U4" s="8" t="b">
        <v>1</v>
      </c>
      <c r="V4" s="10" t="b">
        <v>0</v>
      </c>
      <c r="W4" s="11" t="b">
        <v>0</v>
      </c>
      <c r="X4" s="8" t="b">
        <v>1</v>
      </c>
      <c r="Y4" s="8" t="b">
        <v>1</v>
      </c>
      <c r="Z4" s="48" t="b">
        <v>0</v>
      </c>
      <c r="AA4" s="75">
        <v>0</v>
      </c>
      <c r="AB4" s="103">
        <f>VLOOKUP(Table1022[[#This Row],[Armor Level]],Table1217[#All],6,FALSE)</f>
        <v>0.75</v>
      </c>
    </row>
    <row r="5" spans="1:28" x14ac:dyDescent="0.25">
      <c r="A5" s="24" t="s">
        <v>256</v>
      </c>
      <c r="B5" s="48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150.19999999999999</v>
      </c>
      <c r="C5" s="8">
        <v>6</v>
      </c>
      <c r="D5" s="34" t="s">
        <v>6</v>
      </c>
      <c r="E5" s="8">
        <v>40</v>
      </c>
      <c r="F5" s="32">
        <f>ROUNDDOWN(E5/VLOOKUP(D5,Table2[#All],2,FALSE),0)</f>
        <v>50</v>
      </c>
      <c r="G5" s="31">
        <f>ROUNDDOWN(E5/VLOOKUP(D5,Table2[#All],3,FALSE),0)</f>
        <v>57</v>
      </c>
      <c r="H5" s="34" t="str">
        <f>VLOOKUP(D5,Table2[#All],4,FALSE)</f>
        <v>Bad</v>
      </c>
      <c r="I5" s="8">
        <v>0.99</v>
      </c>
      <c r="J5" s="32">
        <f>IF(C5&gt;5,E5*VLOOKUP(5,Table3[#All],2,FALSE),NA())</f>
        <v>18</v>
      </c>
      <c r="K5" s="31">
        <f>IF(C5 = 6,E5*VLOOKUP(4,Table3[#All],2,FALSE),IF(C5 =5,E5*VLOOKUP(4,Table4[#All],2,FALSE),NA()))</f>
        <v>9</v>
      </c>
      <c r="L5" s="33">
        <f>IF(C5 = 6,E5*VLOOKUP(3,Table3[#All],2,FALSE),IF(C5 =5,E5*VLOOKUP(3,Table4[#All],2,FALSE),IF(C5 =4,E5*VLOOKUP(3,Table5[#All],2,FALSE),NA())))</f>
        <v>5</v>
      </c>
      <c r="M5" s="34">
        <f>IF(C5 = 6,E5*VLOOKUP(2,Table3[#All],2,FALSE),IF(C5 =5,E5*VLOOKUP(2,Table4[#All],2,FALSE),IF(C5 =4,E5*VLOOKUP(2,Table5[#All],2,FALSE),IF(C5 =3,E5*VLOOKUP(2,Table6[#All],2,FALSE),NA()))))</f>
        <v>2.5</v>
      </c>
      <c r="N5" s="36">
        <f>IF(C5 = 6,E5*VLOOKUP(1,Table3[#All],2,FALSE),IF(C5 =5,E5*VLOOKUP(1,Table4[#All],2,FALSE),IF(C5 =4,E5*VLOOKUP(1,Table5[#All],2,FALSE),IF(C5 =3,E5*VLOOKUP(1,Table6[#All],2,FALSE),IF(C5 =2,E5*VLOOKUP(1,Table7[#All],2,FALSE),NA())))))</f>
        <v>0.5</v>
      </c>
      <c r="O5" s="32" t="s">
        <v>55</v>
      </c>
      <c r="P5" s="32" t="s">
        <v>57</v>
      </c>
      <c r="Q5" s="8" t="b">
        <v>0</v>
      </c>
      <c r="R5" s="74">
        <v>0</v>
      </c>
      <c r="S5" s="69">
        <v>0.06</v>
      </c>
      <c r="T5" s="12">
        <v>-11</v>
      </c>
      <c r="U5" s="8" t="b">
        <v>1</v>
      </c>
      <c r="V5" s="8" t="b">
        <v>1</v>
      </c>
      <c r="W5" s="11" t="b">
        <v>0</v>
      </c>
      <c r="X5" s="11" t="b">
        <v>0</v>
      </c>
      <c r="Y5" s="11" t="b">
        <v>0</v>
      </c>
      <c r="Z5" s="48" t="b">
        <v>0</v>
      </c>
      <c r="AA5" s="75">
        <v>0</v>
      </c>
      <c r="AB5" s="95">
        <f>VLOOKUP(Table1022[[#This Row],[Armor Level]],Table1217[#All],6,FALSE)</f>
        <v>0.10526315789473684</v>
      </c>
    </row>
    <row r="6" spans="1:28" x14ac:dyDescent="0.25">
      <c r="A6" s="22" t="s">
        <v>259</v>
      </c>
      <c r="B6" s="48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147</v>
      </c>
      <c r="C6" s="10">
        <v>4</v>
      </c>
      <c r="D6" s="39" t="s">
        <v>34</v>
      </c>
      <c r="E6" s="8">
        <v>40</v>
      </c>
      <c r="F6" s="32">
        <f>ROUNDDOWN(E6/VLOOKUP(D6,Table2[#All],2,FALSE),0)</f>
        <v>88</v>
      </c>
      <c r="G6" s="32">
        <f>ROUNDDOWN(E6/VLOOKUP(D6,Table2[#All],3,FALSE),0)</f>
        <v>100</v>
      </c>
      <c r="H6" s="32" t="str">
        <f>VLOOKUP(D6,Table2[#All],4,FALSE)</f>
        <v>Very Good</v>
      </c>
      <c r="I6" s="8">
        <v>0.68</v>
      </c>
      <c r="J6" s="35" t="e">
        <f>IF(C6&gt;5,E6*VLOOKUP(5,Table3[#All],2,FALSE),NA())</f>
        <v>#N/A</v>
      </c>
      <c r="K6" s="35" t="e">
        <f>IF(C6 = 6,E6*VLOOKUP(4,Table3[#All],2,FALSE),IF(C6 =5,E6*VLOOKUP(4,Table4[#All],2,FALSE),NA()))</f>
        <v>#N/A</v>
      </c>
      <c r="L6" s="33">
        <f>IF(C6 = 6,E6*VLOOKUP(3,Table3[#All],2,FALSE),IF(C6 =5,E6*VLOOKUP(3,Table4[#All],2,FALSE),IF(C6 =4,E6*VLOOKUP(3,Table5[#All],2,FALSE),NA())))</f>
        <v>12.8</v>
      </c>
      <c r="M6" s="34">
        <f>IF(C6 = 6,E6*VLOOKUP(2,Table3[#All],2,FALSE),IF(C6 =5,E6*VLOOKUP(2,Table4[#All],2,FALSE),IF(C6 =4,E6*VLOOKUP(2,Table5[#All],2,FALSE),IF(C6 =3,E6*VLOOKUP(2,Table6[#All],2,FALSE),NA()))))</f>
        <v>6.4</v>
      </c>
      <c r="N6" s="36">
        <f>IF(C6 = 6,E6*VLOOKUP(1,Table3[#All],2,FALSE),IF(C6 =5,E6*VLOOKUP(1,Table4[#All],2,FALSE),IF(C6 =4,E6*VLOOKUP(1,Table5[#All],2,FALSE),IF(C6 =3,E6*VLOOKUP(1,Table6[#All],2,FALSE),IF(C6 =2,E6*VLOOKUP(1,Table7[#All],2,FALSE),NA())))))</f>
        <v>1.6</v>
      </c>
      <c r="O6" s="32" t="s">
        <v>55</v>
      </c>
      <c r="P6" s="32" t="s">
        <v>57</v>
      </c>
      <c r="Q6" s="8" t="b">
        <v>0</v>
      </c>
      <c r="R6" s="74">
        <v>0</v>
      </c>
      <c r="S6" s="69">
        <v>0.06</v>
      </c>
      <c r="T6" s="12">
        <v>-12</v>
      </c>
      <c r="U6" s="8" t="b">
        <v>1</v>
      </c>
      <c r="V6" s="10" t="b">
        <v>0</v>
      </c>
      <c r="W6" s="11" t="b">
        <v>0</v>
      </c>
      <c r="X6" s="11" t="b">
        <v>0</v>
      </c>
      <c r="Y6" s="11" t="b">
        <v>0</v>
      </c>
      <c r="Z6" s="8" t="b">
        <v>0</v>
      </c>
      <c r="AA6" s="75">
        <v>0</v>
      </c>
      <c r="AB6" s="99">
        <f>VLOOKUP(Table1022[[#This Row],[Armor Level]],Table1217[#All],6,FALSE)</f>
        <v>0.43421052631578949</v>
      </c>
    </row>
    <row r="7" spans="1:28" x14ac:dyDescent="0.25">
      <c r="A7" s="20" t="s">
        <v>258</v>
      </c>
      <c r="B7" s="48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117.8</v>
      </c>
      <c r="C7" s="9">
        <v>5</v>
      </c>
      <c r="D7" s="39" t="s">
        <v>4</v>
      </c>
      <c r="E7" s="9">
        <v>35</v>
      </c>
      <c r="F7" s="32">
        <f>ROUNDDOWN(E7/VLOOKUP(D7,Table2[#All],2,FALSE),0)</f>
        <v>70</v>
      </c>
      <c r="G7" s="31">
        <f>ROUNDDOWN(E7/VLOOKUP(D7,Table2[#All],3,FALSE),0)</f>
        <v>87</v>
      </c>
      <c r="H7" s="33" t="str">
        <f>VLOOKUP(D7,Table2[#All],4,FALSE)</f>
        <v>Average</v>
      </c>
      <c r="I7" s="9">
        <v>1.2</v>
      </c>
      <c r="J7" s="35" t="e">
        <f>IF(C7&gt;5,E7*VLOOKUP(5,Table3[#All],2,FALSE),NA())</f>
        <v>#N/A</v>
      </c>
      <c r="K7" s="31">
        <f>IF(C7 = 6,E7*VLOOKUP(4,Table3[#All],2,FALSE),IF(C7 =5,E7*VLOOKUP(4,Table4[#All],2,FALSE),NA()))</f>
        <v>14</v>
      </c>
      <c r="L7" s="33">
        <f>IF(C7 = 6,E7*VLOOKUP(3,Table3[#All],2,FALSE),IF(C7 =5,E7*VLOOKUP(3,Table4[#All],2,FALSE),IF(C7 =4,E7*VLOOKUP(3,Table5[#All],2,FALSE),NA())))</f>
        <v>7</v>
      </c>
      <c r="M7" s="34">
        <f>IF(C7 = 6,E7*VLOOKUP(2,Table3[#All],2,FALSE),IF(C7 =5,E7*VLOOKUP(2,Table4[#All],2,FALSE),IF(C7 =4,E7*VLOOKUP(2,Table5[#All],2,FALSE),IF(C7 =3,E7*VLOOKUP(2,Table6[#All],2,FALSE),NA()))))</f>
        <v>3.5</v>
      </c>
      <c r="N7" s="36">
        <f>IF(C7 = 6,E7*VLOOKUP(1,Table3[#All],2,FALSE),IF(C7 =5,E7*VLOOKUP(1,Table4[#All],2,FALSE),IF(C7 =4,E7*VLOOKUP(1,Table5[#All],2,FALSE),IF(C7 =3,E7*VLOOKUP(1,Table6[#All],2,FALSE),IF(C7 =2,E7*VLOOKUP(1,Table7[#All],2,FALSE),NA())))))</f>
        <v>0.70000000000000007</v>
      </c>
      <c r="O7" s="32" t="s">
        <v>55</v>
      </c>
      <c r="P7" s="32" t="s">
        <v>57</v>
      </c>
      <c r="Q7" s="8" t="b">
        <v>0</v>
      </c>
      <c r="R7" s="74">
        <v>0</v>
      </c>
      <c r="S7" s="67">
        <v>0.15</v>
      </c>
      <c r="T7" s="11">
        <v>-8</v>
      </c>
      <c r="U7" s="11" t="b">
        <v>0</v>
      </c>
      <c r="V7" s="8" t="b">
        <v>1</v>
      </c>
      <c r="W7" s="11" t="b">
        <v>0</v>
      </c>
      <c r="X7" s="11" t="b">
        <v>0</v>
      </c>
      <c r="Y7" s="11" t="b">
        <v>0</v>
      </c>
      <c r="Z7" s="8" t="b">
        <v>0</v>
      </c>
      <c r="AA7" s="75">
        <v>0</v>
      </c>
      <c r="AB7" s="97">
        <f>VLOOKUP(Table1022[[#This Row],[Armor Level]],Table1217[#All],6,FALSE)</f>
        <v>0.21052631578947367</v>
      </c>
    </row>
    <row r="8" spans="1:28" x14ac:dyDescent="0.25">
      <c r="A8" s="20" t="s">
        <v>257</v>
      </c>
      <c r="B8" s="77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83.8</v>
      </c>
      <c r="C8" s="9">
        <v>5</v>
      </c>
      <c r="D8" s="39" t="s">
        <v>34</v>
      </c>
      <c r="E8" s="9">
        <v>30</v>
      </c>
      <c r="F8" s="32">
        <f>ROUNDDOWN(E8/VLOOKUP(D8,Table2[#All],2,FALSE),0)</f>
        <v>66</v>
      </c>
      <c r="G8" s="31">
        <f>ROUNDDOWN(E8/VLOOKUP(D8,Table2[#All],3,FALSE),0)</f>
        <v>75</v>
      </c>
      <c r="H8" s="32" t="str">
        <f>VLOOKUP(D8,Table2[#All],4,FALSE)</f>
        <v>Very Good</v>
      </c>
      <c r="I8" s="9">
        <v>1.3</v>
      </c>
      <c r="J8" s="35" t="e">
        <f>IF(C8&gt;5,E8*VLOOKUP(5,Table3[#All],2,FALSE),NA())</f>
        <v>#N/A</v>
      </c>
      <c r="K8" s="31">
        <f>IF(C8 = 6,E8*VLOOKUP(4,Table3[#All],2,FALSE),IF(C8 =5,E8*VLOOKUP(4,Table4[#All],2,FALSE),NA()))</f>
        <v>12</v>
      </c>
      <c r="L8" s="33">
        <f>IF(C8 = 6,E8*VLOOKUP(3,Table3[#All],2,FALSE),IF(C8 =5,E8*VLOOKUP(3,Table4[#All],2,FALSE),IF(C8 =4,E8*VLOOKUP(3,Table5[#All],2,FALSE),NA())))</f>
        <v>6</v>
      </c>
      <c r="M8" s="34">
        <f>IF(C8 = 6,E8*VLOOKUP(2,Table3[#All],2,FALSE),IF(C8 =5,E8*VLOOKUP(2,Table4[#All],2,FALSE),IF(C8 =4,E8*VLOOKUP(2,Table5[#All],2,FALSE),IF(C8 =3,E8*VLOOKUP(2,Table6[#All],2,FALSE),NA()))))</f>
        <v>3</v>
      </c>
      <c r="N8" s="36">
        <f>IF(C8 = 6,E8*VLOOKUP(1,Table3[#All],2,FALSE),IF(C8 =5,E8*VLOOKUP(1,Table4[#All],2,FALSE),IF(C8 =4,E8*VLOOKUP(1,Table5[#All],2,FALSE),IF(C8 =3,E8*VLOOKUP(1,Table6[#All],2,FALSE),IF(C8 =2,E8*VLOOKUP(1,Table7[#All],2,FALSE),NA())))))</f>
        <v>0.6</v>
      </c>
      <c r="O8" s="32" t="s">
        <v>55</v>
      </c>
      <c r="P8" s="32" t="s">
        <v>57</v>
      </c>
      <c r="Q8" s="8" t="b">
        <v>0</v>
      </c>
      <c r="R8" s="74">
        <v>0</v>
      </c>
      <c r="S8" s="69">
        <v>0.08</v>
      </c>
      <c r="T8" s="12">
        <v>-15</v>
      </c>
      <c r="U8" s="8" t="b">
        <v>1</v>
      </c>
      <c r="V8" s="10" t="b">
        <v>0</v>
      </c>
      <c r="W8" s="11" t="b">
        <v>0</v>
      </c>
      <c r="X8" s="11" t="b">
        <v>0</v>
      </c>
      <c r="Y8" s="11" t="b">
        <v>0</v>
      </c>
      <c r="Z8" s="48" t="b">
        <v>0</v>
      </c>
      <c r="AA8" s="75">
        <v>0</v>
      </c>
      <c r="AB8" s="97">
        <f>VLOOKUP(Table1022[[#This Row],[Armor Level]],Table1217[#All],6,FALSE)</f>
        <v>0.21052631578947367</v>
      </c>
    </row>
    <row r="9" spans="1:28" x14ac:dyDescent="0.25">
      <c r="A9" s="56" t="s">
        <v>263</v>
      </c>
      <c r="B9" s="49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27.3</v>
      </c>
      <c r="C9" s="34">
        <v>3</v>
      </c>
      <c r="D9" s="33" t="s">
        <v>13</v>
      </c>
      <c r="E9" s="9">
        <v>30</v>
      </c>
      <c r="F9" s="32">
        <f>ROUNDDOWN(E9/VLOOKUP(D9,Table2[#All],2,FALSE),0)</f>
        <v>50</v>
      </c>
      <c r="G9" s="31">
        <f>ROUNDDOWN(E9/VLOOKUP(D9,Table2[#All],3,FALSE),0)</f>
        <v>50</v>
      </c>
      <c r="H9" s="31" t="str">
        <f>VLOOKUP(D9,Table2[#All],4,FALSE)</f>
        <v>Good</v>
      </c>
      <c r="I9" s="9">
        <v>1.45</v>
      </c>
      <c r="J9" s="35" t="e">
        <f>IF(C9&gt;5,E9*VLOOKUP(5,Table3[#All],2,FALSE),NA())</f>
        <v>#N/A</v>
      </c>
      <c r="K9" s="35" t="e">
        <f>IF(C9 = 6,E9*VLOOKUP(4,Table3[#All],2,FALSE),IF(C9 =5,E9*VLOOKUP(4,Table4[#All],2,FALSE),NA()))</f>
        <v>#N/A</v>
      </c>
      <c r="L9" s="35" t="e">
        <f>IF(C9 = 6,E9*VLOOKUP(3,Table3[#All],2,FALSE),IF(C9 =5,E9*VLOOKUP(3,Table4[#All],2,FALSE),IF(C9 =4,E9*VLOOKUP(3,Table5[#All],2,FALSE),NA())))</f>
        <v>#N/A</v>
      </c>
      <c r="M9" s="34">
        <f>IF(C9 = 6,E9*VLOOKUP(2,Table3[#All],2,FALSE),IF(C9 =5,E9*VLOOKUP(2,Table4[#All],2,FALSE),IF(C9 =4,E9*VLOOKUP(2,Table5[#All],2,FALSE),IF(C9 =3,E9*VLOOKUP(2,Table6[#All],2,FALSE),NA()))))</f>
        <v>7.5</v>
      </c>
      <c r="N9" s="36">
        <f>IF(C9 = 6,E9*VLOOKUP(1,Table3[#All],2,FALSE),IF(C9 =5,E9*VLOOKUP(1,Table4[#All],2,FALSE),IF(C9 =4,E9*VLOOKUP(1,Table5[#All],2,FALSE),IF(C9 =3,E9*VLOOKUP(1,Table6[#All],2,FALSE),IF(C9 =2,E9*VLOOKUP(1,Table7[#All],2,FALSE),NA())))))</f>
        <v>1.5</v>
      </c>
      <c r="O9" s="32" t="s">
        <v>55</v>
      </c>
      <c r="P9" s="31" t="s">
        <v>58</v>
      </c>
      <c r="Q9" s="8" t="b">
        <v>0</v>
      </c>
      <c r="R9" s="74">
        <v>0</v>
      </c>
      <c r="S9" s="66">
        <v>0.01</v>
      </c>
      <c r="T9" s="9">
        <v>-2</v>
      </c>
      <c r="U9" s="11" t="b">
        <v>0</v>
      </c>
      <c r="V9" s="10" t="b">
        <v>0</v>
      </c>
      <c r="W9" s="8" t="b">
        <v>1</v>
      </c>
      <c r="X9" s="11" t="b">
        <v>0</v>
      </c>
      <c r="Y9" s="8" t="b">
        <v>1</v>
      </c>
      <c r="Z9" s="48" t="b">
        <v>0</v>
      </c>
      <c r="AA9" s="75">
        <v>0</v>
      </c>
      <c r="AB9" s="101">
        <f>VLOOKUP(Table1022[[#This Row],[Armor Level]],Table1217[#All],6,FALSE)</f>
        <v>0.63157894736842102</v>
      </c>
    </row>
    <row r="10" spans="1:28" x14ac:dyDescent="0.25">
      <c r="A10" s="56" t="s">
        <v>261</v>
      </c>
      <c r="B10" s="49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27</v>
      </c>
      <c r="C10" s="34">
        <v>3</v>
      </c>
      <c r="D10" s="33" t="s">
        <v>13</v>
      </c>
      <c r="E10" s="10">
        <v>27</v>
      </c>
      <c r="F10" s="31">
        <f>ROUNDDOWN(E10/VLOOKUP(D10,Table2[#All],2,FALSE),0)</f>
        <v>45</v>
      </c>
      <c r="G10" s="33">
        <f>ROUNDDOWN(E10/VLOOKUP(D10,Table2[#All],3,FALSE),0)</f>
        <v>45</v>
      </c>
      <c r="H10" s="31" t="str">
        <f>VLOOKUP(D10,Table2[#All],4,FALSE)</f>
        <v>Good</v>
      </c>
      <c r="I10" s="9">
        <v>1.2</v>
      </c>
      <c r="J10" s="35" t="e">
        <f>IF(C10&gt;5,E10*VLOOKUP(5,Table3[#All],2,FALSE),NA())</f>
        <v>#N/A</v>
      </c>
      <c r="K10" s="35" t="e">
        <f>IF(C10 = 6,E10*VLOOKUP(4,Table3[#All],2,FALSE),IF(C10 =5,E10*VLOOKUP(4,Table4[#All],2,FALSE),NA()))</f>
        <v>#N/A</v>
      </c>
      <c r="L10" s="35" t="e">
        <f>IF(C10 = 6,E10*VLOOKUP(3,Table3[#All],2,FALSE),IF(C10 =5,E10*VLOOKUP(3,Table4[#All],2,FALSE),IF(C10 =4,E10*VLOOKUP(3,Table5[#All],2,FALSE),NA())))</f>
        <v>#N/A</v>
      </c>
      <c r="M10" s="34">
        <f>IF(C10 = 6,E10*VLOOKUP(2,Table3[#All],2,FALSE),IF(C10 =5,E10*VLOOKUP(2,Table4[#All],2,FALSE),IF(C10 =4,E10*VLOOKUP(2,Table5[#All],2,FALSE),IF(C10 =3,E10*VLOOKUP(2,Table6[#All],2,FALSE),NA()))))</f>
        <v>6.75</v>
      </c>
      <c r="N10" s="36">
        <f>IF(C10 = 6,E10*VLOOKUP(1,Table3[#All],2,FALSE),IF(C10 =5,E10*VLOOKUP(1,Table4[#All],2,FALSE),IF(C10 =4,E10*VLOOKUP(1,Table5[#All],2,FALSE),IF(C10 =3,E10*VLOOKUP(1,Table6[#All],2,FALSE),IF(C10 =2,E10*VLOOKUP(1,Table7[#All],2,FALSE),NA())))))</f>
        <v>1.35</v>
      </c>
      <c r="O10" s="32" t="s">
        <v>55</v>
      </c>
      <c r="P10" s="31" t="s">
        <v>58</v>
      </c>
      <c r="Q10" s="8" t="b">
        <v>0</v>
      </c>
      <c r="R10" s="74">
        <v>0</v>
      </c>
      <c r="S10" s="66">
        <v>0</v>
      </c>
      <c r="T10" s="8">
        <v>0</v>
      </c>
      <c r="U10" s="11" t="b">
        <v>0</v>
      </c>
      <c r="V10" s="10" t="b">
        <v>0</v>
      </c>
      <c r="W10" s="8" t="b">
        <v>1</v>
      </c>
      <c r="X10" s="11" t="b">
        <v>0</v>
      </c>
      <c r="Y10" s="11" t="b">
        <v>0</v>
      </c>
      <c r="Z10" s="48" t="b">
        <v>0</v>
      </c>
      <c r="AA10" s="75">
        <v>0</v>
      </c>
      <c r="AB10" s="101">
        <f>VLOOKUP(Table1022[[#This Row],[Armor Level]],Table1217[#All],6,FALSE)</f>
        <v>0.63157894736842102</v>
      </c>
    </row>
    <row r="11" spans="1:28" x14ac:dyDescent="0.25">
      <c r="A11" s="56" t="s">
        <v>260</v>
      </c>
      <c r="B11" s="49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24.6</v>
      </c>
      <c r="C11" s="34">
        <v>3</v>
      </c>
      <c r="D11" s="33" t="s">
        <v>13</v>
      </c>
      <c r="E11" s="10">
        <v>25</v>
      </c>
      <c r="F11" s="31">
        <f>ROUNDDOWN(E11/VLOOKUP(D11,Table2[#All],2,FALSE),0)</f>
        <v>41</v>
      </c>
      <c r="G11" s="33">
        <f>ROUNDDOWN(E11/VLOOKUP(D11,Table2[#All],3,FALSE),0)</f>
        <v>41</v>
      </c>
      <c r="H11" s="31" t="str">
        <f>VLOOKUP(D11,Table2[#All],4,FALSE)</f>
        <v>Good</v>
      </c>
      <c r="I11" s="9">
        <v>1.2</v>
      </c>
      <c r="J11" s="35" t="e">
        <f>IF(C11&gt;5,E11*VLOOKUP(5,Table3[#All],2,FALSE),NA())</f>
        <v>#N/A</v>
      </c>
      <c r="K11" s="35" t="e">
        <f>IF(C11 = 6,E11*VLOOKUP(4,Table3[#All],2,FALSE),IF(C11 =5,E11*VLOOKUP(4,Table4[#All],2,FALSE),NA()))</f>
        <v>#N/A</v>
      </c>
      <c r="L11" s="35" t="e">
        <f>IF(C11 = 6,E11*VLOOKUP(3,Table3[#All],2,FALSE),IF(C11 =5,E11*VLOOKUP(3,Table4[#All],2,FALSE),IF(C11 =4,E11*VLOOKUP(3,Table5[#All],2,FALSE),NA())))</f>
        <v>#N/A</v>
      </c>
      <c r="M11" s="34">
        <f>IF(C11 = 6,E11*VLOOKUP(2,Table3[#All],2,FALSE),IF(C11 =5,E11*VLOOKUP(2,Table4[#All],2,FALSE),IF(C11 =4,E11*VLOOKUP(2,Table5[#All],2,FALSE),IF(C11 =3,E11*VLOOKUP(2,Table6[#All],2,FALSE),NA()))))</f>
        <v>6.25</v>
      </c>
      <c r="N11" s="36">
        <f>IF(C11 = 6,E11*VLOOKUP(1,Table3[#All],2,FALSE),IF(C11 =5,E11*VLOOKUP(1,Table4[#All],2,FALSE),IF(C11 =4,E11*VLOOKUP(1,Table5[#All],2,FALSE),IF(C11 =3,E11*VLOOKUP(1,Table6[#All],2,FALSE),IF(C11 =2,E11*VLOOKUP(1,Table7[#All],2,FALSE),NA())))))</f>
        <v>1.25</v>
      </c>
      <c r="O11" s="32" t="s">
        <v>55</v>
      </c>
      <c r="P11" s="31" t="s">
        <v>58</v>
      </c>
      <c r="Q11" s="8" t="b">
        <v>0</v>
      </c>
      <c r="R11" s="74">
        <v>0</v>
      </c>
      <c r="S11" s="66">
        <v>0</v>
      </c>
      <c r="T11" s="8">
        <v>0</v>
      </c>
      <c r="U11" s="11" t="b">
        <v>0</v>
      </c>
      <c r="V11" s="10" t="b">
        <v>0</v>
      </c>
      <c r="W11" s="8" t="b">
        <v>1</v>
      </c>
      <c r="X11" s="11" t="b">
        <v>0</v>
      </c>
      <c r="Y11" s="11" t="b">
        <v>0</v>
      </c>
      <c r="Z11" s="48" t="b">
        <v>0</v>
      </c>
      <c r="AA11" s="75">
        <v>0</v>
      </c>
      <c r="AB11" s="101">
        <f>VLOOKUP(Table1022[[#This Row],[Armor Level]],Table1217[#All],6,FALSE)</f>
        <v>0.63157894736842102</v>
      </c>
    </row>
    <row r="12" spans="1:28" x14ac:dyDescent="0.25">
      <c r="A12" s="23" t="s">
        <v>265</v>
      </c>
      <c r="B12" s="49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16.600000000000001</v>
      </c>
      <c r="C12" s="12">
        <v>2</v>
      </c>
      <c r="D12" s="32" t="s">
        <v>3</v>
      </c>
      <c r="E12" s="11">
        <v>20</v>
      </c>
      <c r="F12" s="32">
        <f>ROUNDDOWN(E12/VLOOKUP(D12,Table2[#All],2,FALSE),0)</f>
        <v>80</v>
      </c>
      <c r="G12" s="32">
        <f>ROUNDDOWN(E12/VLOOKUP(D12,Table2[#All],3,FALSE),0)</f>
        <v>100</v>
      </c>
      <c r="H12" s="31" t="str">
        <f>VLOOKUP(D12,Table2[#All],4,FALSE)</f>
        <v>Good</v>
      </c>
      <c r="I12" s="9">
        <v>1.1000000000000001</v>
      </c>
      <c r="J12" s="35" t="e">
        <f>IF(C12&gt;5,E12*VLOOKUP(5,Table3[#All],2,FALSE),NA())</f>
        <v>#N/A</v>
      </c>
      <c r="K12" s="35" t="e">
        <f>IF(C12 = 6,E12*VLOOKUP(4,Table3[#All],2,FALSE),IF(C12 =5,E12*VLOOKUP(4,Table4[#All],2,FALSE),NA()))</f>
        <v>#N/A</v>
      </c>
      <c r="L12" s="35" t="e">
        <f>IF(C12 = 6,E12*VLOOKUP(3,Table3[#All],2,FALSE),IF(C12 =5,E12*VLOOKUP(3,Table4[#All],2,FALSE),IF(C12 =4,E12*VLOOKUP(3,Table5[#All],2,FALSE),NA())))</f>
        <v>#N/A</v>
      </c>
      <c r="M12" s="35" t="e">
        <f>IF(C12 = 6,E12*VLOOKUP(2,Table3[#All],2,FALSE),IF(C12 =5,E12*VLOOKUP(2,Table4[#All],2,FALSE),IF(C12 =4,E12*VLOOKUP(2,Table5[#All],2,FALSE),IF(C12 =3,E12*VLOOKUP(2,Table6[#All],2,FALSE),NA()))))</f>
        <v>#N/A</v>
      </c>
      <c r="N12" s="36">
        <f>IF(C12 = 6,E12*VLOOKUP(1,Table3[#All],2,FALSE),IF(C12 =5,E12*VLOOKUP(1,Table4[#All],2,FALSE),IF(C12 =4,E12*VLOOKUP(1,Table5[#All],2,FALSE),IF(C12 =3,E12*VLOOKUP(1,Table6[#All],2,FALSE),IF(C12 =2,E12*VLOOKUP(1,Table7[#All],2,FALSE),NA())))))</f>
        <v>2.5</v>
      </c>
      <c r="O12" s="36" t="s">
        <v>57</v>
      </c>
      <c r="P12" s="31" t="s">
        <v>58</v>
      </c>
      <c r="Q12" s="8" t="b">
        <v>0</v>
      </c>
      <c r="R12" s="74">
        <v>0</v>
      </c>
      <c r="S12" s="66">
        <v>0</v>
      </c>
      <c r="T12" s="10">
        <v>-5</v>
      </c>
      <c r="U12" s="11" t="b">
        <v>0</v>
      </c>
      <c r="V12" s="10" t="b">
        <v>0</v>
      </c>
      <c r="W12" s="11" t="b">
        <v>0</v>
      </c>
      <c r="X12" s="11" t="b">
        <v>0</v>
      </c>
      <c r="Y12" s="8" t="b">
        <v>1</v>
      </c>
      <c r="Z12" s="48" t="b">
        <v>0</v>
      </c>
      <c r="AA12" s="75">
        <v>0</v>
      </c>
      <c r="AB12" s="103">
        <f>VLOOKUP(Table1022[[#This Row],[Armor Level]],Table1217[#All],6,FALSE)</f>
        <v>0.75</v>
      </c>
    </row>
    <row r="13" spans="1:28" x14ac:dyDescent="0.25">
      <c r="A13" s="23" t="s">
        <v>264</v>
      </c>
      <c r="B13" s="49">
        <f>ROUNDDOWN(((Table1022[[#This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 - ((Table1022[[#This Row],[Armor Level]]*((IF(Table1022[[#This Row],[Ricochet chance]] = "High",Table1022[[#This Row],[Effective Durability]],IF(Table1022[[#This Row],[Ricochet chance]] = "Medium",Table1022[[#This Row],[Effective Durability]]/2,IF(Table1022[[#This Row],[Ricochet chance]] = "Low",Table1022[[#This Row],[Effective Durability]]/3,Table1022[[#This Row],[Effective Durability]]/4))) + IF(Table1022[[#This Row],[Sound reduction]] = "None",Table1022[[#This Row],[Effective Durability]],Table1022[[#This Row],[Effective Durability]]*0.75) + IF(Table1022[[#This Row],[Nape]],Table1022[[#This Row],[Effective Durability]],Table1022[[#This Row],[Effective Durability]]/2) + IF(Table1022[[#This Row],[Ears]],Table1022[[#This Row],[Effective Durability]],Table1022[[#This Row],[Effective Durability]]/3) + IF(Table1022[[#This Row],[Eyes]],Table1022[[#This Row],[Effective Durability]],Table1022[[#This Row],[Effective Durability]]/3) + IF(Table1022[[#This Row],[Jaws]],Table1022[[#This Row],[Effective Durability]],Table1022[[#This Row],[Effective Durability]]/3))/6)/Table1022[[#This Row],[Weight]])*Table1022[[#This Row],[Turn Speed]]) + Table1022[[#This Row],[Ergonomics]]*2)*(100%-Table1022[[#This Row],[% Common penetrating rounds]]),1)</f>
        <v>14.5</v>
      </c>
      <c r="C13" s="12">
        <v>2</v>
      </c>
      <c r="D13" s="32" t="s">
        <v>3</v>
      </c>
      <c r="E13" s="11">
        <v>20</v>
      </c>
      <c r="F13" s="32">
        <f>ROUNDDOWN(E13/VLOOKUP(D13,Table2[#All],2,FALSE),0)</f>
        <v>80</v>
      </c>
      <c r="G13" s="32">
        <f>ROUNDDOWN(E13/VLOOKUP(D13,Table2[#All],3,FALSE),0)</f>
        <v>100</v>
      </c>
      <c r="H13" s="31" t="str">
        <f>VLOOKUP(D13,Table2[#All],4,FALSE)</f>
        <v>Good</v>
      </c>
      <c r="I13" s="9">
        <v>1.2</v>
      </c>
      <c r="J13" s="35" t="e">
        <f>IF(C13&gt;5,E13*VLOOKUP(5,Table3[#All],2,FALSE),NA())</f>
        <v>#N/A</v>
      </c>
      <c r="K13" s="35" t="e">
        <f>IF(C13 = 6,E13*VLOOKUP(4,Table3[#All],2,FALSE),IF(C13 =5,E13*VLOOKUP(4,Table4[#All],2,FALSE),NA()))</f>
        <v>#N/A</v>
      </c>
      <c r="L13" s="35" t="e">
        <f>IF(C13 = 6,E13*VLOOKUP(3,Table3[#All],2,FALSE),IF(C13 =5,E13*VLOOKUP(3,Table4[#All],2,FALSE),IF(C13 =4,E13*VLOOKUP(3,Table5[#All],2,FALSE),NA())))</f>
        <v>#N/A</v>
      </c>
      <c r="M13" s="35" t="e">
        <f>IF(C13 = 6,E13*VLOOKUP(2,Table3[#All],2,FALSE),IF(C13 =5,E13*VLOOKUP(2,Table4[#All],2,FALSE),IF(C13 =4,E13*VLOOKUP(2,Table5[#All],2,FALSE),IF(C13 =3,E13*VLOOKUP(2,Table6[#All],2,FALSE),NA()))))</f>
        <v>#N/A</v>
      </c>
      <c r="N13" s="36">
        <f>IF(C13 = 6,E13*VLOOKUP(1,Table3[#All],2,FALSE),IF(C13 =5,E13*VLOOKUP(1,Table4[#All],2,FALSE),IF(C13 =4,E13*VLOOKUP(1,Table5[#All],2,FALSE),IF(C13 =3,E13*VLOOKUP(1,Table6[#All],2,FALSE),IF(C13 =2,E13*VLOOKUP(1,Table7[#All],2,FALSE),NA())))))</f>
        <v>2.5</v>
      </c>
      <c r="O13" s="36" t="s">
        <v>57</v>
      </c>
      <c r="P13" s="31" t="s">
        <v>58</v>
      </c>
      <c r="Q13" s="8" t="b">
        <v>0</v>
      </c>
      <c r="R13" s="74">
        <v>0</v>
      </c>
      <c r="S13" s="66">
        <v>0</v>
      </c>
      <c r="T13" s="10">
        <v>-6</v>
      </c>
      <c r="U13" s="11" t="b">
        <v>0</v>
      </c>
      <c r="V13" s="10" t="b">
        <v>0</v>
      </c>
      <c r="W13" s="11" t="b">
        <v>0</v>
      </c>
      <c r="X13" s="11" t="b">
        <v>0</v>
      </c>
      <c r="Y13" s="8" t="b">
        <v>1</v>
      </c>
      <c r="Z13" s="48" t="b">
        <v>0</v>
      </c>
      <c r="AA13" s="75">
        <v>0</v>
      </c>
      <c r="AB13" s="141">
        <f>VLOOKUP(Table1022[[#This Row],[Armor Level]],Table1217[#All],6,FALSE)</f>
        <v>0.75</v>
      </c>
    </row>
    <row r="17" spans="1:28" ht="18.75" x14ac:dyDescent="0.3">
      <c r="A17" s="45" t="s">
        <v>69</v>
      </c>
      <c r="B17" s="1"/>
      <c r="C17" s="1"/>
      <c r="D17" s="1"/>
      <c r="E17" s="1"/>
      <c r="F17" s="1"/>
      <c r="G17" s="1"/>
      <c r="H17" s="1"/>
      <c r="I17" s="1"/>
      <c r="J17" s="1"/>
      <c r="L17" s="45" t="s">
        <v>70</v>
      </c>
      <c r="M17" s="1"/>
      <c r="N17" s="1"/>
      <c r="O17" s="1"/>
      <c r="P17" s="1"/>
      <c r="Q17" s="1"/>
      <c r="R17" s="1"/>
      <c r="S17" s="1"/>
    </row>
    <row r="18" spans="1:28" x14ac:dyDescent="0.25">
      <c r="A18" s="37" t="s">
        <v>68</v>
      </c>
      <c r="B18" s="38" t="s">
        <v>73</v>
      </c>
      <c r="C18" s="38" t="s">
        <v>20</v>
      </c>
      <c r="D18" s="38" t="s">
        <v>2</v>
      </c>
      <c r="E18" s="38" t="s">
        <v>18</v>
      </c>
      <c r="F18" s="38" t="s">
        <v>19</v>
      </c>
      <c r="G18" s="38" t="s">
        <v>22</v>
      </c>
      <c r="H18" s="38" t="s">
        <v>9</v>
      </c>
      <c r="I18" s="38" t="s">
        <v>31</v>
      </c>
      <c r="J18" s="38" t="s">
        <v>23</v>
      </c>
      <c r="K18" s="38" t="s">
        <v>24</v>
      </c>
      <c r="L18" s="38" t="s">
        <v>25</v>
      </c>
      <c r="M18" s="38" t="s">
        <v>26</v>
      </c>
      <c r="N18" s="38" t="s">
        <v>27</v>
      </c>
      <c r="O18" s="38" t="s">
        <v>51</v>
      </c>
      <c r="P18" s="38" t="s">
        <v>52</v>
      </c>
      <c r="Q18" s="38" t="s">
        <v>53</v>
      </c>
      <c r="R18" s="38" t="s">
        <v>29</v>
      </c>
      <c r="S18" s="38" t="s">
        <v>28</v>
      </c>
      <c r="T18" s="38" t="s">
        <v>30</v>
      </c>
      <c r="U18" s="38" t="s">
        <v>192</v>
      </c>
      <c r="V18" s="38" t="s">
        <v>46</v>
      </c>
      <c r="W18" s="38" t="s">
        <v>47</v>
      </c>
      <c r="X18" s="38" t="s">
        <v>48</v>
      </c>
      <c r="Y18" s="38" t="s">
        <v>49</v>
      </c>
      <c r="Z18" s="38" t="s">
        <v>59</v>
      </c>
      <c r="AA18" s="55" t="s">
        <v>60</v>
      </c>
      <c r="AB18" s="38" t="s">
        <v>307</v>
      </c>
    </row>
    <row r="19" spans="1:28" x14ac:dyDescent="0.25">
      <c r="A19" s="58" t="s">
        <v>67</v>
      </c>
      <c r="B19" s="8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190.9</v>
      </c>
      <c r="C19" s="31">
        <v>5</v>
      </c>
      <c r="D19" s="39" t="s">
        <v>4</v>
      </c>
      <c r="E19" s="32">
        <v>55</v>
      </c>
      <c r="F19" s="32">
        <f>ROUNDDOWN(E19/VLOOKUP(D19,Table2[#All],2,FALSE),0)</f>
        <v>110</v>
      </c>
      <c r="G19" s="32">
        <f>ROUNDDOWN(E19/VLOOKUP(D19,Table2[#All],3,FALSE),0)</f>
        <v>137</v>
      </c>
      <c r="H19" s="33" t="str">
        <f>VLOOKUP(D19,Table2[#All],4,FALSE)</f>
        <v>Average</v>
      </c>
      <c r="I19" s="31">
        <v>1.2</v>
      </c>
      <c r="J19" s="35" t="e">
        <f>IF(C19&gt;5,E19*VLOOKUP(5,Table3[#All],2,FALSE),NA())</f>
        <v>#N/A</v>
      </c>
      <c r="K19" s="31">
        <f>IF(C19 = 6,E19*VLOOKUP(4,Table3[#All],2,FALSE),IF(C19 =5,E19*VLOOKUP(4,Table4[#All],2,FALSE),NA()))</f>
        <v>22</v>
      </c>
      <c r="L19" s="33">
        <f>IF(C19 = 6,E19*VLOOKUP(3,Table3[#All],2,FALSE),IF(C19 =5,E19*VLOOKUP(3,Table4[#All],2,FALSE),IF(C19 =4,E19*VLOOKUP(3,Table5[#All],2,FALSE),NA())))</f>
        <v>11</v>
      </c>
      <c r="M19" s="34">
        <f>IF(C19 = 6,E19*VLOOKUP(2,Table3[#All],2,FALSE),IF(C19 =5,E19*VLOOKUP(2,Table4[#All],2,FALSE),IF(C19 =4,E19*VLOOKUP(2,Table5[#All],2,FALSE),IF(C19 =3,E19*VLOOKUP(2,Table6[#All],2,FALSE),NA()))))</f>
        <v>5.5</v>
      </c>
      <c r="N19" s="36">
        <f>IF(C19 = 6,E19*VLOOKUP(1,Table3[#All],2,FALSE),IF(C19 =5,E19*VLOOKUP(1,Table4[#All],2,FALSE),IF(C19 =4,E19*VLOOKUP(1,Table5[#All],2,FALSE),IF(C19 =3,E19*VLOOKUP(1,Table6[#All],2,FALSE),IF(C19 =2,E19*VLOOKUP(1,Table7[#All],2,FALSE),NA())))))</f>
        <v>1.1000000000000001</v>
      </c>
      <c r="O19" s="32" t="s">
        <v>55</v>
      </c>
      <c r="P19" s="32" t="s">
        <v>57</v>
      </c>
      <c r="Q19" s="8" t="b">
        <v>0</v>
      </c>
      <c r="R19" s="66">
        <v>0</v>
      </c>
      <c r="S19" s="76">
        <v>0.06</v>
      </c>
      <c r="T19" s="34">
        <v>-7</v>
      </c>
      <c r="U19" s="11" t="b">
        <v>0</v>
      </c>
      <c r="V19" s="10" t="b">
        <v>0</v>
      </c>
      <c r="W19" s="11" t="b">
        <v>0</v>
      </c>
      <c r="X19" s="8" t="b">
        <v>1</v>
      </c>
      <c r="Y19" s="32" t="b">
        <v>1</v>
      </c>
      <c r="Z19" s="8" t="b">
        <v>0</v>
      </c>
      <c r="AA19" s="71">
        <v>0.35</v>
      </c>
      <c r="AB19" s="142">
        <f>VLOOKUP(Table1123[[#This Row],[Armor Level]],Table1217[#All],6,FALSE)</f>
        <v>0.21052631578947367</v>
      </c>
    </row>
    <row r="20" spans="1:28" x14ac:dyDescent="0.25">
      <c r="A20" s="58" t="s">
        <v>66</v>
      </c>
      <c r="B20" s="8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135.5</v>
      </c>
      <c r="C20" s="31">
        <v>5</v>
      </c>
      <c r="D20" s="39" t="s">
        <v>4</v>
      </c>
      <c r="E20" s="32">
        <v>50</v>
      </c>
      <c r="F20" s="32">
        <f>ROUNDDOWN(E20/VLOOKUP(D20,Table2[#All],2,FALSE),0)</f>
        <v>100</v>
      </c>
      <c r="G20" s="32">
        <f>ROUNDDOWN(E20/VLOOKUP(D20,Table2[#All],3,FALSE),0)</f>
        <v>125</v>
      </c>
      <c r="H20" s="33" t="str">
        <f>VLOOKUP(D20,Table2[#All],4,FALSE)</f>
        <v>Average</v>
      </c>
      <c r="I20" s="31">
        <v>1.4</v>
      </c>
      <c r="J20" s="35" t="e">
        <f>IF(C20&gt;5,E20*VLOOKUP(5,Table3[#All],2,FALSE),NA())</f>
        <v>#N/A</v>
      </c>
      <c r="K20" s="31">
        <f>IF(C20 = 6,E20*VLOOKUP(4,Table3[#All],2,FALSE),IF(C20 =5,E20*VLOOKUP(4,Table4[#All],2,FALSE),NA()))</f>
        <v>20</v>
      </c>
      <c r="L20" s="33">
        <f>IF(C20 = 6,E20*VLOOKUP(3,Table3[#All],2,FALSE),IF(C20 =5,E20*VLOOKUP(3,Table4[#All],2,FALSE),IF(C20 =4,E20*VLOOKUP(3,Table5[#All],2,FALSE),NA())))</f>
        <v>10</v>
      </c>
      <c r="M20" s="34">
        <f>IF(C20 = 6,E20*VLOOKUP(2,Table3[#All],2,FALSE),IF(C20 =5,E20*VLOOKUP(2,Table4[#All],2,FALSE),IF(C20 =4,E20*VLOOKUP(2,Table5[#All],2,FALSE),IF(C20 =3,E20*VLOOKUP(2,Table6[#All],2,FALSE),NA()))))</f>
        <v>5</v>
      </c>
      <c r="N20" s="36">
        <f>IF(C20 = 6,E20*VLOOKUP(1,Table3[#All],2,FALSE),IF(C20 =5,E20*VLOOKUP(1,Table4[#All],2,FALSE),IF(C20 =4,E20*VLOOKUP(1,Table5[#All],2,FALSE),IF(C20 =3,E20*VLOOKUP(1,Table6[#All],2,FALSE),IF(C20 =2,E20*VLOOKUP(1,Table7[#All],2,FALSE),NA())))))</f>
        <v>1</v>
      </c>
      <c r="O20" s="32" t="s">
        <v>55</v>
      </c>
      <c r="P20" s="32" t="s">
        <v>57</v>
      </c>
      <c r="Q20" s="8" t="b">
        <v>0</v>
      </c>
      <c r="R20" s="66">
        <v>0</v>
      </c>
      <c r="S20" s="76">
        <v>0.08</v>
      </c>
      <c r="T20" s="34">
        <v>-7</v>
      </c>
      <c r="U20" s="11" t="b">
        <v>0</v>
      </c>
      <c r="V20" s="10" t="b">
        <v>0</v>
      </c>
      <c r="W20" s="11" t="b">
        <v>0</v>
      </c>
      <c r="X20" s="8" t="b">
        <v>1</v>
      </c>
      <c r="Y20" s="32" t="b">
        <v>1</v>
      </c>
      <c r="Z20" s="8" t="b">
        <v>0</v>
      </c>
      <c r="AA20" s="71">
        <v>0.25</v>
      </c>
      <c r="AB20" s="97">
        <f>VLOOKUP(Table1123[[#This Row],[Armor Level]],Table1217[#All],6,FALSE)</f>
        <v>0.21052631578947367</v>
      </c>
    </row>
    <row r="21" spans="1:28" x14ac:dyDescent="0.25">
      <c r="A21" s="57" t="s">
        <v>252</v>
      </c>
      <c r="B21" s="8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118.7</v>
      </c>
      <c r="C21" s="32">
        <v>6</v>
      </c>
      <c r="D21" s="33" t="s">
        <v>8</v>
      </c>
      <c r="E21" s="32">
        <v>50</v>
      </c>
      <c r="F21" s="32">
        <f>ROUNDDOWN(E21/VLOOKUP(D21,Table2[#All],2,FALSE),0)</f>
        <v>71</v>
      </c>
      <c r="G21" s="31">
        <f>ROUNDDOWN(E21/VLOOKUP(D21,Table2[#All],3,FALSE),0)</f>
        <v>83</v>
      </c>
      <c r="H21" s="32" t="str">
        <f>VLOOKUP(D21,Table2[#All],4,FALSE)</f>
        <v>Very Good</v>
      </c>
      <c r="I21" s="31">
        <v>1.1000000000000001</v>
      </c>
      <c r="J21" s="32">
        <f>IF(C21&gt;5,E21*VLOOKUP(5,Table3[#All],2,FALSE),NA())</f>
        <v>22.5</v>
      </c>
      <c r="K21" s="31">
        <f>IF(C21 = 6,E21*VLOOKUP(4,Table3[#All],2,FALSE),IF(C21 =5,E21*VLOOKUP(4,Table4[#All],2,FALSE),NA()))</f>
        <v>11.25</v>
      </c>
      <c r="L21" s="33">
        <f>IF(C21 = 6,E21*VLOOKUP(3,Table3[#All],2,FALSE),IF(C21 =5,E21*VLOOKUP(3,Table4[#All],2,FALSE),IF(C21 =4,E21*VLOOKUP(3,Table5[#All],2,FALSE),NA())))</f>
        <v>6.25</v>
      </c>
      <c r="M21" s="34">
        <f>IF(C21 = 6,E21*VLOOKUP(2,Table3[#All],2,FALSE),IF(C21 =5,E21*VLOOKUP(2,Table4[#All],2,FALSE),IF(C21 =4,E21*VLOOKUP(2,Table5[#All],2,FALSE),IF(C21 =3,E21*VLOOKUP(2,Table6[#All],2,FALSE),NA()))))</f>
        <v>3.125</v>
      </c>
      <c r="N21" s="36">
        <f>IF(C21 = 6,E21*VLOOKUP(1,Table3[#All],2,FALSE),IF(C21 =5,E21*VLOOKUP(1,Table4[#All],2,FALSE),IF(C21 =4,E21*VLOOKUP(1,Table5[#All],2,FALSE),IF(C21 =3,E21*VLOOKUP(1,Table6[#All],2,FALSE),IF(C21 =2,E21*VLOOKUP(1,Table7[#All],2,FALSE),NA())))))</f>
        <v>0.625</v>
      </c>
      <c r="O21" s="33" t="s">
        <v>56</v>
      </c>
      <c r="P21" s="32" t="s">
        <v>57</v>
      </c>
      <c r="Q21" s="8" t="b">
        <v>0</v>
      </c>
      <c r="R21" s="66">
        <v>0</v>
      </c>
      <c r="S21" s="74">
        <v>0</v>
      </c>
      <c r="T21" s="36">
        <v>-19</v>
      </c>
      <c r="U21" s="11" t="b">
        <v>0</v>
      </c>
      <c r="V21" s="10" t="b">
        <v>0</v>
      </c>
      <c r="W21" s="11" t="b">
        <v>0</v>
      </c>
      <c r="X21" s="8" t="b">
        <v>1</v>
      </c>
      <c r="Y21" s="32" t="b">
        <v>1</v>
      </c>
      <c r="Z21" s="8" t="b">
        <v>0</v>
      </c>
      <c r="AA21" s="71">
        <v>0.3</v>
      </c>
      <c r="AB21" s="95">
        <f>VLOOKUP(Table1123[[#This Row],[Armor Level]],Table1217[#All],6,FALSE)</f>
        <v>0.10526315789473684</v>
      </c>
    </row>
    <row r="22" spans="1:28" x14ac:dyDescent="0.25">
      <c r="A22" s="60" t="s">
        <v>65</v>
      </c>
      <c r="B22" s="10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50.7</v>
      </c>
      <c r="C22" s="33">
        <v>4</v>
      </c>
      <c r="D22" s="36" t="s">
        <v>7</v>
      </c>
      <c r="E22" s="32">
        <v>85</v>
      </c>
      <c r="F22" s="32">
        <f>ROUNDDOWN(E22/VLOOKUP(D22,Table2[#All],2,FALSE),0)</f>
        <v>106</v>
      </c>
      <c r="G22" s="32">
        <f>ROUNDDOWN(E22/VLOOKUP(D22,Table2[#All],3,FALSE),0)</f>
        <v>106</v>
      </c>
      <c r="H22" s="36" t="str">
        <f>VLOOKUP(D22,Table2[#All],4,FALSE)</f>
        <v>Very Bad</v>
      </c>
      <c r="I22" s="33">
        <v>1.6</v>
      </c>
      <c r="J22" s="35" t="e">
        <f>IF(C22&gt;5,E22*VLOOKUP(5,Table3[#All],2,FALSE),NA())</f>
        <v>#N/A</v>
      </c>
      <c r="K22" s="35" t="e">
        <f>IF(C22 = 6,E22*VLOOKUP(4,Table3[#All],2,FALSE),IF(C22 =5,E22*VLOOKUP(4,Table4[#All],2,FALSE),NA()))</f>
        <v>#N/A</v>
      </c>
      <c r="L22" s="33">
        <f>IF(C22 = 6,E22*VLOOKUP(3,Table3[#All],2,FALSE),IF(C22 =5,E22*VLOOKUP(3,Table4[#All],2,FALSE),IF(C22 =4,E22*VLOOKUP(3,Table5[#All],2,FALSE),NA())))</f>
        <v>27.2</v>
      </c>
      <c r="M22" s="34">
        <f>IF(C22 = 6,E22*VLOOKUP(2,Table3[#All],2,FALSE),IF(C22 =5,E22*VLOOKUP(2,Table4[#All],2,FALSE),IF(C22 =4,E22*VLOOKUP(2,Table5[#All],2,FALSE),IF(C22 =3,E22*VLOOKUP(2,Table6[#All],2,FALSE),NA()))))</f>
        <v>13.6</v>
      </c>
      <c r="N22" s="36">
        <f>IF(C22 = 6,E22*VLOOKUP(1,Table3[#All],2,FALSE),IF(C22 =5,E22*VLOOKUP(1,Table4[#All],2,FALSE),IF(C22 =4,E22*VLOOKUP(1,Table5[#All],2,FALSE),IF(C22 =3,E22*VLOOKUP(1,Table6[#All],2,FALSE),IF(C22 =2,E22*VLOOKUP(1,Table7[#All],2,FALSE),NA())))))</f>
        <v>3.4</v>
      </c>
      <c r="O22" s="32" t="s">
        <v>55</v>
      </c>
      <c r="P22" s="32" t="s">
        <v>57</v>
      </c>
      <c r="Q22" s="8" t="b">
        <v>0</v>
      </c>
      <c r="R22" s="66">
        <v>0</v>
      </c>
      <c r="S22" s="76">
        <v>0.09</v>
      </c>
      <c r="T22" s="36">
        <v>-10</v>
      </c>
      <c r="U22" s="11" t="b">
        <v>0</v>
      </c>
      <c r="V22" s="10" t="b">
        <v>0</v>
      </c>
      <c r="W22" s="11" t="b">
        <v>0</v>
      </c>
      <c r="X22" s="8" t="b">
        <v>1</v>
      </c>
      <c r="Y22" s="32" t="b">
        <v>1</v>
      </c>
      <c r="Z22" s="8" t="b">
        <v>0</v>
      </c>
      <c r="AA22" s="73">
        <v>0.1</v>
      </c>
      <c r="AB22" s="99">
        <f>VLOOKUP(Table1123[[#This Row],[Armor Level]],Table1217[#All],6,FALSE)</f>
        <v>0.43421052631578949</v>
      </c>
    </row>
    <row r="23" spans="1:28" x14ac:dyDescent="0.25">
      <c r="A23" s="60" t="s">
        <v>64</v>
      </c>
      <c r="B23" s="11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35.700000000000003</v>
      </c>
      <c r="C23" s="33">
        <v>4</v>
      </c>
      <c r="D23" s="36" t="s">
        <v>7</v>
      </c>
      <c r="E23" s="32">
        <v>50</v>
      </c>
      <c r="F23" s="32">
        <f>ROUNDDOWN(E23/VLOOKUP(D23,Table2[#All],2,FALSE),0)</f>
        <v>62</v>
      </c>
      <c r="G23" s="31">
        <f>ROUNDDOWN(E23/VLOOKUP(D23,Table2[#All],3,FALSE),0)</f>
        <v>62</v>
      </c>
      <c r="H23" s="36" t="str">
        <f>VLOOKUP(D23,Table2[#All],4,FALSE)</f>
        <v>Very Bad</v>
      </c>
      <c r="I23" s="32">
        <v>1</v>
      </c>
      <c r="J23" s="35" t="e">
        <f>IF(C23&gt;5,E23*VLOOKUP(5,Table3[#All],2,FALSE),NA())</f>
        <v>#N/A</v>
      </c>
      <c r="K23" s="35" t="e">
        <f>IF(C23 = 6,E23*VLOOKUP(4,Table3[#All],2,FALSE),IF(C23 =5,E23*VLOOKUP(4,Table4[#All],2,FALSE),NA()))</f>
        <v>#N/A</v>
      </c>
      <c r="L23" s="33">
        <f>IF(C23 = 6,E23*VLOOKUP(3,Table3[#All],2,FALSE),IF(C23 =5,E23*VLOOKUP(3,Table4[#All],2,FALSE),IF(C23 =4,E23*VLOOKUP(3,Table5[#All],2,FALSE),NA())))</f>
        <v>16</v>
      </c>
      <c r="M23" s="34">
        <f>IF(C23 = 6,E23*VLOOKUP(2,Table3[#All],2,FALSE),IF(C23 =5,E23*VLOOKUP(2,Table4[#All],2,FALSE),IF(C23 =4,E23*VLOOKUP(2,Table5[#All],2,FALSE),IF(C23 =3,E23*VLOOKUP(2,Table6[#All],2,FALSE),NA()))))</f>
        <v>8</v>
      </c>
      <c r="N23" s="36">
        <f>IF(C23 = 6,E23*VLOOKUP(1,Table3[#All],2,FALSE),IF(C23 =5,E23*VLOOKUP(1,Table4[#All],2,FALSE),IF(C23 =4,E23*VLOOKUP(1,Table5[#All],2,FALSE),IF(C23 =3,E23*VLOOKUP(1,Table6[#All],2,FALSE),IF(C23 =2,E23*VLOOKUP(1,Table7[#All],2,FALSE),NA())))))</f>
        <v>2</v>
      </c>
      <c r="O23" s="32" t="s">
        <v>55</v>
      </c>
      <c r="P23" s="32" t="s">
        <v>57</v>
      </c>
      <c r="Q23" s="8" t="b">
        <v>0</v>
      </c>
      <c r="R23" s="66">
        <v>0</v>
      </c>
      <c r="S23" s="76">
        <v>0.05</v>
      </c>
      <c r="T23" s="33">
        <v>-5</v>
      </c>
      <c r="U23" s="11" t="b">
        <v>0</v>
      </c>
      <c r="V23" s="10" t="b">
        <v>0</v>
      </c>
      <c r="W23" s="11" t="b">
        <v>0</v>
      </c>
      <c r="X23" s="8" t="b">
        <v>1</v>
      </c>
      <c r="Y23" s="32" t="b">
        <v>1</v>
      </c>
      <c r="Z23" s="8" t="b">
        <v>0</v>
      </c>
      <c r="AA23" s="73">
        <v>0.1</v>
      </c>
      <c r="AB23" s="99">
        <f>VLOOKUP(Table1123[[#This Row],[Armor Level]],Table1217[#All],6,FALSE)</f>
        <v>0.43421052631578949</v>
      </c>
    </row>
    <row r="24" spans="1:28" x14ac:dyDescent="0.25">
      <c r="A24" s="56" t="s">
        <v>61</v>
      </c>
      <c r="B24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15.3</v>
      </c>
      <c r="C24" s="34">
        <v>3</v>
      </c>
      <c r="D24" s="36" t="s">
        <v>7</v>
      </c>
      <c r="E24" s="32">
        <v>40</v>
      </c>
      <c r="F24" s="32">
        <f>ROUNDDOWN(E24/VLOOKUP(D24,Table2[#All],2,FALSE),0)</f>
        <v>50</v>
      </c>
      <c r="G24" s="31">
        <f>ROUNDDOWN(E24/VLOOKUP(D24,Table2[#All],3,FALSE),0)</f>
        <v>50</v>
      </c>
      <c r="H24" s="36" t="str">
        <f>VLOOKUP(D24,Table2[#All],4,FALSE)</f>
        <v>Very Bad</v>
      </c>
      <c r="I24" s="31">
        <v>1.2</v>
      </c>
      <c r="J24" s="35" t="e">
        <f>IF(C24&gt;5,E24*VLOOKUP(5,Table3[#All],2,FALSE),NA())</f>
        <v>#N/A</v>
      </c>
      <c r="K24" s="35" t="e">
        <f>IF(C24 = 6,E24*VLOOKUP(4,Table3[#All],2,FALSE),IF(C24 =5,E24*VLOOKUP(4,Table4[#All],2,FALSE),NA()))</f>
        <v>#N/A</v>
      </c>
      <c r="L24" s="35" t="e">
        <f>IF(C24 = 6,E24*VLOOKUP(3,Table3[#All],2,FALSE),IF(C24 =5,E24*VLOOKUP(3,Table4[#All],2,FALSE),IF(C24 =4,E24*VLOOKUP(3,Table5[#All],2,FALSE),NA())))</f>
        <v>#N/A</v>
      </c>
      <c r="M24" s="34">
        <f>IF(C24 = 6,E24*VLOOKUP(2,Table3[#All],2,FALSE),IF(C24 =5,E24*VLOOKUP(2,Table4[#All],2,FALSE),IF(C24 =4,E24*VLOOKUP(2,Table5[#All],2,FALSE),IF(C24 =3,E24*VLOOKUP(2,Table6[#All],2,FALSE),NA()))))</f>
        <v>10</v>
      </c>
      <c r="N24" s="36">
        <f>IF(C24 = 6,E24*VLOOKUP(1,Table3[#All],2,FALSE),IF(C24 =5,E24*VLOOKUP(1,Table4[#All],2,FALSE),IF(C24 =4,E24*VLOOKUP(1,Table5[#All],2,FALSE),IF(C24 =3,E24*VLOOKUP(1,Table6[#All],2,FALSE),IF(C24 =2,E24*VLOOKUP(1,Table7[#All],2,FALSE),NA())))))</f>
        <v>2</v>
      </c>
      <c r="O24" s="32" t="s">
        <v>55</v>
      </c>
      <c r="P24" s="32" t="s">
        <v>57</v>
      </c>
      <c r="Q24" s="8" t="b">
        <v>0</v>
      </c>
      <c r="R24" s="66">
        <v>0</v>
      </c>
      <c r="S24" s="74">
        <v>0</v>
      </c>
      <c r="T24" s="34">
        <v>-7</v>
      </c>
      <c r="U24" s="11" t="b">
        <v>0</v>
      </c>
      <c r="V24" s="10" t="b">
        <v>0</v>
      </c>
      <c r="W24" s="11" t="b">
        <v>0</v>
      </c>
      <c r="X24" s="8" t="b">
        <v>1</v>
      </c>
      <c r="Y24" s="32" t="b">
        <v>1</v>
      </c>
      <c r="Z24" s="8" t="b">
        <v>0</v>
      </c>
      <c r="AA24" s="73">
        <v>0.1</v>
      </c>
      <c r="AB24" s="101">
        <f>VLOOKUP(Table1123[[#This Row],[Armor Level]],Table1217[#All],6,FALSE)</f>
        <v>0.63157894736842102</v>
      </c>
    </row>
    <row r="25" spans="1:28" x14ac:dyDescent="0.25">
      <c r="A25" s="56" t="s">
        <v>63</v>
      </c>
      <c r="B25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14.1</v>
      </c>
      <c r="C25" s="34">
        <v>3</v>
      </c>
      <c r="D25" s="36" t="s">
        <v>7</v>
      </c>
      <c r="E25" s="32">
        <v>50</v>
      </c>
      <c r="F25" s="32">
        <f>ROUNDDOWN(E25/VLOOKUP(D25,Table2[#All],2,FALSE),0)</f>
        <v>62</v>
      </c>
      <c r="G25" s="31">
        <f>ROUNDDOWN(E25/VLOOKUP(D25,Table2[#All],3,FALSE),0)</f>
        <v>62</v>
      </c>
      <c r="H25" s="36" t="str">
        <f>VLOOKUP(D25,Table2[#All],4,FALSE)</f>
        <v>Very Bad</v>
      </c>
      <c r="I25" s="32">
        <v>1</v>
      </c>
      <c r="J25" s="35" t="e">
        <f>IF(C25&gt;5,E25*VLOOKUP(5,Table3[#All],2,FALSE),NA())</f>
        <v>#N/A</v>
      </c>
      <c r="K25" s="35" t="e">
        <f>IF(C25 = 6,E25*VLOOKUP(4,Table3[#All],2,FALSE),IF(C25 =5,E25*VLOOKUP(4,Table4[#All],2,FALSE),NA()))</f>
        <v>#N/A</v>
      </c>
      <c r="L25" s="35" t="e">
        <f>IF(C25 = 6,E25*VLOOKUP(3,Table3[#All],2,FALSE),IF(C25 =5,E25*VLOOKUP(3,Table4[#All],2,FALSE),IF(C25 =4,E25*VLOOKUP(3,Table5[#All],2,FALSE),NA())))</f>
        <v>#N/A</v>
      </c>
      <c r="M25" s="34">
        <f>IF(C25 = 6,E25*VLOOKUP(2,Table3[#All],2,FALSE),IF(C25 =5,E25*VLOOKUP(2,Table4[#All],2,FALSE),IF(C25 =4,E25*VLOOKUP(2,Table5[#All],2,FALSE),IF(C25 =3,E25*VLOOKUP(2,Table6[#All],2,FALSE),NA()))))</f>
        <v>12.5</v>
      </c>
      <c r="N25" s="36">
        <f>IF(C25 = 6,E25*VLOOKUP(1,Table3[#All],2,FALSE),IF(C25 =5,E25*VLOOKUP(1,Table4[#All],2,FALSE),IF(C25 =4,E25*VLOOKUP(1,Table5[#All],2,FALSE),IF(C25 =3,E25*VLOOKUP(1,Table6[#All],2,FALSE),IF(C25 =2,E25*VLOOKUP(1,Table7[#All],2,FALSE),NA())))))</f>
        <v>2.5</v>
      </c>
      <c r="O25" s="33" t="s">
        <v>56</v>
      </c>
      <c r="P25" s="32" t="s">
        <v>57</v>
      </c>
      <c r="Q25" s="8" t="b">
        <v>0</v>
      </c>
      <c r="R25" s="66">
        <v>0</v>
      </c>
      <c r="S25" s="76">
        <v>0.05</v>
      </c>
      <c r="T25" s="32">
        <v>0</v>
      </c>
      <c r="U25" s="11" t="b">
        <v>0</v>
      </c>
      <c r="V25" s="10" t="b">
        <v>0</v>
      </c>
      <c r="W25" s="11" t="b">
        <v>0</v>
      </c>
      <c r="X25" s="8" t="b">
        <v>1</v>
      </c>
      <c r="Y25" s="32" t="b">
        <v>1</v>
      </c>
      <c r="Z25" s="8" t="b">
        <v>0</v>
      </c>
      <c r="AA25" s="73">
        <v>0.1</v>
      </c>
      <c r="AB25" s="101">
        <f>VLOOKUP(Table1123[[#This Row],[Armor Level]],Table1217[#All],6,FALSE)</f>
        <v>0.63157894736842102</v>
      </c>
    </row>
    <row r="26" spans="1:28" x14ac:dyDescent="0.25">
      <c r="A26" s="56" t="s">
        <v>254</v>
      </c>
      <c r="B26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10.6</v>
      </c>
      <c r="C26" s="34">
        <v>3</v>
      </c>
      <c r="D26" s="36" t="s">
        <v>7</v>
      </c>
      <c r="E26" s="32">
        <v>45</v>
      </c>
      <c r="F26" s="32">
        <f>ROUNDDOWN(E26/VLOOKUP(D26,Table2[#All],2,FALSE),0)</f>
        <v>56</v>
      </c>
      <c r="G26" s="31">
        <f>ROUNDDOWN(E26/VLOOKUP(D26,Table2[#All],3,FALSE),0)</f>
        <v>56</v>
      </c>
      <c r="H26" s="36" t="str">
        <f>VLOOKUP(D26,Table2[#All],4,FALSE)</f>
        <v>Very Bad</v>
      </c>
      <c r="I26" s="32">
        <v>0.252</v>
      </c>
      <c r="J26" s="35" t="e">
        <f>IF(C26&gt;5,E26*VLOOKUP(5,Table3[#All],2,FALSE),NA())</f>
        <v>#N/A</v>
      </c>
      <c r="K26" s="35" t="e">
        <f>IF(C26 = 6,E26*VLOOKUP(4,Table3[#All],2,FALSE),IF(C26 =5,E26*VLOOKUP(4,Table4[#All],2,FALSE),NA()))</f>
        <v>#N/A</v>
      </c>
      <c r="L26" s="35" t="e">
        <f>IF(C26 = 6,E26*VLOOKUP(3,Table3[#All],2,FALSE),IF(C26 =5,E26*VLOOKUP(3,Table4[#All],2,FALSE),IF(C26 =4,E26*VLOOKUP(3,Table5[#All],2,FALSE),NA())))</f>
        <v>#N/A</v>
      </c>
      <c r="M26" s="34">
        <f>IF(C26 = 6,E26*VLOOKUP(2,Table3[#All],2,FALSE),IF(C26 =5,E26*VLOOKUP(2,Table4[#All],2,FALSE),IF(C26 =4,E26*VLOOKUP(2,Table5[#All],2,FALSE),IF(C26 =3,E26*VLOOKUP(2,Table6[#All],2,FALSE),NA()))))</f>
        <v>11.25</v>
      </c>
      <c r="N26" s="36">
        <f>IF(C26 = 6,E26*VLOOKUP(1,Table3[#All],2,FALSE),IF(C26 =5,E26*VLOOKUP(1,Table4[#All],2,FALSE),IF(C26 =4,E26*VLOOKUP(1,Table5[#All],2,FALSE),IF(C26 =3,E26*VLOOKUP(1,Table6[#All],2,FALSE),IF(C26 =2,E26*VLOOKUP(1,Table7[#All],2,FALSE),NA())))))</f>
        <v>2.25</v>
      </c>
      <c r="O26" s="32" t="s">
        <v>55</v>
      </c>
      <c r="P26" s="32" t="s">
        <v>57</v>
      </c>
      <c r="Q26" s="8" t="b">
        <v>0</v>
      </c>
      <c r="R26" s="66">
        <v>0</v>
      </c>
      <c r="S26" s="75">
        <v>0.1</v>
      </c>
      <c r="T26" s="34">
        <v>-9</v>
      </c>
      <c r="U26" s="11" t="b">
        <v>0</v>
      </c>
      <c r="V26" s="10" t="b">
        <v>0</v>
      </c>
      <c r="W26" s="11" t="b">
        <v>0</v>
      </c>
      <c r="X26" s="8" t="b">
        <v>1</v>
      </c>
      <c r="Y26" s="32" t="b">
        <v>1</v>
      </c>
      <c r="Z26" s="8" t="b">
        <v>0</v>
      </c>
      <c r="AA26" s="73">
        <v>0.1</v>
      </c>
      <c r="AB26" s="101">
        <f>VLOOKUP(Table1123[[#This Row],[Armor Level]],Table1217[#All],6,FALSE)</f>
        <v>0.63157894736842102</v>
      </c>
    </row>
    <row r="27" spans="1:28" x14ac:dyDescent="0.25">
      <c r="A27" s="56" t="s">
        <v>253</v>
      </c>
      <c r="B27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7.2</v>
      </c>
      <c r="C27" s="34">
        <v>3</v>
      </c>
      <c r="D27" s="36" t="s">
        <v>7</v>
      </c>
      <c r="E27" s="32">
        <v>40</v>
      </c>
      <c r="F27" s="32">
        <f>ROUNDDOWN(E27/VLOOKUP(D27,Table2[#All],2,FALSE),0)</f>
        <v>50</v>
      </c>
      <c r="G27" s="31">
        <f>ROUNDDOWN(E27/VLOOKUP(D27,Table2[#All],3,FALSE),0)</f>
        <v>50</v>
      </c>
      <c r="H27" s="36" t="str">
        <f>VLOOKUP(D27,Table2[#All],4,FALSE)</f>
        <v>Very Bad</v>
      </c>
      <c r="I27" s="32">
        <v>1</v>
      </c>
      <c r="J27" s="35" t="e">
        <f>IF(C27&gt;5,E27*VLOOKUP(5,Table3[#All],2,FALSE),NA())</f>
        <v>#N/A</v>
      </c>
      <c r="K27" s="35" t="e">
        <f>IF(C27 = 6,E27*VLOOKUP(4,Table3[#All],2,FALSE),IF(C27 =5,E27*VLOOKUP(4,Table4[#All],2,FALSE),NA()))</f>
        <v>#N/A</v>
      </c>
      <c r="L27" s="35" t="e">
        <f>IF(C27 = 6,E27*VLOOKUP(3,Table3[#All],2,FALSE),IF(C27 =5,E27*VLOOKUP(3,Table4[#All],2,FALSE),IF(C27 =4,E27*VLOOKUP(3,Table5[#All],2,FALSE),NA())))</f>
        <v>#N/A</v>
      </c>
      <c r="M27" s="34">
        <f>IF(C27 = 6,E27*VLOOKUP(2,Table3[#All],2,FALSE),IF(C27 =5,E27*VLOOKUP(2,Table4[#All],2,FALSE),IF(C27 =4,E27*VLOOKUP(2,Table5[#All],2,FALSE),IF(C27 =3,E27*VLOOKUP(2,Table6[#All],2,FALSE),NA()))))</f>
        <v>10</v>
      </c>
      <c r="N27" s="36">
        <f>IF(C27 = 6,E27*VLOOKUP(1,Table3[#All],2,FALSE),IF(C27 =5,E27*VLOOKUP(1,Table4[#All],2,FALSE),IF(C27 =4,E27*VLOOKUP(1,Table5[#All],2,FALSE),IF(C27 =3,E27*VLOOKUP(1,Table6[#All],2,FALSE),IF(C27 =2,E27*VLOOKUP(1,Table7[#All],2,FALSE),NA())))))</f>
        <v>2</v>
      </c>
      <c r="O27" s="33" t="s">
        <v>56</v>
      </c>
      <c r="P27" s="32" t="s">
        <v>57</v>
      </c>
      <c r="Q27" s="8" t="b">
        <v>0</v>
      </c>
      <c r="R27" s="66">
        <v>0</v>
      </c>
      <c r="S27" s="76">
        <v>0.08</v>
      </c>
      <c r="T27" s="34">
        <v>-8</v>
      </c>
      <c r="U27" s="11" t="b">
        <v>0</v>
      </c>
      <c r="V27" s="10" t="b">
        <v>0</v>
      </c>
      <c r="W27" s="11" t="b">
        <v>0</v>
      </c>
      <c r="X27" s="8" t="b">
        <v>1</v>
      </c>
      <c r="Y27" s="32" t="b">
        <v>1</v>
      </c>
      <c r="Z27" s="8" t="b">
        <v>0</v>
      </c>
      <c r="AA27" s="73">
        <v>0.1</v>
      </c>
      <c r="AB27" s="101">
        <f>VLOOKUP(Table1123[[#This Row],[Armor Level]],Table1217[#All],6,FALSE)</f>
        <v>0.63157894736842102</v>
      </c>
    </row>
    <row r="28" spans="1:28" x14ac:dyDescent="0.25">
      <c r="A28" s="59" t="s">
        <v>62</v>
      </c>
      <c r="B28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4.0999999999999996</v>
      </c>
      <c r="C28" s="36">
        <v>2</v>
      </c>
      <c r="D28" s="36" t="s">
        <v>7</v>
      </c>
      <c r="E28" s="31">
        <v>30</v>
      </c>
      <c r="F28" s="33">
        <f>ROUNDDOWN(E28/VLOOKUP(D28,Table2[#All],2,FALSE),0)</f>
        <v>37</v>
      </c>
      <c r="G28" s="34">
        <f>ROUNDDOWN(E28/VLOOKUP(D28,Table2[#All],3,FALSE),0)</f>
        <v>37</v>
      </c>
      <c r="H28" s="36" t="str">
        <f>VLOOKUP(D28,Table2[#All],4,FALSE)</f>
        <v>Very Bad</v>
      </c>
      <c r="I28" s="32">
        <v>1</v>
      </c>
      <c r="J28" s="35" t="e">
        <f>IF(C28&gt;5,E28*VLOOKUP(5,Table3[#All],2,FALSE),NA())</f>
        <v>#N/A</v>
      </c>
      <c r="K28" s="35" t="e">
        <f>IF(C28 = 6,E28*VLOOKUP(4,Table3[#All],2,FALSE),IF(C28 =5,E28*VLOOKUP(4,Table4[#All],2,FALSE),NA()))</f>
        <v>#N/A</v>
      </c>
      <c r="L28" s="35" t="e">
        <f>IF(C28 = 6,E28*VLOOKUP(3,Table3[#All],2,FALSE),IF(C28 =5,E28*VLOOKUP(3,Table4[#All],2,FALSE),IF(C28 =4,E28*VLOOKUP(3,Table5[#All],2,FALSE),NA())))</f>
        <v>#N/A</v>
      </c>
      <c r="M28" s="35" t="e">
        <f>IF(C28 = 6,E28*VLOOKUP(2,Table3[#All],2,FALSE),IF(C28 =5,E28*VLOOKUP(2,Table4[#All],2,FALSE),IF(C28 =4,E28*VLOOKUP(2,Table5[#All],2,FALSE),IF(C28 =3,E28*VLOOKUP(2,Table6[#All],2,FALSE),NA()))))</f>
        <v>#N/A</v>
      </c>
      <c r="N28" s="36">
        <f>IF(C28 = 6,E28*VLOOKUP(1,Table3[#All],2,FALSE),IF(C28 =5,E28*VLOOKUP(1,Table4[#All],2,FALSE),IF(C28 =4,E28*VLOOKUP(1,Table5[#All],2,FALSE),IF(C28 =3,E28*VLOOKUP(1,Table6[#All],2,FALSE),IF(C28 =2,E28*VLOOKUP(1,Table7[#All],2,FALSE),NA())))))</f>
        <v>3.75</v>
      </c>
      <c r="O28" s="36" t="s">
        <v>57</v>
      </c>
      <c r="P28" s="32" t="s">
        <v>57</v>
      </c>
      <c r="Q28" s="8" t="b">
        <v>0</v>
      </c>
      <c r="R28" s="66">
        <v>0</v>
      </c>
      <c r="S28" s="74">
        <v>0</v>
      </c>
      <c r="T28" s="32">
        <v>0</v>
      </c>
      <c r="U28" s="11" t="b">
        <v>0</v>
      </c>
      <c r="V28" s="10" t="b">
        <v>0</v>
      </c>
      <c r="W28" s="11" t="b">
        <v>0</v>
      </c>
      <c r="X28" s="8" t="b">
        <v>1</v>
      </c>
      <c r="Y28" s="32" t="b">
        <v>1</v>
      </c>
      <c r="Z28" s="8" t="b">
        <v>0</v>
      </c>
      <c r="AA28" s="72">
        <v>0.15</v>
      </c>
      <c r="AB28" s="103">
        <f>VLOOKUP(Table1123[[#This Row],[Armor Level]],Table1217[#All],6,FALSE)</f>
        <v>0.75</v>
      </c>
    </row>
    <row r="29" spans="1:28" x14ac:dyDescent="0.25">
      <c r="A29" s="59" t="s">
        <v>255</v>
      </c>
      <c r="B29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1.3</v>
      </c>
      <c r="C29" s="36">
        <v>2</v>
      </c>
      <c r="D29" s="36" t="s">
        <v>7</v>
      </c>
      <c r="E29" s="34">
        <v>20</v>
      </c>
      <c r="F29" s="34">
        <f>ROUNDDOWN(E29/VLOOKUP(D29,Table2[#All],2,FALSE),0)</f>
        <v>25</v>
      </c>
      <c r="G29" s="36">
        <f>ROUNDDOWN(E29/VLOOKUP(D29,Table2[#All],3,FALSE),0)</f>
        <v>25</v>
      </c>
      <c r="H29" s="36" t="str">
        <f>VLOOKUP(D29,Table2[#All],4,FALSE)</f>
        <v>Very Bad</v>
      </c>
      <c r="I29" s="32">
        <v>1</v>
      </c>
      <c r="J29" s="35" t="e">
        <f>IF(C29&gt;5,E29*VLOOKUP(5,Table3[#All],2,FALSE),NA())</f>
        <v>#N/A</v>
      </c>
      <c r="K29" s="35" t="e">
        <f>IF(C29 = 6,E29*VLOOKUP(4,Table3[#All],2,FALSE),IF(C29 =5,E29*VLOOKUP(4,Table4[#All],2,FALSE),NA()))</f>
        <v>#N/A</v>
      </c>
      <c r="L29" s="35" t="e">
        <f>IF(C29 = 6,E29*VLOOKUP(3,Table3[#All],2,FALSE),IF(C29 =5,E29*VLOOKUP(3,Table4[#All],2,FALSE),IF(C29 =4,E29*VLOOKUP(3,Table5[#All],2,FALSE),NA())))</f>
        <v>#N/A</v>
      </c>
      <c r="M29" s="35" t="e">
        <f>IF(C29 = 6,E29*VLOOKUP(2,Table3[#All],2,FALSE),IF(C29 =5,E29*VLOOKUP(2,Table4[#All],2,FALSE),IF(C29 =4,E29*VLOOKUP(2,Table5[#All],2,FALSE),IF(C29 =3,E29*VLOOKUP(2,Table6[#All],2,FALSE),NA()))))</f>
        <v>#N/A</v>
      </c>
      <c r="N29" s="36">
        <f>IF(C29 = 6,E29*VLOOKUP(1,Table3[#All],2,FALSE),IF(C29 =5,E29*VLOOKUP(1,Table4[#All],2,FALSE),IF(C29 =4,E29*VLOOKUP(1,Table5[#All],2,FALSE),IF(C29 =3,E29*VLOOKUP(1,Table6[#All],2,FALSE),IF(C29 =2,E29*VLOOKUP(1,Table7[#All],2,FALSE),NA())))))</f>
        <v>2.5</v>
      </c>
      <c r="O29" s="36" t="s">
        <v>57</v>
      </c>
      <c r="P29" s="32" t="s">
        <v>57</v>
      </c>
      <c r="Q29" s="8" t="b">
        <v>0</v>
      </c>
      <c r="R29" s="66">
        <v>0</v>
      </c>
      <c r="S29" s="74">
        <v>0</v>
      </c>
      <c r="T29" s="32">
        <v>0</v>
      </c>
      <c r="U29" s="11" t="b">
        <v>0</v>
      </c>
      <c r="V29" s="10" t="b">
        <v>0</v>
      </c>
      <c r="W29" s="11" t="b">
        <v>0</v>
      </c>
      <c r="X29" s="8" t="b">
        <v>1</v>
      </c>
      <c r="Y29" s="34" t="b">
        <v>0</v>
      </c>
      <c r="Z29" s="8" t="b">
        <v>0</v>
      </c>
      <c r="AA29" s="72">
        <v>0.15</v>
      </c>
      <c r="AB29" s="141">
        <f>VLOOKUP(Table1123[[#This Row],[Armor Level]],Table1217[#All],6,FALSE)</f>
        <v>0.75</v>
      </c>
    </row>
    <row r="30" spans="1:28" x14ac:dyDescent="0.25">
      <c r="A30" s="59" t="s">
        <v>251</v>
      </c>
      <c r="B30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0.9</v>
      </c>
      <c r="C30" s="36">
        <v>2</v>
      </c>
      <c r="D30" s="36" t="s">
        <v>7</v>
      </c>
      <c r="E30" s="34">
        <v>20</v>
      </c>
      <c r="F30" s="34">
        <f>ROUNDDOWN(E30/VLOOKUP(D30,Table2[#All],2,FALSE),0)</f>
        <v>25</v>
      </c>
      <c r="G30" s="36">
        <f>ROUNDDOWN(E30/VLOOKUP(D30,Table2[#All],3,FALSE),0)</f>
        <v>25</v>
      </c>
      <c r="H30" s="36" t="str">
        <f>VLOOKUP(D30,Table2[#All],4,FALSE)</f>
        <v>Very Bad</v>
      </c>
      <c r="I30" s="32">
        <v>1</v>
      </c>
      <c r="J30" s="35" t="e">
        <f>IF(C30&gt;5,E30*VLOOKUP(5,Table3[#All],2,FALSE),NA())</f>
        <v>#N/A</v>
      </c>
      <c r="K30" s="35" t="e">
        <f>IF(C30 = 6,E30*VLOOKUP(4,Table3[#All],2,FALSE),IF(C30 =5,E30*VLOOKUP(4,Table4[#All],2,FALSE),NA()))</f>
        <v>#N/A</v>
      </c>
      <c r="L30" s="35" t="e">
        <f>IF(C30 = 6,E30*VLOOKUP(3,Table3[#All],2,FALSE),IF(C30 =5,E30*VLOOKUP(3,Table4[#All],2,FALSE),IF(C30 =4,E30*VLOOKUP(3,Table5[#All],2,FALSE),NA())))</f>
        <v>#N/A</v>
      </c>
      <c r="M30" s="35" t="e">
        <f>IF(C30 = 6,E30*VLOOKUP(2,Table3[#All],2,FALSE),IF(C30 =5,E30*VLOOKUP(2,Table4[#All],2,FALSE),IF(C30 =4,E30*VLOOKUP(2,Table5[#All],2,FALSE),IF(C30 =3,E30*VLOOKUP(2,Table6[#All],2,FALSE),NA()))))</f>
        <v>#N/A</v>
      </c>
      <c r="N30" s="36">
        <f>IF(C30 = 6,E30*VLOOKUP(1,Table3[#All],2,FALSE),IF(C30 =5,E30*VLOOKUP(1,Table4[#All],2,FALSE),IF(C30 =4,E30*VLOOKUP(1,Table5[#All],2,FALSE),IF(C30 =3,E30*VLOOKUP(1,Table6[#All],2,FALSE),IF(C30 =2,E30*VLOOKUP(1,Table7[#All],2,FALSE),NA())))))</f>
        <v>2.5</v>
      </c>
      <c r="O30" s="36" t="s">
        <v>57</v>
      </c>
      <c r="P30" s="32" t="s">
        <v>57</v>
      </c>
      <c r="Q30" s="8" t="b">
        <v>0</v>
      </c>
      <c r="R30" s="66">
        <v>0</v>
      </c>
      <c r="S30" s="74">
        <v>0</v>
      </c>
      <c r="T30" s="32">
        <v>0</v>
      </c>
      <c r="U30" s="11" t="b">
        <v>0</v>
      </c>
      <c r="V30" s="10" t="b">
        <v>0</v>
      </c>
      <c r="W30" s="11" t="b">
        <v>0</v>
      </c>
      <c r="X30" s="8" t="b">
        <v>1</v>
      </c>
      <c r="Y30" s="34" t="b">
        <v>0</v>
      </c>
      <c r="Z30" s="8" t="b">
        <v>0</v>
      </c>
      <c r="AA30" s="127">
        <v>0</v>
      </c>
      <c r="AB30" s="103">
        <f>VLOOKUP(Table1123[[#This Row],[Armor Level]],Table1217[#All],6,FALSE)</f>
        <v>0.75</v>
      </c>
    </row>
    <row r="31" spans="1:28" x14ac:dyDescent="0.25">
      <c r="A31" s="138" t="s">
        <v>306</v>
      </c>
      <c r="B31" s="12">
        <f>ROUNDDOWN(((Table1123[[#This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Durability]]/3))/2 )) - (Table1123[[#This Row],[Armor Level]]*((IF(Table1123[[#This Row],[Ricochet chance]] = "High",Table1123[[#This Row],[Effective Durability]],IF(Table1123[[#This Row],[Ricochet chance]] = "Medium",Table1123[[#This Row],[Effective Durability]]/2,IF(Table1123[[#This Row],[Ricochet chance]] = "Low",Table1123[[#This Row],[Effective Durability]]/3,Table1123[[#This Row],[Effective Durability]]/4))) + IF(Table1123[[#This Row],[Jaws]],Table1123[[#This Row],[Effective Durability]],Table1123[[#This Row],[Effective Durability]]/3))/2)*(Table1123[[#This Row],[Turn Speed]] + (100% - Table1123[[#This Row],[Blindness Protection]])*0.75) - Table1123[[#This Row],[Ergonomics]]))*(100%-Table1123[[#This Row],[% Common penetrating rounds]]),1)</f>
        <v>0.5</v>
      </c>
      <c r="C31" s="139">
        <v>1</v>
      </c>
      <c r="D31" s="54" t="s">
        <v>7</v>
      </c>
      <c r="E31" s="53">
        <v>25</v>
      </c>
      <c r="F31" s="53">
        <f>ROUNDDOWN(E31/VLOOKUP(D31,Table2[#All],2,FALSE),0)</f>
        <v>31</v>
      </c>
      <c r="G31" s="40">
        <f>ROUNDDOWN(E31/VLOOKUP(D31,Table2[#All],3,FALSE),0)</f>
        <v>31</v>
      </c>
      <c r="H31" s="54" t="str">
        <f>VLOOKUP(D31,Table2[#All],4,FALSE)</f>
        <v>Very Bad</v>
      </c>
      <c r="I31" s="43">
        <v>0.03</v>
      </c>
      <c r="J31" s="41" t="str">
        <f>IF(C31&gt;5,E31*VLOOKUP(5,Table3[#All],2,FALSE),"N/A")</f>
        <v>N/A</v>
      </c>
      <c r="K31" s="41" t="str">
        <f>IF(C31 = 6,E31*VLOOKUP(4,Table3[#All],2,FALSE),IF(C31 =5,E31*VLOOKUP(4,Table4[#All],2,FALSE),"N/A"))</f>
        <v>N/A</v>
      </c>
      <c r="L31" s="41" t="str">
        <f>IF(C31 = 6,E31*VLOOKUP(3,Table3[#All],2,FALSE),IF(C31 =5,E31*VLOOKUP(3,Table4[#All],2,FALSE),IF(C31 =4,E31*VLOOKUP(3,Table5[#All],2,FALSE),"N/A")))</f>
        <v>N/A</v>
      </c>
      <c r="M31" s="41" t="str">
        <f>IF(C31 = 6,E31*VLOOKUP(2,Table3[#All],2,FALSE),IF(C31 =5,E31*VLOOKUP(2,Table4[#All],2,FALSE),IF(C31 =4,E31*VLOOKUP(2,Table5[#All],2,FALSE),IF(C31 =3,E31*VLOOKUP(2,Table6[#All],2,FALSE),"N/A"))))</f>
        <v>N/A</v>
      </c>
      <c r="N31" s="54" t="str">
        <f>IF(C31 = 6,E31*VLOOKUP(1,Table3[#All],2,FALSE),IF(C31 =5,E31*VLOOKUP(1,Table4[#All],2,FALSE),IF(C31 =4,E31*VLOOKUP(1,Table5[#All],2,FALSE),IF(C31 =3,E31*VLOOKUP(1,Table6[#All],2,FALSE),IF(C31 =2,E31*VLOOKUP(1,Table7[#All],2,FALSE),"N/A")))))</f>
        <v>N/A</v>
      </c>
      <c r="O31" s="53" t="s">
        <v>56</v>
      </c>
      <c r="P31" s="43" t="s">
        <v>57</v>
      </c>
      <c r="Q31" s="43" t="b">
        <v>0</v>
      </c>
      <c r="R31" s="70">
        <v>0</v>
      </c>
      <c r="S31" s="70">
        <v>0</v>
      </c>
      <c r="T31" s="135">
        <v>0</v>
      </c>
      <c r="U31" s="128" t="b">
        <v>0</v>
      </c>
      <c r="V31" s="134" t="b">
        <v>0</v>
      </c>
      <c r="W31" s="128" t="b">
        <v>0</v>
      </c>
      <c r="X31" s="70" t="b">
        <v>1</v>
      </c>
      <c r="Y31" s="136" t="b">
        <v>0</v>
      </c>
      <c r="Z31" s="129" t="b">
        <v>1</v>
      </c>
      <c r="AA31" s="137">
        <v>0.1</v>
      </c>
      <c r="AB31" s="143">
        <f>VLOOKUP(Table1123[[#This Row],[Armor Level]],Table1217[#All],6,FALSE)</f>
        <v>0.86842105263157898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B102-0F2C-41C5-A0BC-974D1837321F}">
  <dimension ref="A1:J88"/>
  <sheetViews>
    <sheetView workbookViewId="0">
      <selection activeCell="H12" sqref="H12"/>
    </sheetView>
  </sheetViews>
  <sheetFormatPr defaultRowHeight="15" x14ac:dyDescent="0.25"/>
  <cols>
    <col min="1" max="1" width="27.42578125" bestFit="1" customWidth="1"/>
    <col min="2" max="2" width="28" bestFit="1" customWidth="1"/>
    <col min="3" max="3" width="16.140625" bestFit="1" customWidth="1"/>
    <col min="4" max="4" width="36.42578125" bestFit="1" customWidth="1"/>
    <col min="5" max="5" width="23.28515625" bestFit="1" customWidth="1"/>
    <col min="6" max="6" width="18.7109375" bestFit="1" customWidth="1"/>
    <col min="7" max="7" width="20.85546875" bestFit="1" customWidth="1"/>
    <col min="8" max="8" width="20.5703125" bestFit="1" customWidth="1"/>
    <col min="9" max="9" width="15" bestFit="1" customWidth="1"/>
    <col min="10" max="10" width="20.85546875" bestFit="1" customWidth="1"/>
  </cols>
  <sheetData>
    <row r="1" spans="1:10" ht="18.75" x14ac:dyDescent="0.3">
      <c r="A1" s="45" t="s">
        <v>163</v>
      </c>
      <c r="B1" s="1" t="s">
        <v>172</v>
      </c>
      <c r="C1" s="1"/>
      <c r="D1" s="114"/>
      <c r="E1" s="1"/>
      <c r="F1" s="1"/>
      <c r="G1" s="1"/>
      <c r="H1" s="1"/>
      <c r="I1" s="1"/>
      <c r="J1" s="1"/>
    </row>
    <row r="2" spans="1:10" x14ac:dyDescent="0.25">
      <c r="A2" s="92" t="s">
        <v>167</v>
      </c>
      <c r="B2" s="93" t="s">
        <v>168</v>
      </c>
      <c r="C2" s="93" t="s">
        <v>75</v>
      </c>
      <c r="D2" s="93" t="s">
        <v>174</v>
      </c>
      <c r="E2" s="93" t="s">
        <v>162</v>
      </c>
      <c r="F2" s="94" t="s">
        <v>175</v>
      </c>
      <c r="G2" s="94" t="s">
        <v>176</v>
      </c>
      <c r="H2" s="93" t="s">
        <v>165</v>
      </c>
      <c r="I2" s="113" t="s">
        <v>166</v>
      </c>
      <c r="J2" s="113" t="s">
        <v>177</v>
      </c>
    </row>
    <row r="3" spans="1:10" x14ac:dyDescent="0.25">
      <c r="A3" s="24">
        <v>6</v>
      </c>
      <c r="B3" s="8">
        <v>8</v>
      </c>
      <c r="C3" s="95">
        <f>Table1217[[#This Row],[Overall '# that penetrates]]/B9</f>
        <v>5.7971014492753624E-2</v>
      </c>
      <c r="D3" s="95" t="e">
        <f>NA()</f>
        <v>#N/A</v>
      </c>
      <c r="E3" s="32">
        <f>COUNTIF(Table1316[Penetration],"&gt;=57")</f>
        <v>8</v>
      </c>
      <c r="F3" s="96">
        <f>Table1217[[#This Row],['# of common ammo]]/E9</f>
        <v>0.10526315789473684</v>
      </c>
      <c r="G3" s="95" t="e">
        <f>NA()</f>
        <v>#N/A</v>
      </c>
      <c r="H3" s="111">
        <f>COUNTIF(Table131518[Penetration],"&gt;=57")</f>
        <v>8</v>
      </c>
      <c r="I3" s="112">
        <f>Table1217[[#This Row],['# of META ammo]]/H9</f>
        <v>0.25</v>
      </c>
      <c r="J3" s="95" t="e">
        <f>NA()</f>
        <v>#N/A</v>
      </c>
    </row>
    <row r="4" spans="1:10" x14ac:dyDescent="0.25">
      <c r="A4" s="20">
        <v>5</v>
      </c>
      <c r="B4" s="9">
        <v>16</v>
      </c>
      <c r="C4" s="97">
        <f>Table1217[[#This Row],[Overall '# that penetrates]]/B9</f>
        <v>0.11594202898550725</v>
      </c>
      <c r="D4" s="97">
        <f>Table1217[[#This Row],[Overall '# that penetrates]]/B3-1</f>
        <v>1</v>
      </c>
      <c r="E4" s="31">
        <f>COUNTIF(Table1316[Penetration],"&gt;=47")</f>
        <v>16</v>
      </c>
      <c r="F4" s="98">
        <f>Table1217[[#This Row],['# of common ammo]]/E9</f>
        <v>0.21052631578947367</v>
      </c>
      <c r="G4" s="98">
        <f>Table1217[[#This Row],['# of common ammo]]/E3-1</f>
        <v>1</v>
      </c>
      <c r="H4" s="31">
        <f>COUNTIF(Table131518[Penetration],"&gt;=47")</f>
        <v>16</v>
      </c>
      <c r="I4" s="97">
        <f>Table1217[[#This Row],['# of META ammo]]/H9</f>
        <v>0.5</v>
      </c>
      <c r="J4" s="97">
        <f>Table1217[[#This Row],['# of META ammo]]/H3-1</f>
        <v>1</v>
      </c>
    </row>
    <row r="5" spans="1:10" x14ac:dyDescent="0.25">
      <c r="A5" s="22">
        <v>4</v>
      </c>
      <c r="B5" s="10">
        <v>35</v>
      </c>
      <c r="C5" s="99">
        <f>Table1217[[#This Row],[Overall '# that penetrates]]/B9</f>
        <v>0.25362318840579712</v>
      </c>
      <c r="D5" s="99">
        <f>Table1217[[#This Row],[Overall '# that penetrates]]/B4-1</f>
        <v>1.1875</v>
      </c>
      <c r="E5" s="33">
        <f>COUNTIF(Table1316[Penetration],"&gt;=37")</f>
        <v>33</v>
      </c>
      <c r="F5" s="100">
        <f>Table1217[[#This Row],['# of common ammo]]/E9</f>
        <v>0.43421052631578949</v>
      </c>
      <c r="G5" s="100">
        <f>Table1217[[#This Row],['# of common ammo]]/E4-1</f>
        <v>1.0625</v>
      </c>
      <c r="H5" s="33">
        <f>COUNTIF(Table131518[Penetration],"&gt;=37")</f>
        <v>24</v>
      </c>
      <c r="I5" s="99">
        <f>Table1217[[#This Row],['# of META ammo]]/H9</f>
        <v>0.75</v>
      </c>
      <c r="J5" s="99">
        <f>Table1217[[#This Row],['# of META ammo]]/H4-1</f>
        <v>0.5</v>
      </c>
    </row>
    <row r="6" spans="1:10" x14ac:dyDescent="0.25">
      <c r="A6" s="26">
        <v>3</v>
      </c>
      <c r="B6" s="11">
        <v>56</v>
      </c>
      <c r="C6" s="101">
        <f>Table1217[[#This Row],[Overall '# that penetrates]]/B9</f>
        <v>0.40579710144927539</v>
      </c>
      <c r="D6" s="101">
        <f>Table1217[[#This Row],[Overall '# that penetrates]]/B5-1</f>
        <v>0.60000000000000009</v>
      </c>
      <c r="E6" s="34">
        <f>COUNTIF(Table1316[Penetration],"&gt;=27")</f>
        <v>48</v>
      </c>
      <c r="F6" s="102">
        <f>Table1217[[#This Row],['# of common ammo]]/E9</f>
        <v>0.63157894736842102</v>
      </c>
      <c r="G6" s="102">
        <f>Table1217[[#This Row],['# of common ammo]]/E5-1</f>
        <v>0.45454545454545459</v>
      </c>
      <c r="H6" s="34">
        <f>COUNTIF(Table131518[Penetration],"&gt;=27")</f>
        <v>27</v>
      </c>
      <c r="I6" s="101">
        <f>Table1217[[#This Row],['# of META ammo]]/H9</f>
        <v>0.84375</v>
      </c>
      <c r="J6" s="101">
        <f>Table1217[[#This Row],['# of META ammo]]/H5-1</f>
        <v>0.125</v>
      </c>
    </row>
    <row r="7" spans="1:10" x14ac:dyDescent="0.25">
      <c r="A7" s="23">
        <v>2</v>
      </c>
      <c r="B7" s="12">
        <v>80</v>
      </c>
      <c r="C7" s="103">
        <f>Table1217[[#This Row],[Overall '# that penetrates]]/B9</f>
        <v>0.57971014492753625</v>
      </c>
      <c r="D7" s="103">
        <f>Table1217[[#This Row],[Overall '# that penetrates]]/B6-1</f>
        <v>0.4285714285714286</v>
      </c>
      <c r="E7" s="36">
        <f>COUNTIF(Table1316[Penetration],"&gt;=17")</f>
        <v>57</v>
      </c>
      <c r="F7" s="104">
        <f>Table1217[[#This Row],['# of common ammo]]/E9</f>
        <v>0.75</v>
      </c>
      <c r="G7" s="104">
        <f>Table1217[[#This Row],['# of common ammo]]/E6-1</f>
        <v>0.1875</v>
      </c>
      <c r="H7" s="36">
        <f>COUNTIF(Table131518[Penetration],"&gt;=17")</f>
        <v>27</v>
      </c>
      <c r="I7" s="103">
        <f>Table1217[[#This Row],['# of META ammo]]/H9</f>
        <v>0.84375</v>
      </c>
      <c r="J7" s="103">
        <f>Table1217[[#This Row],['# of META ammo]]/H6-1</f>
        <v>0</v>
      </c>
    </row>
    <row r="8" spans="1:10" x14ac:dyDescent="0.25">
      <c r="A8" s="47">
        <v>1</v>
      </c>
      <c r="B8" s="46">
        <v>114</v>
      </c>
      <c r="C8" s="105">
        <f>Table1217[[#This Row],[Overall '# that penetrates]]/B9</f>
        <v>0.82608695652173914</v>
      </c>
      <c r="D8" s="105">
        <f>Table1217[[#This Row],[Overall '# that penetrates]]/B7-1</f>
        <v>0.42500000000000004</v>
      </c>
      <c r="E8" s="84">
        <f>COUNTIF(Table1316[Penetration],"&gt;=7")</f>
        <v>66</v>
      </c>
      <c r="F8" s="106">
        <f>Table1217[[#This Row],['# of common ammo]]/E9</f>
        <v>0.86842105263157898</v>
      </c>
      <c r="G8" s="106">
        <f>Table1217[[#This Row],['# of common ammo]]/E7-1</f>
        <v>0.15789473684210531</v>
      </c>
      <c r="H8" s="84">
        <f>COUNTIF(Table131518[Penetration],"&gt;=7")</f>
        <v>29</v>
      </c>
      <c r="I8" s="105">
        <f>Table1217[[#This Row],['# of META ammo]]/H9</f>
        <v>0.90625</v>
      </c>
      <c r="J8" s="105">
        <f>Table1217[[#This Row],['# of META ammo]]/H7-1</f>
        <v>7.4074074074074181E-2</v>
      </c>
    </row>
    <row r="9" spans="1:10" x14ac:dyDescent="0.25">
      <c r="A9" s="91">
        <v>0</v>
      </c>
      <c r="B9" s="107">
        <v>138</v>
      </c>
      <c r="C9" s="108">
        <f>Table1217[[#This Row],[Overall '# that penetrates]]/B9</f>
        <v>1</v>
      </c>
      <c r="D9" s="110">
        <f>Table1217[[#This Row],[Overall '# that penetrates]]/B8-1</f>
        <v>0.21052631578947367</v>
      </c>
      <c r="E9" s="107">
        <f>COUNT(Table1316[Penetration])</f>
        <v>76</v>
      </c>
      <c r="F9" s="109">
        <f>Table1217[[#This Row],['# of common ammo]]/E9</f>
        <v>1</v>
      </c>
      <c r="G9" s="115">
        <f>Table1217[[#This Row],['# of common ammo]]/E8-1</f>
        <v>0.1515151515151516</v>
      </c>
      <c r="H9" s="107">
        <f>COUNT(Table131518[Penetration])</f>
        <v>32</v>
      </c>
      <c r="I9" s="108">
        <f>Table1217[[#This Row],['# of META ammo]]/H9</f>
        <v>1</v>
      </c>
      <c r="J9" s="110">
        <f>Table1217[[#This Row],['# of META ammo]]/H8-1</f>
        <v>0.10344827586206895</v>
      </c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8.75" x14ac:dyDescent="0.3">
      <c r="A11" s="45" t="s">
        <v>161</v>
      </c>
      <c r="B11" s="1"/>
      <c r="C11" s="1"/>
      <c r="D11" s="1"/>
      <c r="E11" s="45" t="s">
        <v>164</v>
      </c>
      <c r="F11" s="1"/>
      <c r="G11" s="1"/>
      <c r="H11" s="1"/>
      <c r="I11" s="1"/>
      <c r="J11" s="1"/>
    </row>
    <row r="12" spans="1:10" x14ac:dyDescent="0.25">
      <c r="A12" s="5" t="s">
        <v>154</v>
      </c>
      <c r="B12" s="6" t="s">
        <v>155</v>
      </c>
      <c r="C12" s="7" t="s">
        <v>156</v>
      </c>
      <c r="D12" s="1"/>
      <c r="E12" s="5" t="s">
        <v>154</v>
      </c>
      <c r="F12" s="6" t="s">
        <v>155</v>
      </c>
      <c r="G12" s="7" t="s">
        <v>156</v>
      </c>
      <c r="H12" s="1"/>
      <c r="I12" s="1"/>
      <c r="J12" s="1"/>
    </row>
    <row r="13" spans="1:10" x14ac:dyDescent="0.25">
      <c r="A13" s="24" t="s">
        <v>127</v>
      </c>
      <c r="B13" s="79" t="s">
        <v>114</v>
      </c>
      <c r="C13" s="21">
        <v>79</v>
      </c>
      <c r="D13" s="1"/>
      <c r="E13" s="24" t="s">
        <v>127</v>
      </c>
      <c r="F13" s="79" t="s">
        <v>114</v>
      </c>
      <c r="G13" s="21">
        <v>79</v>
      </c>
      <c r="H13" s="1"/>
      <c r="I13" s="1"/>
      <c r="J13" s="1"/>
    </row>
    <row r="14" spans="1:10" x14ac:dyDescent="0.25">
      <c r="A14" s="24" t="s">
        <v>97</v>
      </c>
      <c r="B14" s="32" t="s">
        <v>150</v>
      </c>
      <c r="C14" s="21">
        <v>70</v>
      </c>
      <c r="D14" s="1"/>
      <c r="E14" s="24" t="s">
        <v>97</v>
      </c>
      <c r="F14" s="32" t="s">
        <v>150</v>
      </c>
      <c r="G14" s="21">
        <v>70</v>
      </c>
      <c r="H14" s="1"/>
      <c r="I14" s="1"/>
      <c r="J14" s="1"/>
    </row>
    <row r="15" spans="1:10" x14ac:dyDescent="0.25">
      <c r="A15" s="24" t="s">
        <v>160</v>
      </c>
      <c r="B15" s="79" t="s">
        <v>88</v>
      </c>
      <c r="C15" s="21">
        <v>70</v>
      </c>
      <c r="D15" s="1"/>
      <c r="E15" s="24" t="s">
        <v>160</v>
      </c>
      <c r="F15" s="79" t="s">
        <v>88</v>
      </c>
      <c r="G15" s="21">
        <v>70</v>
      </c>
      <c r="H15" s="1"/>
      <c r="I15" s="1"/>
      <c r="J15" s="1"/>
    </row>
    <row r="16" spans="1:10" x14ac:dyDescent="0.25">
      <c r="A16" s="24" t="s">
        <v>84</v>
      </c>
      <c r="B16" s="32" t="s">
        <v>85</v>
      </c>
      <c r="C16" s="21">
        <v>64</v>
      </c>
      <c r="D16" s="1"/>
      <c r="E16" s="24" t="s">
        <v>84</v>
      </c>
      <c r="F16" s="32" t="s">
        <v>85</v>
      </c>
      <c r="G16" s="21">
        <v>64</v>
      </c>
      <c r="H16" s="1"/>
      <c r="I16" s="1"/>
      <c r="J16" s="1"/>
    </row>
    <row r="17" spans="1:10" x14ac:dyDescent="0.25">
      <c r="A17" s="24" t="s">
        <v>99</v>
      </c>
      <c r="B17" s="32" t="s">
        <v>158</v>
      </c>
      <c r="C17" s="21">
        <v>62</v>
      </c>
      <c r="D17" s="1"/>
      <c r="E17" s="24" t="s">
        <v>99</v>
      </c>
      <c r="F17" s="32" t="s">
        <v>158</v>
      </c>
      <c r="G17" s="21">
        <v>62</v>
      </c>
      <c r="H17" s="1"/>
      <c r="I17" s="1"/>
      <c r="J17" s="1"/>
    </row>
    <row r="18" spans="1:10" x14ac:dyDescent="0.25">
      <c r="A18" s="24" t="s">
        <v>93</v>
      </c>
      <c r="B18" s="32" t="s">
        <v>94</v>
      </c>
      <c r="C18" s="21">
        <v>62</v>
      </c>
      <c r="D18" s="1"/>
      <c r="E18" s="24" t="s">
        <v>93</v>
      </c>
      <c r="F18" s="32" t="s">
        <v>94</v>
      </c>
      <c r="G18" s="21">
        <v>62</v>
      </c>
      <c r="H18" s="1"/>
      <c r="I18" s="1"/>
      <c r="J18" s="1"/>
    </row>
    <row r="19" spans="1:10" x14ac:dyDescent="0.25">
      <c r="A19" s="24" t="s">
        <v>159</v>
      </c>
      <c r="B19" s="79" t="s">
        <v>78</v>
      </c>
      <c r="C19" s="21">
        <v>59</v>
      </c>
      <c r="D19" s="1"/>
      <c r="E19" s="24" t="s">
        <v>159</v>
      </c>
      <c r="F19" s="79" t="s">
        <v>78</v>
      </c>
      <c r="G19" s="21">
        <v>59</v>
      </c>
      <c r="H19" s="1"/>
      <c r="I19" s="1"/>
      <c r="J19" s="1"/>
    </row>
    <row r="20" spans="1:10" x14ac:dyDescent="0.25">
      <c r="A20" s="24" t="s">
        <v>81</v>
      </c>
      <c r="B20" s="32" t="s">
        <v>149</v>
      </c>
      <c r="C20" s="21">
        <v>58</v>
      </c>
      <c r="D20" s="1"/>
      <c r="E20" s="24" t="s">
        <v>81</v>
      </c>
      <c r="F20" s="32" t="s">
        <v>149</v>
      </c>
      <c r="G20" s="21">
        <v>58</v>
      </c>
      <c r="H20" s="1"/>
      <c r="I20" s="1"/>
      <c r="J20" s="1"/>
    </row>
    <row r="21" spans="1:10" x14ac:dyDescent="0.25">
      <c r="A21" s="20" t="s">
        <v>79</v>
      </c>
      <c r="B21" s="31" t="s">
        <v>148</v>
      </c>
      <c r="C21" s="25">
        <v>56</v>
      </c>
      <c r="D21" s="1"/>
      <c r="E21" s="20" t="s">
        <v>79</v>
      </c>
      <c r="F21" s="31" t="s">
        <v>148</v>
      </c>
      <c r="G21" s="25">
        <v>56</v>
      </c>
      <c r="H21" s="1"/>
      <c r="I21" s="1"/>
      <c r="J21" s="1"/>
    </row>
    <row r="22" spans="1:10" x14ac:dyDescent="0.25">
      <c r="A22" s="20" t="s">
        <v>116</v>
      </c>
      <c r="B22" s="31" t="s">
        <v>82</v>
      </c>
      <c r="C22" s="25">
        <v>55</v>
      </c>
      <c r="D22" s="1"/>
      <c r="E22" s="20" t="s">
        <v>116</v>
      </c>
      <c r="F22" s="31" t="s">
        <v>82</v>
      </c>
      <c r="G22" s="25">
        <v>55</v>
      </c>
      <c r="H22" s="1"/>
      <c r="I22" s="1"/>
      <c r="J22" s="1"/>
    </row>
    <row r="23" spans="1:10" x14ac:dyDescent="0.25">
      <c r="A23" s="20" t="s">
        <v>136</v>
      </c>
      <c r="B23" s="80" t="s">
        <v>103</v>
      </c>
      <c r="C23" s="25">
        <v>53</v>
      </c>
      <c r="D23" s="1"/>
      <c r="E23" s="20" t="s">
        <v>136</v>
      </c>
      <c r="F23" s="80" t="s">
        <v>103</v>
      </c>
      <c r="G23" s="25">
        <v>53</v>
      </c>
      <c r="H23" s="1"/>
      <c r="I23" s="1"/>
      <c r="J23" s="1"/>
    </row>
    <row r="24" spans="1:10" x14ac:dyDescent="0.25">
      <c r="A24" s="20" t="s">
        <v>79</v>
      </c>
      <c r="B24" s="80" t="s">
        <v>90</v>
      </c>
      <c r="C24" s="25">
        <v>53</v>
      </c>
      <c r="D24" s="1"/>
      <c r="E24" s="20" t="s">
        <v>79</v>
      </c>
      <c r="F24" s="80" t="s">
        <v>90</v>
      </c>
      <c r="G24" s="25">
        <v>53</v>
      </c>
      <c r="H24" s="1"/>
      <c r="I24" s="1"/>
      <c r="J24" s="1"/>
    </row>
    <row r="25" spans="1:10" x14ac:dyDescent="0.25">
      <c r="A25" s="20" t="s">
        <v>77</v>
      </c>
      <c r="B25" s="31" t="s">
        <v>88</v>
      </c>
      <c r="C25" s="25">
        <v>51</v>
      </c>
      <c r="D25" s="1"/>
      <c r="E25" s="20" t="s">
        <v>77</v>
      </c>
      <c r="F25" s="31" t="s">
        <v>88</v>
      </c>
      <c r="G25" s="25">
        <v>51</v>
      </c>
      <c r="H25" s="1"/>
      <c r="I25" s="1"/>
      <c r="J25" s="1"/>
    </row>
    <row r="26" spans="1:10" x14ac:dyDescent="0.25">
      <c r="A26" s="20" t="s">
        <v>116</v>
      </c>
      <c r="B26" s="80" t="s">
        <v>117</v>
      </c>
      <c r="C26" s="25">
        <v>50</v>
      </c>
      <c r="D26" s="1"/>
      <c r="E26" s="20" t="s">
        <v>116</v>
      </c>
      <c r="F26" s="80" t="s">
        <v>117</v>
      </c>
      <c r="G26" s="25">
        <v>50</v>
      </c>
      <c r="H26" s="1"/>
      <c r="I26" s="1"/>
      <c r="J26" s="1"/>
    </row>
    <row r="27" spans="1:10" x14ac:dyDescent="0.25">
      <c r="A27" s="20" t="s">
        <v>127</v>
      </c>
      <c r="B27" s="31" t="s">
        <v>110</v>
      </c>
      <c r="C27" s="25">
        <v>47</v>
      </c>
      <c r="D27" s="1"/>
      <c r="E27" s="20" t="s">
        <v>81</v>
      </c>
      <c r="F27" s="31" t="s">
        <v>82</v>
      </c>
      <c r="G27" s="25">
        <v>47</v>
      </c>
      <c r="H27" s="1"/>
      <c r="I27" s="1"/>
      <c r="J27" s="1"/>
    </row>
    <row r="28" spans="1:10" x14ac:dyDescent="0.25">
      <c r="A28" s="20" t="s">
        <v>81</v>
      </c>
      <c r="B28" s="31" t="s">
        <v>82</v>
      </c>
      <c r="C28" s="25">
        <v>47</v>
      </c>
      <c r="D28" s="1"/>
      <c r="E28" s="20" t="s">
        <v>127</v>
      </c>
      <c r="F28" s="80" t="s">
        <v>110</v>
      </c>
      <c r="G28" s="25">
        <v>47</v>
      </c>
      <c r="H28" s="1"/>
      <c r="I28" s="1"/>
      <c r="J28" s="1"/>
    </row>
    <row r="29" spans="1:10" x14ac:dyDescent="0.25">
      <c r="A29" s="22" t="s">
        <v>130</v>
      </c>
      <c r="B29" s="81" t="s">
        <v>133</v>
      </c>
      <c r="C29" s="28">
        <v>46</v>
      </c>
      <c r="D29" s="1"/>
      <c r="E29" s="22" t="s">
        <v>130</v>
      </c>
      <c r="F29" s="81" t="s">
        <v>133</v>
      </c>
      <c r="G29" s="28">
        <v>46</v>
      </c>
      <c r="H29" s="1"/>
      <c r="I29" s="1"/>
      <c r="J29" s="1"/>
    </row>
    <row r="30" spans="1:10" x14ac:dyDescent="0.25">
      <c r="A30" s="22" t="s">
        <v>116</v>
      </c>
      <c r="B30" s="33" t="s">
        <v>118</v>
      </c>
      <c r="C30" s="28">
        <v>46</v>
      </c>
      <c r="D30" s="1"/>
      <c r="E30" s="22" t="s">
        <v>128</v>
      </c>
      <c r="F30" s="81" t="s">
        <v>114</v>
      </c>
      <c r="G30" s="28">
        <v>45</v>
      </c>
      <c r="H30" s="1"/>
      <c r="I30" s="1"/>
      <c r="J30" s="1"/>
    </row>
    <row r="31" spans="1:10" x14ac:dyDescent="0.25">
      <c r="A31" s="22" t="s">
        <v>128</v>
      </c>
      <c r="B31" s="81" t="s">
        <v>114</v>
      </c>
      <c r="C31" s="28">
        <v>45</v>
      </c>
      <c r="D31" s="1"/>
      <c r="E31" s="22" t="s">
        <v>79</v>
      </c>
      <c r="F31" s="33" t="s">
        <v>80</v>
      </c>
      <c r="G31" s="28">
        <v>45</v>
      </c>
      <c r="H31" s="1"/>
      <c r="I31" s="1"/>
      <c r="J31" s="1"/>
    </row>
    <row r="32" spans="1:10" x14ac:dyDescent="0.25">
      <c r="A32" s="22" t="s">
        <v>79</v>
      </c>
      <c r="B32" s="33" t="s">
        <v>80</v>
      </c>
      <c r="C32" s="28">
        <v>45</v>
      </c>
      <c r="D32" s="1"/>
      <c r="E32" s="22" t="s">
        <v>113</v>
      </c>
      <c r="F32" s="81" t="s">
        <v>114</v>
      </c>
      <c r="G32" s="28">
        <v>42</v>
      </c>
      <c r="H32" s="1"/>
      <c r="I32" s="1"/>
      <c r="J32" s="1"/>
    </row>
    <row r="33" spans="1:10" x14ac:dyDescent="0.25">
      <c r="A33" s="22" t="s">
        <v>93</v>
      </c>
      <c r="B33" s="33" t="s">
        <v>83</v>
      </c>
      <c r="C33" s="28">
        <v>45</v>
      </c>
      <c r="D33" s="1"/>
      <c r="E33" s="22" t="s">
        <v>76</v>
      </c>
      <c r="F33" s="81" t="s">
        <v>173</v>
      </c>
      <c r="G33" s="28">
        <v>39</v>
      </c>
      <c r="H33" s="1"/>
      <c r="I33" s="1"/>
      <c r="J33" s="1"/>
    </row>
    <row r="34" spans="1:10" x14ac:dyDescent="0.25">
      <c r="A34" s="22" t="s">
        <v>97</v>
      </c>
      <c r="B34" s="81" t="s">
        <v>98</v>
      </c>
      <c r="C34" s="28">
        <v>44</v>
      </c>
      <c r="D34" s="1"/>
      <c r="E34" s="22" t="s">
        <v>91</v>
      </c>
      <c r="F34" s="33" t="s">
        <v>92</v>
      </c>
      <c r="G34" s="28">
        <v>37</v>
      </c>
      <c r="H34" s="1"/>
      <c r="I34" s="1"/>
      <c r="J34" s="1"/>
    </row>
    <row r="35" spans="1:10" x14ac:dyDescent="0.25">
      <c r="A35" s="22" t="s">
        <v>113</v>
      </c>
      <c r="B35" s="81" t="s">
        <v>114</v>
      </c>
      <c r="C35" s="28">
        <v>42</v>
      </c>
      <c r="D35" s="1"/>
      <c r="E35" s="22" t="s">
        <v>79</v>
      </c>
      <c r="F35" s="33" t="s">
        <v>87</v>
      </c>
      <c r="G35" s="28">
        <v>37</v>
      </c>
      <c r="H35" s="1"/>
      <c r="I35" s="1"/>
      <c r="J35" s="1"/>
    </row>
    <row r="36" spans="1:10" x14ac:dyDescent="0.25">
      <c r="A36" s="22" t="s">
        <v>93</v>
      </c>
      <c r="B36" s="81" t="s">
        <v>140</v>
      </c>
      <c r="C36" s="28">
        <v>42</v>
      </c>
      <c r="D36" s="1"/>
      <c r="E36" s="22" t="s">
        <v>143</v>
      </c>
      <c r="F36" s="81" t="s">
        <v>144</v>
      </c>
      <c r="G36" s="28">
        <v>37</v>
      </c>
      <c r="H36" s="1"/>
      <c r="I36" s="1"/>
      <c r="J36" s="1"/>
    </row>
    <row r="37" spans="1:10" x14ac:dyDescent="0.25">
      <c r="A37" s="22" t="s">
        <v>84</v>
      </c>
      <c r="B37" s="81" t="s">
        <v>89</v>
      </c>
      <c r="C37" s="28">
        <v>41</v>
      </c>
      <c r="D37" s="1"/>
      <c r="E37" s="26" t="s">
        <v>124</v>
      </c>
      <c r="F37" s="34" t="s">
        <v>114</v>
      </c>
      <c r="G37" s="27">
        <v>36</v>
      </c>
      <c r="H37" s="1"/>
      <c r="I37" s="1"/>
      <c r="J37" s="1"/>
    </row>
    <row r="38" spans="1:10" x14ac:dyDescent="0.25">
      <c r="A38" s="22" t="s">
        <v>136</v>
      </c>
      <c r="B38" s="33" t="s">
        <v>104</v>
      </c>
      <c r="C38" s="28">
        <v>40</v>
      </c>
      <c r="D38" s="1"/>
      <c r="E38" s="26" t="s">
        <v>91</v>
      </c>
      <c r="F38" s="82" t="s">
        <v>134</v>
      </c>
      <c r="G38" s="27">
        <v>31</v>
      </c>
      <c r="H38" s="1"/>
      <c r="I38" s="1"/>
      <c r="J38" s="1"/>
    </row>
    <row r="39" spans="1:10" x14ac:dyDescent="0.25">
      <c r="A39" s="22" t="s">
        <v>76</v>
      </c>
      <c r="B39" s="81" t="s">
        <v>173</v>
      </c>
      <c r="C39" s="28">
        <v>39</v>
      </c>
      <c r="D39" s="1"/>
      <c r="E39" s="26" t="s">
        <v>76</v>
      </c>
      <c r="F39" s="34" t="s">
        <v>86</v>
      </c>
      <c r="G39" s="27">
        <v>30</v>
      </c>
      <c r="H39" s="1"/>
      <c r="I39" s="1"/>
      <c r="J39" s="1"/>
    </row>
    <row r="40" spans="1:10" x14ac:dyDescent="0.25">
      <c r="A40" s="22" t="s">
        <v>142</v>
      </c>
      <c r="B40" s="81" t="s">
        <v>78</v>
      </c>
      <c r="C40" s="28">
        <v>39</v>
      </c>
      <c r="D40" s="1"/>
      <c r="E40" s="47" t="s">
        <v>120</v>
      </c>
      <c r="F40" s="84" t="s">
        <v>121</v>
      </c>
      <c r="G40" s="85">
        <v>11</v>
      </c>
      <c r="H40" s="1"/>
      <c r="I40" s="1"/>
      <c r="J40" s="1"/>
    </row>
    <row r="41" spans="1:10" x14ac:dyDescent="0.25">
      <c r="A41" s="22" t="s">
        <v>116</v>
      </c>
      <c r="B41" s="81" t="s">
        <v>119</v>
      </c>
      <c r="C41" s="28">
        <v>38</v>
      </c>
      <c r="D41" s="1"/>
      <c r="E41" s="47" t="s">
        <v>120</v>
      </c>
      <c r="F41" s="86" t="s">
        <v>122</v>
      </c>
      <c r="G41" s="85">
        <v>10</v>
      </c>
      <c r="H41" s="1"/>
      <c r="I41" s="1"/>
      <c r="J41" s="1"/>
    </row>
    <row r="42" spans="1:10" x14ac:dyDescent="0.25">
      <c r="A42" s="22" t="s">
        <v>91</v>
      </c>
      <c r="B42" s="33" t="s">
        <v>92</v>
      </c>
      <c r="C42" s="28">
        <v>37</v>
      </c>
      <c r="D42" s="1"/>
      <c r="E42" s="91" t="s">
        <v>137</v>
      </c>
      <c r="F42" s="123" t="s">
        <v>107</v>
      </c>
      <c r="G42" s="122">
        <v>2</v>
      </c>
      <c r="H42" s="1"/>
      <c r="I42" s="1"/>
      <c r="J42" s="1"/>
    </row>
    <row r="43" spans="1:10" x14ac:dyDescent="0.25">
      <c r="A43" s="22" t="s">
        <v>77</v>
      </c>
      <c r="B43" s="81" t="s">
        <v>78</v>
      </c>
      <c r="C43" s="28">
        <v>37</v>
      </c>
      <c r="D43" s="1"/>
      <c r="E43" s="91" t="s">
        <v>76</v>
      </c>
      <c r="F43" s="123" t="s">
        <v>123</v>
      </c>
      <c r="G43" s="122">
        <v>2</v>
      </c>
      <c r="H43" s="1"/>
      <c r="I43" s="1"/>
      <c r="J43" s="1"/>
    </row>
    <row r="44" spans="1:10" x14ac:dyDescent="0.25">
      <c r="A44" s="22" t="s">
        <v>79</v>
      </c>
      <c r="B44" s="33" t="s">
        <v>87</v>
      </c>
      <c r="C44" s="28">
        <v>37</v>
      </c>
      <c r="D44" s="1"/>
      <c r="E44" s="91" t="s">
        <v>91</v>
      </c>
      <c r="F44" s="121" t="s">
        <v>100</v>
      </c>
      <c r="G44" s="122">
        <v>1</v>
      </c>
      <c r="H44" s="1"/>
      <c r="I44" s="1"/>
      <c r="J44" s="1"/>
    </row>
    <row r="45" spans="1:10" x14ac:dyDescent="0.25">
      <c r="A45" s="22" t="s">
        <v>143</v>
      </c>
      <c r="B45" s="81" t="s">
        <v>144</v>
      </c>
      <c r="C45" s="28">
        <v>37</v>
      </c>
      <c r="D45" s="1"/>
      <c r="E45" s="1"/>
      <c r="F45" s="1"/>
      <c r="G45" s="1"/>
      <c r="H45" s="1"/>
      <c r="I45" s="1"/>
      <c r="J45" s="1"/>
    </row>
    <row r="46" spans="1:10" x14ac:dyDescent="0.25">
      <c r="A46" s="26" t="s">
        <v>124</v>
      </c>
      <c r="B46" s="34" t="s">
        <v>114</v>
      </c>
      <c r="C46" s="27">
        <v>36</v>
      </c>
      <c r="D46" s="1"/>
      <c r="E46" s="1"/>
      <c r="F46" s="1"/>
      <c r="G46" s="1"/>
      <c r="H46" s="1"/>
      <c r="I46" s="1"/>
      <c r="J46" s="1"/>
    </row>
    <row r="47" spans="1:10" x14ac:dyDescent="0.25">
      <c r="A47" s="26" t="s">
        <v>136</v>
      </c>
      <c r="B47" s="82" t="s">
        <v>105</v>
      </c>
      <c r="C47" s="27">
        <v>36</v>
      </c>
      <c r="D47" s="1"/>
      <c r="E47" s="1"/>
      <c r="F47" s="1"/>
      <c r="G47" s="1"/>
      <c r="H47" s="1"/>
      <c r="I47" s="1"/>
      <c r="J47" s="1"/>
    </row>
    <row r="48" spans="1:10" x14ac:dyDescent="0.25">
      <c r="A48" s="26" t="s">
        <v>77</v>
      </c>
      <c r="B48" s="82" t="s">
        <v>82</v>
      </c>
      <c r="C48" s="27">
        <v>35</v>
      </c>
      <c r="D48" s="1"/>
      <c r="E48" s="1"/>
      <c r="F48" s="1"/>
      <c r="G48" s="1"/>
      <c r="H48" s="1"/>
      <c r="I48" s="1"/>
      <c r="J48" s="1"/>
    </row>
    <row r="49" spans="1:10" x14ac:dyDescent="0.25">
      <c r="A49" s="26" t="s">
        <v>143</v>
      </c>
      <c r="B49" s="34" t="s">
        <v>145</v>
      </c>
      <c r="C49" s="27">
        <v>35</v>
      </c>
      <c r="D49" s="1"/>
      <c r="E49" s="1"/>
      <c r="F49" s="1"/>
      <c r="G49" s="1"/>
      <c r="H49" s="1"/>
      <c r="I49" s="1"/>
      <c r="J49" s="1"/>
    </row>
    <row r="50" spans="1:10" x14ac:dyDescent="0.25">
      <c r="A50" s="26" t="s">
        <v>81</v>
      </c>
      <c r="B50" s="82" t="s">
        <v>83</v>
      </c>
      <c r="C50" s="27">
        <v>32</v>
      </c>
      <c r="D50" s="1"/>
      <c r="E50" s="1"/>
      <c r="F50" s="1"/>
      <c r="G50" s="1"/>
      <c r="H50" s="1"/>
      <c r="I50" s="1"/>
      <c r="J50" s="1"/>
    </row>
    <row r="51" spans="1:10" x14ac:dyDescent="0.25">
      <c r="A51" s="26" t="s">
        <v>91</v>
      </c>
      <c r="B51" s="82" t="s">
        <v>134</v>
      </c>
      <c r="C51" s="27">
        <v>31</v>
      </c>
      <c r="D51" s="1"/>
      <c r="E51" s="1"/>
      <c r="F51" s="1"/>
      <c r="G51" s="1"/>
      <c r="H51" s="1"/>
      <c r="I51" s="1"/>
      <c r="J51" s="1"/>
    </row>
    <row r="52" spans="1:10" x14ac:dyDescent="0.25">
      <c r="A52" s="26" t="s">
        <v>84</v>
      </c>
      <c r="B52" s="82" t="s">
        <v>110</v>
      </c>
      <c r="C52" s="27">
        <v>31</v>
      </c>
      <c r="D52" s="1"/>
      <c r="E52" s="1"/>
      <c r="F52" s="1"/>
      <c r="G52" s="1"/>
      <c r="H52" s="1"/>
      <c r="I52" s="1"/>
      <c r="J52" s="1"/>
    </row>
    <row r="53" spans="1:10" x14ac:dyDescent="0.25">
      <c r="A53" s="26" t="s">
        <v>113</v>
      </c>
      <c r="B53" s="34" t="s">
        <v>115</v>
      </c>
      <c r="C53" s="27">
        <v>30</v>
      </c>
      <c r="D53" s="1"/>
      <c r="E53" s="1"/>
      <c r="F53" s="1"/>
      <c r="G53" s="1"/>
      <c r="H53" s="1"/>
      <c r="I53" s="1"/>
      <c r="J53" s="1"/>
    </row>
    <row r="54" spans="1:10" x14ac:dyDescent="0.25">
      <c r="A54" s="26" t="s">
        <v>81</v>
      </c>
      <c r="B54" s="34" t="s">
        <v>111</v>
      </c>
      <c r="C54" s="27">
        <v>30</v>
      </c>
      <c r="D54" s="1"/>
      <c r="E54" s="1"/>
      <c r="F54" s="1"/>
      <c r="G54" s="1"/>
      <c r="H54" s="1"/>
      <c r="I54" s="1"/>
      <c r="J54" s="1"/>
    </row>
    <row r="55" spans="1:10" x14ac:dyDescent="0.25">
      <c r="A55" s="26" t="s">
        <v>76</v>
      </c>
      <c r="B55" s="34" t="s">
        <v>86</v>
      </c>
      <c r="C55" s="27">
        <v>30</v>
      </c>
      <c r="D55" s="1"/>
      <c r="E55" s="1"/>
      <c r="F55" s="1"/>
      <c r="G55" s="1"/>
      <c r="H55" s="1"/>
      <c r="I55" s="1"/>
      <c r="J55" s="1"/>
    </row>
    <row r="56" spans="1:10" x14ac:dyDescent="0.25">
      <c r="A56" s="26" t="s">
        <v>128</v>
      </c>
      <c r="B56" s="34" t="s">
        <v>129</v>
      </c>
      <c r="C56" s="27">
        <v>29</v>
      </c>
      <c r="D56" s="1"/>
      <c r="E56" s="1"/>
      <c r="F56" s="1"/>
      <c r="G56" s="1"/>
      <c r="H56" s="1"/>
      <c r="I56" s="1"/>
      <c r="J56" s="1"/>
    </row>
    <row r="57" spans="1:10" x14ac:dyDescent="0.25">
      <c r="A57" s="26" t="s">
        <v>130</v>
      </c>
      <c r="B57" s="82" t="s">
        <v>131</v>
      </c>
      <c r="C57" s="27">
        <v>28</v>
      </c>
      <c r="D57" s="1"/>
      <c r="E57" s="1"/>
      <c r="F57" s="1"/>
      <c r="G57" s="1"/>
      <c r="H57" s="1"/>
      <c r="I57" s="1"/>
      <c r="J57" s="1"/>
    </row>
    <row r="58" spans="1:10" x14ac:dyDescent="0.25">
      <c r="A58" s="26" t="s">
        <v>79</v>
      </c>
      <c r="B58" s="82" t="s">
        <v>95</v>
      </c>
      <c r="C58" s="27">
        <v>28</v>
      </c>
      <c r="D58" s="1"/>
      <c r="E58" s="1"/>
      <c r="F58" s="1"/>
      <c r="G58" s="1"/>
      <c r="H58" s="1"/>
      <c r="I58" s="1"/>
      <c r="J58" s="1"/>
    </row>
    <row r="59" spans="1:10" x14ac:dyDescent="0.25">
      <c r="A59" s="26" t="s">
        <v>137</v>
      </c>
      <c r="B59" s="34" t="s">
        <v>109</v>
      </c>
      <c r="C59" s="27">
        <v>28</v>
      </c>
      <c r="D59" s="1"/>
      <c r="E59" s="1"/>
      <c r="F59" s="1"/>
      <c r="G59" s="1"/>
      <c r="H59" s="1"/>
      <c r="I59" s="1"/>
      <c r="J59" s="1"/>
    </row>
    <row r="60" spans="1:10" x14ac:dyDescent="0.25">
      <c r="A60" s="26" t="s">
        <v>77</v>
      </c>
      <c r="B60" s="34" t="s">
        <v>83</v>
      </c>
      <c r="C60" s="27">
        <v>27</v>
      </c>
      <c r="D60" s="1"/>
      <c r="E60" s="1"/>
      <c r="F60" s="1"/>
      <c r="G60" s="1"/>
      <c r="H60" s="1"/>
      <c r="I60" s="1"/>
      <c r="J60" s="1"/>
    </row>
    <row r="61" spans="1:10" x14ac:dyDescent="0.25">
      <c r="A61" s="23" t="s">
        <v>170</v>
      </c>
      <c r="B61" s="83" t="s">
        <v>139</v>
      </c>
      <c r="C61" s="61">
        <v>25</v>
      </c>
      <c r="D61" s="1"/>
      <c r="E61" s="1"/>
      <c r="F61" s="1"/>
      <c r="G61" s="1"/>
      <c r="H61" s="1"/>
      <c r="I61" s="1"/>
      <c r="J61" s="1"/>
    </row>
    <row r="62" spans="1:10" x14ac:dyDescent="0.25">
      <c r="A62" s="23" t="s">
        <v>137</v>
      </c>
      <c r="B62" s="83" t="s">
        <v>108</v>
      </c>
      <c r="C62" s="61">
        <v>24</v>
      </c>
      <c r="D62" s="1"/>
      <c r="E62" s="1"/>
      <c r="F62" s="1"/>
      <c r="G62" s="1"/>
      <c r="H62" s="1"/>
      <c r="I62" s="1"/>
      <c r="J62" s="1"/>
    </row>
    <row r="63" spans="1:10" x14ac:dyDescent="0.25">
      <c r="A63" s="23" t="s">
        <v>113</v>
      </c>
      <c r="B63" s="83" t="s">
        <v>110</v>
      </c>
      <c r="C63" s="61">
        <v>23</v>
      </c>
      <c r="D63" s="1"/>
      <c r="E63" s="1"/>
      <c r="F63" s="1"/>
      <c r="G63" s="1"/>
      <c r="H63" s="1"/>
      <c r="I63" s="1"/>
      <c r="J63" s="1"/>
    </row>
    <row r="64" spans="1:10" x14ac:dyDescent="0.25">
      <c r="A64" s="23" t="s">
        <v>124</v>
      </c>
      <c r="B64" s="36" t="s">
        <v>126</v>
      </c>
      <c r="C64" s="61">
        <v>23</v>
      </c>
      <c r="D64" s="1"/>
      <c r="E64" s="1"/>
      <c r="F64" s="1"/>
      <c r="G64" s="1"/>
      <c r="H64" s="1"/>
      <c r="I64" s="1"/>
      <c r="J64" s="1"/>
    </row>
    <row r="65" spans="1:10" x14ac:dyDescent="0.25">
      <c r="A65" s="23" t="s">
        <v>79</v>
      </c>
      <c r="B65" s="83" t="s">
        <v>96</v>
      </c>
      <c r="C65" s="61">
        <v>23</v>
      </c>
      <c r="D65" s="1"/>
      <c r="E65" s="1"/>
      <c r="F65" s="1"/>
      <c r="G65" s="1"/>
      <c r="H65" s="1"/>
      <c r="I65" s="1"/>
      <c r="J65" s="1"/>
    </row>
    <row r="66" spans="1:10" x14ac:dyDescent="0.25">
      <c r="A66" s="23" t="s">
        <v>99</v>
      </c>
      <c r="B66" s="36" t="s">
        <v>152</v>
      </c>
      <c r="C66" s="61">
        <v>20</v>
      </c>
      <c r="D66" s="1"/>
      <c r="E66" s="1"/>
      <c r="F66" s="1"/>
      <c r="G66" s="1"/>
      <c r="H66" s="1"/>
      <c r="I66" s="1"/>
      <c r="J66" s="1"/>
    </row>
    <row r="67" spans="1:10" x14ac:dyDescent="0.25">
      <c r="A67" s="23" t="s">
        <v>76</v>
      </c>
      <c r="B67" s="83" t="s">
        <v>139</v>
      </c>
      <c r="C67" s="61">
        <v>20</v>
      </c>
      <c r="D67" s="1"/>
      <c r="E67" s="1"/>
      <c r="F67" s="1"/>
      <c r="G67" s="1"/>
      <c r="H67" s="1"/>
      <c r="I67" s="1"/>
      <c r="J67" s="1"/>
    </row>
    <row r="68" spans="1:10" x14ac:dyDescent="0.25">
      <c r="A68" s="23" t="s">
        <v>124</v>
      </c>
      <c r="B68" s="83" t="s">
        <v>125</v>
      </c>
      <c r="C68" s="61">
        <v>19</v>
      </c>
      <c r="D68" s="1"/>
      <c r="E68" s="1"/>
      <c r="F68" s="1"/>
      <c r="G68" s="1"/>
      <c r="H68" s="1"/>
      <c r="I68" s="1"/>
      <c r="J68" s="1"/>
    </row>
    <row r="69" spans="1:10" x14ac:dyDescent="0.25">
      <c r="A69" s="23" t="s">
        <v>136</v>
      </c>
      <c r="B69" s="36" t="s">
        <v>153</v>
      </c>
      <c r="C69" s="61">
        <v>18</v>
      </c>
      <c r="D69" s="1"/>
      <c r="E69" s="1"/>
      <c r="F69" s="1"/>
      <c r="G69" s="1"/>
      <c r="H69" s="1"/>
      <c r="I69" s="1"/>
      <c r="J69" s="1"/>
    </row>
    <row r="70" spans="1:10" x14ac:dyDescent="0.25">
      <c r="A70" s="47" t="s">
        <v>91</v>
      </c>
      <c r="B70" s="84" t="s">
        <v>147</v>
      </c>
      <c r="C70" s="85">
        <v>15</v>
      </c>
      <c r="D70" s="1"/>
      <c r="E70" s="1"/>
      <c r="F70" s="1"/>
      <c r="G70" s="1"/>
      <c r="H70" s="1"/>
      <c r="I70" s="1"/>
      <c r="J70" s="1"/>
    </row>
    <row r="71" spans="1:10" x14ac:dyDescent="0.25">
      <c r="A71" s="47" t="s">
        <v>113</v>
      </c>
      <c r="B71" s="86" t="s">
        <v>169</v>
      </c>
      <c r="C71" s="85">
        <v>14</v>
      </c>
      <c r="D71" s="1"/>
      <c r="E71" s="1"/>
      <c r="F71" s="1"/>
      <c r="G71" s="1"/>
      <c r="H71" s="1"/>
      <c r="I71" s="1"/>
      <c r="J71" s="1"/>
    </row>
    <row r="72" spans="1:10" x14ac:dyDescent="0.25">
      <c r="A72" s="47" t="s">
        <v>99</v>
      </c>
      <c r="B72" s="86" t="s">
        <v>151</v>
      </c>
      <c r="C72" s="85">
        <v>14</v>
      </c>
      <c r="D72" s="1"/>
      <c r="E72" s="1"/>
      <c r="F72" s="1"/>
      <c r="G72" s="1"/>
      <c r="H72" s="1"/>
      <c r="I72" s="1"/>
      <c r="J72" s="1"/>
    </row>
    <row r="73" spans="1:10" x14ac:dyDescent="0.25">
      <c r="A73" s="47" t="s">
        <v>120</v>
      </c>
      <c r="B73" s="84" t="s">
        <v>121</v>
      </c>
      <c r="C73" s="85">
        <v>11</v>
      </c>
      <c r="D73" s="1"/>
      <c r="E73" s="1"/>
      <c r="F73" s="1"/>
      <c r="G73" s="1"/>
      <c r="H73" s="1"/>
      <c r="I73" s="1"/>
      <c r="J73" s="1"/>
    </row>
    <row r="74" spans="1:10" x14ac:dyDescent="0.25">
      <c r="A74" s="47" t="s">
        <v>170</v>
      </c>
      <c r="B74" s="86" t="s">
        <v>171</v>
      </c>
      <c r="C74" s="85">
        <v>11</v>
      </c>
      <c r="D74" s="1"/>
      <c r="E74" s="1"/>
      <c r="F74" s="1"/>
      <c r="G74" s="1"/>
      <c r="H74" s="1"/>
      <c r="I74" s="1"/>
      <c r="J74" s="1"/>
    </row>
    <row r="75" spans="1:10" x14ac:dyDescent="0.25">
      <c r="A75" s="47" t="s">
        <v>130</v>
      </c>
      <c r="B75" s="84" t="s">
        <v>132</v>
      </c>
      <c r="C75" s="85">
        <v>10</v>
      </c>
      <c r="D75" s="1"/>
      <c r="E75" s="1"/>
      <c r="F75" s="1"/>
      <c r="G75" s="1"/>
      <c r="H75" s="1"/>
      <c r="I75" s="1"/>
      <c r="J75" s="1"/>
    </row>
    <row r="76" spans="1:10" x14ac:dyDescent="0.25">
      <c r="A76" s="47" t="s">
        <v>120</v>
      </c>
      <c r="B76" s="86" t="s">
        <v>122</v>
      </c>
      <c r="C76" s="85">
        <v>10</v>
      </c>
      <c r="D76" s="1"/>
      <c r="E76" s="1"/>
      <c r="F76" s="1"/>
      <c r="G76" s="1"/>
      <c r="H76" s="1"/>
      <c r="I76" s="1"/>
      <c r="J76" s="1"/>
    </row>
    <row r="77" spans="1:10" x14ac:dyDescent="0.25">
      <c r="A77" s="47" t="s">
        <v>76</v>
      </c>
      <c r="B77" s="86" t="s">
        <v>138</v>
      </c>
      <c r="C77" s="85">
        <v>10</v>
      </c>
      <c r="D77" s="1"/>
      <c r="E77" s="1"/>
      <c r="F77" s="1"/>
      <c r="G77" s="1"/>
      <c r="H77" s="1"/>
      <c r="I77" s="1"/>
      <c r="J77" s="1"/>
    </row>
    <row r="78" spans="1:10" x14ac:dyDescent="0.25">
      <c r="A78" s="47" t="s">
        <v>76</v>
      </c>
      <c r="B78" s="84" t="s">
        <v>112</v>
      </c>
      <c r="C78" s="85">
        <v>10</v>
      </c>
      <c r="D78" s="1"/>
      <c r="E78" s="1"/>
      <c r="F78" s="1"/>
      <c r="G78" s="1"/>
      <c r="H78" s="1"/>
      <c r="I78" s="1"/>
      <c r="J78" s="1"/>
    </row>
    <row r="79" spans="1:10" x14ac:dyDescent="0.25">
      <c r="A79" s="87" t="s">
        <v>91</v>
      </c>
      <c r="B79" s="88" t="s">
        <v>135</v>
      </c>
      <c r="C79" s="89">
        <v>5</v>
      </c>
      <c r="D79" s="1"/>
      <c r="E79" s="1"/>
      <c r="F79" s="1"/>
      <c r="G79" s="1"/>
      <c r="H79" s="1"/>
      <c r="I79" s="1"/>
      <c r="J79" s="1"/>
    </row>
    <row r="80" spans="1:10" x14ac:dyDescent="0.25">
      <c r="A80" s="87" t="s">
        <v>137</v>
      </c>
      <c r="B80" s="88" t="s">
        <v>141</v>
      </c>
      <c r="C80" s="89">
        <v>5</v>
      </c>
      <c r="D80" s="1"/>
      <c r="E80" s="1"/>
      <c r="F80" s="1"/>
      <c r="G80" s="1"/>
      <c r="H80" s="1"/>
      <c r="I80" s="1"/>
      <c r="J80" s="1"/>
    </row>
    <row r="81" spans="1:10" x14ac:dyDescent="0.25">
      <c r="A81" s="87" t="s">
        <v>91</v>
      </c>
      <c r="B81" s="88" t="s">
        <v>101</v>
      </c>
      <c r="C81" s="89">
        <v>3</v>
      </c>
      <c r="D81" s="1"/>
      <c r="E81" s="1"/>
      <c r="F81" s="1"/>
      <c r="G81" s="1"/>
      <c r="H81" s="1"/>
      <c r="I81" s="1"/>
      <c r="J81" s="1"/>
    </row>
    <row r="82" spans="1:10" x14ac:dyDescent="0.25">
      <c r="A82" s="87" t="s">
        <v>91</v>
      </c>
      <c r="B82" s="90" t="s">
        <v>102</v>
      </c>
      <c r="C82" s="89">
        <v>3</v>
      </c>
      <c r="D82" s="1"/>
      <c r="E82" s="1"/>
      <c r="F82" s="1"/>
      <c r="G82" s="1"/>
      <c r="H82" s="1"/>
      <c r="I82" s="1"/>
      <c r="J82" s="1"/>
    </row>
    <row r="83" spans="1:10" x14ac:dyDescent="0.25">
      <c r="A83" s="87" t="s">
        <v>79</v>
      </c>
      <c r="B83" s="88" t="s">
        <v>146</v>
      </c>
      <c r="C83" s="89">
        <v>3</v>
      </c>
      <c r="D83" s="1"/>
      <c r="E83" s="1"/>
      <c r="F83" s="1"/>
      <c r="G83" s="1"/>
      <c r="H83" s="1"/>
      <c r="I83" s="1"/>
      <c r="J83" s="1"/>
    </row>
    <row r="84" spans="1:10" x14ac:dyDescent="0.25">
      <c r="A84" s="91" t="s">
        <v>137</v>
      </c>
      <c r="B84" s="123" t="s">
        <v>107</v>
      </c>
      <c r="C84" s="122">
        <v>2</v>
      </c>
      <c r="D84" s="1"/>
      <c r="E84" s="1"/>
      <c r="F84" s="1"/>
      <c r="G84" s="1"/>
      <c r="H84" s="1"/>
      <c r="I84" s="1"/>
      <c r="J84" s="1"/>
    </row>
    <row r="85" spans="1:10" x14ac:dyDescent="0.25">
      <c r="A85" s="119" t="s">
        <v>76</v>
      </c>
      <c r="B85" s="90" t="s">
        <v>123</v>
      </c>
      <c r="C85" s="119">
        <v>2</v>
      </c>
      <c r="D85" s="1"/>
      <c r="E85" s="1"/>
      <c r="F85" s="1"/>
      <c r="G85" s="1"/>
      <c r="H85" s="1"/>
      <c r="I85" s="1"/>
      <c r="J85" s="1"/>
    </row>
    <row r="86" spans="1:10" x14ac:dyDescent="0.25">
      <c r="A86" s="119" t="s">
        <v>91</v>
      </c>
      <c r="B86" s="90" t="s">
        <v>157</v>
      </c>
      <c r="C86" s="119">
        <v>1</v>
      </c>
      <c r="D86" s="1"/>
      <c r="E86" s="1"/>
      <c r="F86" s="1"/>
      <c r="G86" s="1"/>
      <c r="H86" s="1"/>
      <c r="I86" s="1"/>
      <c r="J86" s="1"/>
    </row>
    <row r="87" spans="1:10" x14ac:dyDescent="0.25">
      <c r="A87" s="119" t="s">
        <v>91</v>
      </c>
      <c r="B87" s="88" t="s">
        <v>100</v>
      </c>
      <c r="C87" s="119">
        <v>1</v>
      </c>
      <c r="D87" s="1"/>
      <c r="E87" s="1"/>
      <c r="F87" s="1"/>
      <c r="G87" s="1"/>
      <c r="H87" s="1"/>
      <c r="I87" s="1"/>
      <c r="J87" s="1"/>
    </row>
    <row r="88" spans="1:10" x14ac:dyDescent="0.25">
      <c r="A88" s="91" t="s">
        <v>137</v>
      </c>
      <c r="B88" s="121" t="s">
        <v>106</v>
      </c>
      <c r="C88" s="122">
        <v>1</v>
      </c>
      <c r="D88" s="1"/>
      <c r="E88" s="1"/>
      <c r="F88" s="1"/>
      <c r="G88" s="1"/>
      <c r="H88" s="1"/>
      <c r="I88" s="1"/>
      <c r="J88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95EF-5E68-4BC2-86AB-0F2445742CC7}">
  <dimension ref="A1:O1048576"/>
  <sheetViews>
    <sheetView zoomScale="96" zoomScaleNormal="96" workbookViewId="0">
      <selection activeCell="A11" sqref="A11"/>
    </sheetView>
  </sheetViews>
  <sheetFormatPr defaultColWidth="9.140625" defaultRowHeight="15" x14ac:dyDescent="0.25"/>
  <cols>
    <col min="1" max="1" width="23.28515625" style="1" customWidth="1"/>
    <col min="2" max="2" width="22.140625" style="1" customWidth="1"/>
    <col min="3" max="3" width="27.42578125" style="1" bestFit="1" customWidth="1"/>
    <col min="4" max="4" width="21" style="1" customWidth="1"/>
    <col min="5" max="5" width="23" style="1" bestFit="1" customWidth="1"/>
    <col min="6" max="6" width="23.5703125" style="1" bestFit="1" customWidth="1"/>
    <col min="7" max="7" width="17.140625" style="1" bestFit="1" customWidth="1"/>
    <col min="8" max="8" width="12.5703125" style="1" bestFit="1" customWidth="1"/>
    <col min="9" max="9" width="18.140625" style="1" bestFit="1" customWidth="1"/>
    <col min="10" max="10" width="16.42578125" style="1" bestFit="1" customWidth="1"/>
    <col min="11" max="11" width="25.5703125" style="1" customWidth="1"/>
    <col min="12" max="12" width="18.140625" style="1" bestFit="1" customWidth="1"/>
    <col min="13" max="13" width="16.42578125" style="1" bestFit="1" customWidth="1"/>
    <col min="14" max="14" width="21.5703125" style="3" bestFit="1" customWidth="1"/>
    <col min="15" max="15" width="20.28515625" style="3" bestFit="1" customWidth="1"/>
    <col min="16" max="16" width="19.42578125" style="1" bestFit="1" customWidth="1"/>
    <col min="17" max="17" width="21.5703125" style="1" bestFit="1" customWidth="1"/>
    <col min="18" max="18" width="20" style="1" customWidth="1"/>
    <col min="19" max="19" width="24.28515625" style="1" bestFit="1" customWidth="1"/>
    <col min="20" max="22" width="12.140625" style="1" bestFit="1" customWidth="1"/>
    <col min="23" max="23" width="16.28515625" style="1" customWidth="1"/>
    <col min="24" max="24" width="20" style="1" customWidth="1"/>
    <col min="25" max="25" width="20.42578125" style="1" bestFit="1" customWidth="1"/>
    <col min="26" max="26" width="17.5703125" style="1" bestFit="1" customWidth="1"/>
    <col min="27" max="16384" width="9.140625" style="1"/>
  </cols>
  <sheetData>
    <row r="1" spans="1:15" ht="18.75" x14ac:dyDescent="0.3">
      <c r="A1" s="64"/>
      <c r="B1" s="63" t="s">
        <v>179</v>
      </c>
      <c r="C1" s="64"/>
      <c r="N1" s="1"/>
    </row>
    <row r="2" spans="1:15" x14ac:dyDescent="0.25">
      <c r="A2" s="64"/>
      <c r="B2" s="64" t="s">
        <v>72</v>
      </c>
      <c r="C2" s="64"/>
      <c r="N2" s="4"/>
      <c r="O2" s="1"/>
    </row>
    <row r="3" spans="1:15" x14ac:dyDescent="0.25">
      <c r="A3" s="64"/>
      <c r="B3" s="64"/>
      <c r="C3" s="64"/>
      <c r="N3" s="1"/>
      <c r="O3" s="1"/>
    </row>
    <row r="4" spans="1:15" x14ac:dyDescent="0.25">
      <c r="A4" s="64"/>
      <c r="B4" s="64"/>
      <c r="C4" s="64"/>
      <c r="N4" s="1"/>
      <c r="O4" s="1"/>
    </row>
    <row r="5" spans="1:15" x14ac:dyDescent="0.25">
      <c r="D5" s="3"/>
      <c r="N5" s="1"/>
      <c r="O5" s="1"/>
    </row>
    <row r="6" spans="1:15" x14ac:dyDescent="0.25">
      <c r="N6" s="1"/>
      <c r="O6" s="1"/>
    </row>
    <row r="7" spans="1:15" ht="18.75" x14ac:dyDescent="0.3">
      <c r="A7" s="186" t="s">
        <v>180</v>
      </c>
      <c r="B7" s="186"/>
      <c r="E7" s="2"/>
      <c r="N7" s="1"/>
      <c r="O7" s="1"/>
    </row>
    <row r="8" spans="1:15" x14ac:dyDescent="0.25">
      <c r="A8" s="5" t="s">
        <v>2</v>
      </c>
      <c r="B8" s="6" t="s">
        <v>0</v>
      </c>
      <c r="C8" s="6" t="s">
        <v>1</v>
      </c>
      <c r="D8" s="7" t="s">
        <v>9</v>
      </c>
      <c r="E8" s="2"/>
      <c r="N8" s="1"/>
      <c r="O8" s="1"/>
    </row>
    <row r="9" spans="1:15" x14ac:dyDescent="0.25">
      <c r="A9" s="24" t="s">
        <v>3</v>
      </c>
      <c r="B9" s="8">
        <v>0.25</v>
      </c>
      <c r="C9" s="8">
        <v>0.2</v>
      </c>
      <c r="D9" s="25" t="s">
        <v>11</v>
      </c>
      <c r="E9" s="2"/>
      <c r="N9" s="1"/>
      <c r="O9" s="2"/>
    </row>
    <row r="10" spans="1:15" ht="18.75" x14ac:dyDescent="0.3">
      <c r="A10" s="20" t="s">
        <v>34</v>
      </c>
      <c r="B10" s="9">
        <v>0.45</v>
      </c>
      <c r="C10" s="9">
        <v>0.4</v>
      </c>
      <c r="D10" s="21" t="s">
        <v>10</v>
      </c>
      <c r="E10" s="2"/>
      <c r="L10" s="2"/>
      <c r="M10" s="2"/>
      <c r="N10" s="2"/>
      <c r="O10" s="45"/>
    </row>
    <row r="11" spans="1:15" ht="18.75" x14ac:dyDescent="0.3">
      <c r="A11" s="20" t="s">
        <v>4</v>
      </c>
      <c r="B11" s="9">
        <v>0.5</v>
      </c>
      <c r="C11" s="9">
        <v>0.4</v>
      </c>
      <c r="D11" s="28" t="s">
        <v>12</v>
      </c>
      <c r="E11" s="2"/>
      <c r="F11" s="2"/>
      <c r="G11" s="2"/>
      <c r="H11" s="2"/>
      <c r="I11" s="2"/>
      <c r="J11" s="2"/>
      <c r="K11" s="2"/>
      <c r="L11" s="45"/>
      <c r="M11" s="45"/>
      <c r="N11" s="45"/>
      <c r="O11" s="1"/>
    </row>
    <row r="12" spans="1:15" ht="18.75" x14ac:dyDescent="0.3">
      <c r="A12" s="20" t="s">
        <v>5</v>
      </c>
      <c r="B12" s="10">
        <v>0.55000000000000004</v>
      </c>
      <c r="C12" s="9">
        <v>0.5</v>
      </c>
      <c r="D12" s="25" t="s">
        <v>11</v>
      </c>
      <c r="K12" s="45"/>
      <c r="N12" s="1"/>
      <c r="O12" s="1"/>
    </row>
    <row r="13" spans="1:15" x14ac:dyDescent="0.25">
      <c r="A13" s="22" t="s">
        <v>13</v>
      </c>
      <c r="B13" s="10">
        <v>0.6</v>
      </c>
      <c r="C13" s="10">
        <v>0.6</v>
      </c>
      <c r="D13" s="25" t="s">
        <v>11</v>
      </c>
      <c r="J13" s="3"/>
      <c r="N13" s="1"/>
      <c r="O13" s="1"/>
    </row>
    <row r="14" spans="1:15" x14ac:dyDescent="0.25">
      <c r="A14" s="22" t="s">
        <v>8</v>
      </c>
      <c r="B14" s="11">
        <v>0.7</v>
      </c>
      <c r="C14" s="10">
        <v>0.6</v>
      </c>
      <c r="D14" s="21" t="s">
        <v>10</v>
      </c>
      <c r="J14" s="3"/>
      <c r="N14" s="1"/>
      <c r="O14" s="1"/>
    </row>
    <row r="15" spans="1:15" x14ac:dyDescent="0.25">
      <c r="A15" s="26" t="s">
        <v>6</v>
      </c>
      <c r="B15" s="12">
        <v>0.8</v>
      </c>
      <c r="C15" s="11">
        <v>0.7</v>
      </c>
      <c r="D15" s="27" t="s">
        <v>14</v>
      </c>
      <c r="J15" s="3"/>
      <c r="N15" s="1"/>
      <c r="O15" s="1"/>
    </row>
    <row r="16" spans="1:15" x14ac:dyDescent="0.25">
      <c r="A16" s="29" t="s">
        <v>7</v>
      </c>
      <c r="B16" s="18">
        <v>0.8</v>
      </c>
      <c r="C16" s="18">
        <v>0.8</v>
      </c>
      <c r="D16" s="30" t="s">
        <v>15</v>
      </c>
      <c r="J16" s="3"/>
      <c r="N16" s="1"/>
      <c r="O16" s="1"/>
    </row>
    <row r="17" spans="1:15" x14ac:dyDescent="0.25">
      <c r="I17" s="3"/>
      <c r="J17" s="3"/>
      <c r="N17" s="1"/>
      <c r="O17" s="1"/>
    </row>
    <row r="18" spans="1:15" x14ac:dyDescent="0.25">
      <c r="I18" s="3"/>
      <c r="J18" s="3"/>
      <c r="N18" s="1"/>
      <c r="O18" s="1"/>
    </row>
    <row r="19" spans="1:15" ht="18.75" x14ac:dyDescent="0.3">
      <c r="A19" s="118" t="s">
        <v>181</v>
      </c>
      <c r="B19" s="118"/>
      <c r="C19" s="117"/>
      <c r="I19" s="3"/>
      <c r="J19" s="3"/>
      <c r="N19" s="1"/>
      <c r="O19" s="1"/>
    </row>
    <row r="20" spans="1:15" x14ac:dyDescent="0.25">
      <c r="A20" s="5" t="s">
        <v>35</v>
      </c>
      <c r="B20" s="7" t="s">
        <v>21</v>
      </c>
      <c r="I20" s="3"/>
      <c r="J20" s="3"/>
      <c r="N20" s="1"/>
      <c r="O20" s="1"/>
    </row>
    <row r="21" spans="1:15" x14ac:dyDescent="0.25">
      <c r="A21" s="20">
        <v>5</v>
      </c>
      <c r="B21" s="25">
        <v>0.45</v>
      </c>
      <c r="I21" s="3"/>
      <c r="J21" s="3"/>
      <c r="N21" s="1"/>
      <c r="O21" s="1"/>
    </row>
    <row r="22" spans="1:15" x14ac:dyDescent="0.25">
      <c r="A22" s="22">
        <v>4</v>
      </c>
      <c r="B22" s="28">
        <v>0.22500000000000001</v>
      </c>
      <c r="I22" s="3"/>
      <c r="J22" s="3"/>
      <c r="N22" s="1"/>
      <c r="O22" s="1"/>
    </row>
    <row r="23" spans="1:15" x14ac:dyDescent="0.25">
      <c r="A23" s="26">
        <v>3</v>
      </c>
      <c r="B23" s="27">
        <v>0.125</v>
      </c>
      <c r="I23" s="3"/>
      <c r="J23" s="3"/>
      <c r="N23" s="1"/>
      <c r="O23" s="1"/>
    </row>
    <row r="24" spans="1:15" x14ac:dyDescent="0.25">
      <c r="A24" s="23">
        <v>2</v>
      </c>
      <c r="B24" s="61">
        <v>6.25E-2</v>
      </c>
      <c r="I24" s="3"/>
      <c r="J24" s="3"/>
      <c r="N24" s="1"/>
      <c r="O24" s="1"/>
    </row>
    <row r="25" spans="1:15" x14ac:dyDescent="0.25">
      <c r="A25" s="50">
        <v>1</v>
      </c>
      <c r="B25" s="62">
        <v>1.2500000000000001E-2</v>
      </c>
      <c r="I25" s="3"/>
      <c r="J25" s="3"/>
      <c r="N25" s="1"/>
      <c r="O25" s="1"/>
    </row>
    <row r="26" spans="1:15" x14ac:dyDescent="0.25">
      <c r="I26" s="3"/>
      <c r="J26" s="3"/>
      <c r="N26" s="1"/>
      <c r="O26" s="1"/>
    </row>
    <row r="27" spans="1:15" x14ac:dyDescent="0.25">
      <c r="A27" s="5" t="s">
        <v>36</v>
      </c>
      <c r="B27" s="7" t="s">
        <v>21</v>
      </c>
      <c r="I27" s="3"/>
      <c r="J27" s="3"/>
      <c r="N27" s="1"/>
      <c r="O27" s="1"/>
    </row>
    <row r="28" spans="1:15" x14ac:dyDescent="0.25">
      <c r="A28" s="22">
        <v>4</v>
      </c>
      <c r="B28" s="28">
        <v>0.4</v>
      </c>
      <c r="I28" s="3"/>
      <c r="J28" s="3"/>
      <c r="N28" s="1"/>
      <c r="O28" s="1"/>
    </row>
    <row r="29" spans="1:15" x14ac:dyDescent="0.25">
      <c r="A29" s="26">
        <v>3</v>
      </c>
      <c r="B29" s="27">
        <v>0.2</v>
      </c>
      <c r="I29" s="3"/>
      <c r="J29" s="3"/>
      <c r="N29" s="1"/>
      <c r="O29" s="1"/>
    </row>
    <row r="30" spans="1:15" x14ac:dyDescent="0.25">
      <c r="A30" s="23">
        <v>2</v>
      </c>
      <c r="B30" s="61">
        <v>0.1</v>
      </c>
      <c r="I30" s="3"/>
      <c r="J30" s="3"/>
      <c r="N30" s="1"/>
      <c r="O30" s="1"/>
    </row>
    <row r="31" spans="1:15" x14ac:dyDescent="0.25">
      <c r="A31" s="50">
        <v>1</v>
      </c>
      <c r="B31" s="62">
        <v>0.02</v>
      </c>
      <c r="I31" s="3"/>
      <c r="J31" s="3"/>
      <c r="N31" s="1"/>
      <c r="O31" s="1"/>
    </row>
    <row r="32" spans="1:15" x14ac:dyDescent="0.25">
      <c r="I32" s="3"/>
      <c r="J32" s="3"/>
      <c r="N32" s="1"/>
      <c r="O32" s="1"/>
    </row>
    <row r="33" spans="1:15" x14ac:dyDescent="0.25">
      <c r="A33" s="5" t="s">
        <v>37</v>
      </c>
      <c r="B33" s="7" t="s">
        <v>21</v>
      </c>
      <c r="I33" s="3"/>
      <c r="J33" s="3"/>
      <c r="N33" s="1"/>
      <c r="O33" s="1"/>
    </row>
    <row r="34" spans="1:15" x14ac:dyDescent="0.25">
      <c r="A34" s="26">
        <v>3</v>
      </c>
      <c r="B34" s="27">
        <v>0.32</v>
      </c>
      <c r="I34" s="3"/>
      <c r="J34" s="3"/>
      <c r="N34" s="1"/>
      <c r="O34" s="1"/>
    </row>
    <row r="35" spans="1:15" x14ac:dyDescent="0.25">
      <c r="A35" s="23">
        <v>2</v>
      </c>
      <c r="B35" s="61">
        <v>0.16</v>
      </c>
      <c r="I35" s="3"/>
      <c r="J35" s="3"/>
      <c r="N35" s="1"/>
      <c r="O35" s="1"/>
    </row>
    <row r="36" spans="1:15" x14ac:dyDescent="0.25">
      <c r="A36" s="50">
        <v>1</v>
      </c>
      <c r="B36" s="62">
        <v>0.04</v>
      </c>
      <c r="I36" s="3"/>
      <c r="J36" s="3"/>
      <c r="N36" s="1"/>
      <c r="O36" s="1"/>
    </row>
    <row r="37" spans="1:15" x14ac:dyDescent="0.25">
      <c r="I37" s="3"/>
      <c r="J37" s="3"/>
      <c r="N37" s="1"/>
      <c r="O37" s="1"/>
    </row>
    <row r="38" spans="1:15" x14ac:dyDescent="0.25">
      <c r="A38" s="5" t="s">
        <v>38</v>
      </c>
      <c r="B38" s="7" t="s">
        <v>21</v>
      </c>
      <c r="I38" s="3"/>
      <c r="J38" s="3"/>
      <c r="N38" s="1"/>
      <c r="O38" s="1"/>
    </row>
    <row r="39" spans="1:15" x14ac:dyDescent="0.25">
      <c r="A39" s="23">
        <v>2</v>
      </c>
      <c r="B39" s="61">
        <v>0.25</v>
      </c>
      <c r="I39" s="3"/>
      <c r="J39" s="3"/>
      <c r="N39" s="1"/>
      <c r="O39" s="1"/>
    </row>
    <row r="40" spans="1:15" x14ac:dyDescent="0.25">
      <c r="A40" s="50">
        <v>1</v>
      </c>
      <c r="B40" s="62">
        <v>0.05</v>
      </c>
      <c r="I40" s="3"/>
      <c r="J40" s="3"/>
      <c r="N40" s="1"/>
      <c r="O40" s="1"/>
    </row>
    <row r="41" spans="1:15" x14ac:dyDescent="0.25">
      <c r="I41" s="3"/>
      <c r="J41" s="3"/>
      <c r="N41" s="1"/>
      <c r="O41" s="1"/>
    </row>
    <row r="42" spans="1:15" x14ac:dyDescent="0.25">
      <c r="A42" s="5" t="s">
        <v>39</v>
      </c>
      <c r="B42" s="7" t="s">
        <v>21</v>
      </c>
      <c r="I42" s="3"/>
      <c r="J42" s="3"/>
      <c r="N42" s="1"/>
      <c r="O42" s="1"/>
    </row>
    <row r="43" spans="1:15" x14ac:dyDescent="0.25">
      <c r="A43" s="50">
        <v>1</v>
      </c>
      <c r="B43" s="62">
        <v>0.125</v>
      </c>
      <c r="I43" s="3"/>
      <c r="J43" s="3"/>
      <c r="N43" s="1"/>
      <c r="O43" s="1"/>
    </row>
    <row r="44" spans="1:15" x14ac:dyDescent="0.25">
      <c r="I44" s="3"/>
      <c r="J44" s="3"/>
      <c r="N44" s="1"/>
      <c r="O44" s="1"/>
    </row>
    <row r="45" spans="1:15" x14ac:dyDescent="0.25">
      <c r="I45" s="3"/>
      <c r="J45" s="3"/>
      <c r="N45" s="1"/>
      <c r="O45" s="1"/>
    </row>
    <row r="46" spans="1:15" x14ac:dyDescent="0.25">
      <c r="I46" s="3"/>
      <c r="J46" s="3"/>
      <c r="N46" s="1"/>
      <c r="O46" s="1"/>
    </row>
    <row r="47" spans="1:15" x14ac:dyDescent="0.25">
      <c r="I47" s="3"/>
      <c r="J47" s="3"/>
      <c r="N47" s="1"/>
      <c r="O47" s="1"/>
    </row>
    <row r="48" spans="1:15" x14ac:dyDescent="0.25">
      <c r="I48" s="3"/>
      <c r="J48" s="3"/>
      <c r="N48" s="1"/>
      <c r="O48" s="1"/>
    </row>
    <row r="49" spans="9:15" x14ac:dyDescent="0.25">
      <c r="I49" s="3"/>
      <c r="J49" s="3"/>
      <c r="N49" s="1"/>
      <c r="O49" s="1"/>
    </row>
    <row r="50" spans="9:15" x14ac:dyDescent="0.25">
      <c r="I50" s="3"/>
      <c r="J50" s="3"/>
      <c r="N50" s="1"/>
      <c r="O50" s="1"/>
    </row>
    <row r="51" spans="9:15" x14ac:dyDescent="0.25">
      <c r="I51" s="3"/>
      <c r="J51" s="3"/>
      <c r="N51" s="1"/>
      <c r="O51" s="1"/>
    </row>
    <row r="52" spans="9:15" x14ac:dyDescent="0.25">
      <c r="I52" s="3"/>
      <c r="J52" s="3"/>
      <c r="N52" s="1"/>
      <c r="O52" s="1"/>
    </row>
    <row r="53" spans="9:15" x14ac:dyDescent="0.25">
      <c r="I53" s="3"/>
      <c r="J53" s="3"/>
      <c r="N53" s="1"/>
      <c r="O53" s="1"/>
    </row>
    <row r="54" spans="9:15" x14ac:dyDescent="0.25">
      <c r="I54" s="3"/>
      <c r="J54" s="3"/>
      <c r="N54" s="1"/>
      <c r="O54" s="1"/>
    </row>
    <row r="55" spans="9:15" x14ac:dyDescent="0.25">
      <c r="I55" s="3"/>
      <c r="J55" s="3"/>
      <c r="N55" s="1"/>
      <c r="O55" s="1"/>
    </row>
    <row r="56" spans="9:15" x14ac:dyDescent="0.25">
      <c r="I56" s="3"/>
      <c r="J56" s="3"/>
      <c r="N56" s="1"/>
      <c r="O56" s="1"/>
    </row>
    <row r="57" spans="9:15" x14ac:dyDescent="0.25">
      <c r="I57" s="3"/>
      <c r="J57" s="3"/>
      <c r="N57" s="1"/>
      <c r="O57" s="1"/>
    </row>
    <row r="58" spans="9:15" x14ac:dyDescent="0.25">
      <c r="I58" s="3"/>
      <c r="J58" s="3"/>
      <c r="N58" s="1"/>
      <c r="O58" s="1"/>
    </row>
    <row r="59" spans="9:15" x14ac:dyDescent="0.25">
      <c r="I59" s="3"/>
      <c r="J59" s="3"/>
      <c r="N59" s="1"/>
      <c r="O59" s="1"/>
    </row>
    <row r="60" spans="9:15" x14ac:dyDescent="0.25">
      <c r="I60" s="3"/>
      <c r="J60" s="3"/>
      <c r="N60" s="1"/>
      <c r="O60" s="1"/>
    </row>
    <row r="61" spans="9:15" x14ac:dyDescent="0.25">
      <c r="I61" s="3"/>
      <c r="J61" s="3"/>
      <c r="N61" s="1"/>
      <c r="O61" s="1"/>
    </row>
    <row r="62" spans="9:15" x14ac:dyDescent="0.25">
      <c r="I62" s="3"/>
      <c r="J62" s="3"/>
      <c r="N62" s="1"/>
      <c r="O62" s="1"/>
    </row>
    <row r="63" spans="9:15" x14ac:dyDescent="0.25">
      <c r="I63" s="3"/>
      <c r="J63" s="3"/>
      <c r="N63" s="1"/>
      <c r="O63" s="1"/>
    </row>
    <row r="64" spans="9:15" x14ac:dyDescent="0.25">
      <c r="I64" s="3"/>
      <c r="J64" s="3"/>
      <c r="N64" s="1"/>
      <c r="O64" s="1"/>
    </row>
    <row r="65" spans="9:15" x14ac:dyDescent="0.25">
      <c r="I65" s="3"/>
      <c r="J65" s="3"/>
      <c r="N65" s="1"/>
      <c r="O65" s="1"/>
    </row>
    <row r="66" spans="9:15" x14ac:dyDescent="0.25">
      <c r="I66" s="3"/>
      <c r="J66" s="3"/>
      <c r="N66" s="1"/>
      <c r="O66" s="1"/>
    </row>
    <row r="67" spans="9:15" x14ac:dyDescent="0.25">
      <c r="I67" s="3"/>
      <c r="J67" s="3"/>
      <c r="N67" s="1"/>
      <c r="O67" s="1"/>
    </row>
    <row r="68" spans="9:15" x14ac:dyDescent="0.25">
      <c r="I68" s="3"/>
      <c r="J68" s="3"/>
      <c r="N68" s="1"/>
      <c r="O68" s="1"/>
    </row>
    <row r="69" spans="9:15" x14ac:dyDescent="0.25">
      <c r="I69" s="3"/>
      <c r="J69" s="3"/>
      <c r="N69" s="1"/>
      <c r="O69" s="1"/>
    </row>
    <row r="70" spans="9:15" x14ac:dyDescent="0.25">
      <c r="I70" s="3"/>
      <c r="J70" s="3"/>
      <c r="N70" s="1"/>
      <c r="O70" s="1"/>
    </row>
    <row r="71" spans="9:15" x14ac:dyDescent="0.25">
      <c r="I71" s="3"/>
      <c r="J71" s="3"/>
      <c r="N71" s="1"/>
      <c r="O71" s="1"/>
    </row>
    <row r="72" spans="9:15" x14ac:dyDescent="0.25">
      <c r="I72" s="3"/>
      <c r="J72" s="3"/>
      <c r="N72" s="1"/>
      <c r="O72" s="1"/>
    </row>
    <row r="73" spans="9:15" x14ac:dyDescent="0.25">
      <c r="I73" s="3"/>
      <c r="J73" s="3"/>
      <c r="N73" s="1"/>
      <c r="O73" s="1"/>
    </row>
    <row r="74" spans="9:15" x14ac:dyDescent="0.25">
      <c r="I74" s="3"/>
      <c r="J74" s="3"/>
      <c r="N74" s="1"/>
      <c r="O74" s="1"/>
    </row>
    <row r="75" spans="9:15" x14ac:dyDescent="0.25">
      <c r="I75" s="3"/>
      <c r="J75" s="3"/>
      <c r="N75" s="1"/>
      <c r="O75" s="1"/>
    </row>
    <row r="76" spans="9:15" x14ac:dyDescent="0.25">
      <c r="I76" s="3"/>
      <c r="J76" s="3"/>
      <c r="N76" s="1"/>
      <c r="O76" s="1"/>
    </row>
    <row r="77" spans="9:15" x14ac:dyDescent="0.25">
      <c r="I77" s="3"/>
      <c r="J77" s="3"/>
      <c r="N77" s="1"/>
      <c r="O77" s="1"/>
    </row>
    <row r="78" spans="9:15" x14ac:dyDescent="0.25">
      <c r="I78" s="3"/>
      <c r="J78" s="3"/>
      <c r="N78" s="1"/>
      <c r="O78" s="1"/>
    </row>
    <row r="79" spans="9:15" x14ac:dyDescent="0.25">
      <c r="I79" s="3"/>
      <c r="J79" s="3"/>
      <c r="N79" s="1"/>
      <c r="O79" s="1"/>
    </row>
    <row r="80" spans="9:15" x14ac:dyDescent="0.25">
      <c r="I80" s="3"/>
      <c r="J80" s="3"/>
      <c r="N80" s="1"/>
      <c r="O80" s="1"/>
    </row>
    <row r="81" spans="9:15" x14ac:dyDescent="0.25">
      <c r="I81" s="3"/>
      <c r="J81" s="3"/>
      <c r="N81" s="1"/>
      <c r="O81" s="1"/>
    </row>
    <row r="82" spans="9:15" x14ac:dyDescent="0.25">
      <c r="I82" s="3"/>
      <c r="J82" s="3"/>
      <c r="N82" s="1"/>
      <c r="O82" s="1"/>
    </row>
    <row r="83" spans="9:15" x14ac:dyDescent="0.25">
      <c r="I83" s="3"/>
      <c r="J83" s="3"/>
      <c r="N83" s="1"/>
      <c r="O83" s="1"/>
    </row>
    <row r="84" spans="9:15" x14ac:dyDescent="0.25">
      <c r="I84" s="3"/>
      <c r="J84" s="3"/>
      <c r="N84" s="1"/>
      <c r="O84" s="1"/>
    </row>
    <row r="85" spans="9:15" x14ac:dyDescent="0.25">
      <c r="I85" s="3"/>
      <c r="J85" s="3"/>
      <c r="N85" s="1"/>
      <c r="O85" s="1"/>
    </row>
    <row r="86" spans="9:15" x14ac:dyDescent="0.25">
      <c r="I86" s="3"/>
      <c r="J86" s="3"/>
      <c r="N86" s="1"/>
      <c r="O86" s="1"/>
    </row>
    <row r="87" spans="9:15" x14ac:dyDescent="0.25">
      <c r="I87" s="3"/>
      <c r="J87" s="3"/>
      <c r="N87" s="1"/>
      <c r="O87" s="1"/>
    </row>
    <row r="88" spans="9:15" x14ac:dyDescent="0.25">
      <c r="I88" s="3"/>
      <c r="J88" s="3"/>
      <c r="N88" s="1"/>
      <c r="O88" s="1"/>
    </row>
    <row r="89" spans="9:15" x14ac:dyDescent="0.25">
      <c r="I89" s="3"/>
      <c r="J89" s="3"/>
      <c r="N89" s="1"/>
      <c r="O89" s="1"/>
    </row>
    <row r="90" spans="9:15" x14ac:dyDescent="0.25">
      <c r="I90" s="3"/>
      <c r="J90" s="3"/>
      <c r="N90" s="1"/>
      <c r="O90" s="1"/>
    </row>
    <row r="91" spans="9:15" x14ac:dyDescent="0.25">
      <c r="I91" s="3"/>
      <c r="J91" s="3"/>
      <c r="N91" s="1"/>
      <c r="O91" s="1"/>
    </row>
    <row r="92" spans="9:15" x14ac:dyDescent="0.25">
      <c r="I92" s="3"/>
      <c r="J92" s="3"/>
      <c r="N92" s="1"/>
      <c r="O92" s="1"/>
    </row>
    <row r="93" spans="9:15" x14ac:dyDescent="0.25">
      <c r="I93" s="3"/>
      <c r="J93" s="3"/>
      <c r="N93" s="1"/>
      <c r="O93" s="1"/>
    </row>
    <row r="94" spans="9:15" x14ac:dyDescent="0.25">
      <c r="I94" s="3"/>
      <c r="J94" s="3"/>
      <c r="N94" s="1"/>
      <c r="O94" s="1"/>
    </row>
    <row r="95" spans="9:15" x14ac:dyDescent="0.25">
      <c r="I95" s="3"/>
      <c r="J95" s="3"/>
      <c r="N95" s="1"/>
      <c r="O95" s="1"/>
    </row>
    <row r="96" spans="9:15" x14ac:dyDescent="0.25">
      <c r="I96" s="3"/>
      <c r="J96" s="3"/>
      <c r="N96" s="1"/>
      <c r="O96" s="1"/>
    </row>
    <row r="97" spans="9:15" x14ac:dyDescent="0.25">
      <c r="I97" s="3"/>
      <c r="J97" s="3"/>
      <c r="N97" s="1"/>
      <c r="O97" s="1"/>
    </row>
    <row r="98" spans="9:15" x14ac:dyDescent="0.25">
      <c r="I98" s="3"/>
      <c r="J98" s="3"/>
      <c r="N98" s="1"/>
      <c r="O98" s="1"/>
    </row>
    <row r="99" spans="9:15" x14ac:dyDescent="0.25">
      <c r="I99" s="3"/>
      <c r="J99" s="3"/>
      <c r="N99" s="1"/>
      <c r="O99" s="1"/>
    </row>
    <row r="100" spans="9:15" x14ac:dyDescent="0.25">
      <c r="I100" s="3"/>
      <c r="J100" s="3"/>
      <c r="N100" s="1"/>
      <c r="O100" s="1"/>
    </row>
    <row r="101" spans="9:15" x14ac:dyDescent="0.25">
      <c r="I101" s="3"/>
      <c r="J101" s="3"/>
      <c r="N101" s="1"/>
      <c r="O101" s="1"/>
    </row>
    <row r="102" spans="9:15" x14ac:dyDescent="0.25">
      <c r="I102" s="3"/>
      <c r="J102" s="3"/>
      <c r="N102" s="1"/>
      <c r="O102" s="1"/>
    </row>
    <row r="103" spans="9:15" x14ac:dyDescent="0.25">
      <c r="I103" s="3"/>
      <c r="J103" s="3"/>
      <c r="N103" s="1"/>
      <c r="O103" s="1"/>
    </row>
    <row r="104" spans="9:15" x14ac:dyDescent="0.25">
      <c r="I104" s="3"/>
      <c r="J104" s="3"/>
      <c r="N104" s="1"/>
      <c r="O104" s="1"/>
    </row>
    <row r="105" spans="9:15" x14ac:dyDescent="0.25">
      <c r="I105" s="3"/>
      <c r="J105" s="3"/>
      <c r="N105" s="1"/>
      <c r="O105" s="1"/>
    </row>
    <row r="106" spans="9:15" x14ac:dyDescent="0.25">
      <c r="I106" s="3"/>
      <c r="J106" s="3"/>
      <c r="N106" s="1"/>
      <c r="O106" s="1"/>
    </row>
    <row r="107" spans="9:15" x14ac:dyDescent="0.25">
      <c r="I107" s="3"/>
      <c r="J107" s="3"/>
      <c r="N107" s="1"/>
      <c r="O107" s="1"/>
    </row>
    <row r="108" spans="9:15" x14ac:dyDescent="0.25">
      <c r="I108" s="3"/>
      <c r="J108" s="3"/>
      <c r="N108" s="1"/>
      <c r="O108" s="1"/>
    </row>
    <row r="109" spans="9:15" x14ac:dyDescent="0.25">
      <c r="I109" s="3"/>
      <c r="J109" s="3"/>
      <c r="N109" s="1"/>
      <c r="O109" s="1"/>
    </row>
    <row r="110" spans="9:15" x14ac:dyDescent="0.25">
      <c r="I110" s="3"/>
      <c r="J110" s="3"/>
      <c r="N110" s="1"/>
      <c r="O110" s="1"/>
    </row>
    <row r="111" spans="9:15" x14ac:dyDescent="0.25">
      <c r="I111" s="3"/>
      <c r="J111" s="3"/>
      <c r="N111" s="1"/>
      <c r="O111" s="1"/>
    </row>
    <row r="112" spans="9:15" x14ac:dyDescent="0.25">
      <c r="I112" s="3"/>
      <c r="J112" s="3"/>
      <c r="N112" s="1"/>
      <c r="O112" s="1"/>
    </row>
    <row r="113" spans="9:15" x14ac:dyDescent="0.25">
      <c r="I113" s="3"/>
      <c r="J113" s="3"/>
      <c r="N113" s="1"/>
      <c r="O113" s="1"/>
    </row>
    <row r="114" spans="9:15" x14ac:dyDescent="0.25">
      <c r="I114" s="3"/>
      <c r="J114" s="3"/>
      <c r="N114" s="1"/>
      <c r="O114" s="1"/>
    </row>
    <row r="115" spans="9:15" x14ac:dyDescent="0.25">
      <c r="I115" s="3"/>
      <c r="J115" s="3"/>
      <c r="N115" s="1"/>
      <c r="O115" s="1"/>
    </row>
    <row r="116" spans="9:15" x14ac:dyDescent="0.25">
      <c r="I116" s="3"/>
      <c r="J116" s="3"/>
      <c r="N116" s="1"/>
      <c r="O116" s="1"/>
    </row>
    <row r="117" spans="9:15" x14ac:dyDescent="0.25">
      <c r="I117" s="3"/>
      <c r="J117" s="3"/>
      <c r="N117" s="1"/>
      <c r="O117" s="1"/>
    </row>
    <row r="118" spans="9:15" x14ac:dyDescent="0.25">
      <c r="I118" s="3"/>
      <c r="J118" s="3"/>
      <c r="N118" s="1"/>
      <c r="O118" s="1"/>
    </row>
    <row r="119" spans="9:15" x14ac:dyDescent="0.25">
      <c r="I119" s="3"/>
      <c r="J119" s="3"/>
      <c r="N119" s="1"/>
      <c r="O119" s="1"/>
    </row>
    <row r="120" spans="9:15" x14ac:dyDescent="0.25">
      <c r="I120" s="3"/>
      <c r="J120" s="3"/>
      <c r="N120" s="1"/>
      <c r="O120" s="1"/>
    </row>
    <row r="121" spans="9:15" x14ac:dyDescent="0.25">
      <c r="I121" s="3"/>
      <c r="J121" s="3"/>
      <c r="N121" s="1"/>
      <c r="O121" s="1"/>
    </row>
    <row r="122" spans="9:15" x14ac:dyDescent="0.25">
      <c r="I122" s="3"/>
      <c r="J122" s="3"/>
      <c r="N122" s="1"/>
      <c r="O122" s="1"/>
    </row>
    <row r="123" spans="9:15" x14ac:dyDescent="0.25">
      <c r="I123" s="3"/>
      <c r="J123" s="3"/>
      <c r="N123" s="1"/>
      <c r="O123" s="1"/>
    </row>
    <row r="124" spans="9:15" x14ac:dyDescent="0.25">
      <c r="I124" s="3"/>
      <c r="J124" s="3"/>
      <c r="N124" s="1"/>
      <c r="O124" s="1"/>
    </row>
    <row r="125" spans="9:15" x14ac:dyDescent="0.25">
      <c r="I125" s="3"/>
      <c r="J125" s="3"/>
      <c r="N125" s="1"/>
      <c r="O125" s="1"/>
    </row>
    <row r="126" spans="9:15" x14ac:dyDescent="0.25">
      <c r="I126" s="3"/>
      <c r="J126" s="3"/>
      <c r="N126" s="1"/>
      <c r="O126" s="1"/>
    </row>
    <row r="127" spans="9:15" x14ac:dyDescent="0.25">
      <c r="I127" s="3"/>
      <c r="J127" s="3"/>
      <c r="N127" s="1"/>
      <c r="O127" s="1"/>
    </row>
    <row r="128" spans="9:15" x14ac:dyDescent="0.25">
      <c r="I128" s="3"/>
      <c r="J128" s="3"/>
      <c r="N128" s="1"/>
      <c r="O128" s="1"/>
    </row>
    <row r="129" spans="9:15" x14ac:dyDescent="0.25">
      <c r="I129" s="3"/>
      <c r="J129" s="3"/>
      <c r="N129" s="1"/>
      <c r="O129" s="1"/>
    </row>
    <row r="130" spans="9:15" x14ac:dyDescent="0.25">
      <c r="I130" s="3"/>
      <c r="J130" s="3"/>
      <c r="N130" s="1"/>
      <c r="O130" s="1"/>
    </row>
    <row r="131" spans="9:15" x14ac:dyDescent="0.25">
      <c r="I131" s="3"/>
      <c r="J131" s="3"/>
      <c r="N131" s="1"/>
      <c r="O131" s="1"/>
    </row>
    <row r="132" spans="9:15" x14ac:dyDescent="0.25">
      <c r="I132" s="3"/>
      <c r="J132" s="3"/>
      <c r="N132" s="1"/>
      <c r="O132" s="1"/>
    </row>
    <row r="133" spans="9:15" x14ac:dyDescent="0.25">
      <c r="I133" s="3"/>
      <c r="J133" s="3"/>
      <c r="N133" s="1"/>
      <c r="O133" s="1"/>
    </row>
    <row r="134" spans="9:15" x14ac:dyDescent="0.25">
      <c r="I134" s="3"/>
      <c r="J134" s="3"/>
      <c r="N134" s="1"/>
      <c r="O134" s="1"/>
    </row>
    <row r="135" spans="9:15" x14ac:dyDescent="0.25">
      <c r="I135" s="3"/>
      <c r="J135" s="3"/>
      <c r="N135" s="1"/>
      <c r="O135" s="1"/>
    </row>
    <row r="136" spans="9:15" x14ac:dyDescent="0.25">
      <c r="I136" s="3"/>
      <c r="J136" s="3"/>
      <c r="N136" s="1"/>
      <c r="O136" s="1"/>
    </row>
    <row r="137" spans="9:15" x14ac:dyDescent="0.25">
      <c r="I137" s="3"/>
      <c r="J137" s="3"/>
      <c r="N137" s="1"/>
      <c r="O137" s="1"/>
    </row>
    <row r="138" spans="9:15" x14ac:dyDescent="0.25">
      <c r="I138" s="3"/>
      <c r="J138" s="3"/>
      <c r="N138" s="1"/>
      <c r="O138" s="1"/>
    </row>
    <row r="139" spans="9:15" x14ac:dyDescent="0.25">
      <c r="I139" s="3"/>
      <c r="J139" s="3"/>
      <c r="N139" s="1"/>
      <c r="O139" s="1"/>
    </row>
    <row r="140" spans="9:15" x14ac:dyDescent="0.25">
      <c r="I140" s="3"/>
      <c r="J140" s="3"/>
      <c r="N140" s="1"/>
      <c r="O140" s="1"/>
    </row>
    <row r="141" spans="9:15" x14ac:dyDescent="0.25">
      <c r="I141" s="3"/>
      <c r="J141" s="3"/>
      <c r="N141" s="1"/>
      <c r="O141" s="1"/>
    </row>
    <row r="142" spans="9:15" x14ac:dyDescent="0.25">
      <c r="I142" s="3"/>
      <c r="J142" s="3"/>
      <c r="N142" s="1"/>
      <c r="O142" s="1"/>
    </row>
    <row r="143" spans="9:15" x14ac:dyDescent="0.25">
      <c r="I143" s="3"/>
      <c r="J143" s="3"/>
      <c r="N143" s="1"/>
      <c r="O143" s="1"/>
    </row>
    <row r="144" spans="9:15" x14ac:dyDescent="0.25">
      <c r="I144" s="3"/>
      <c r="J144" s="3"/>
      <c r="N144" s="1"/>
      <c r="O144" s="1"/>
    </row>
    <row r="145" spans="9:15" x14ac:dyDescent="0.25">
      <c r="I145" s="3"/>
      <c r="J145" s="3"/>
      <c r="N145" s="1"/>
      <c r="O145" s="1"/>
    </row>
    <row r="146" spans="9:15" x14ac:dyDescent="0.25">
      <c r="I146" s="3"/>
      <c r="J146" s="3"/>
      <c r="N146" s="1"/>
      <c r="O146" s="1"/>
    </row>
    <row r="147" spans="9:15" x14ac:dyDescent="0.25">
      <c r="I147" s="3"/>
      <c r="J147" s="3"/>
      <c r="N147" s="1"/>
      <c r="O147" s="1"/>
    </row>
    <row r="148" spans="9:15" x14ac:dyDescent="0.25">
      <c r="I148" s="3"/>
      <c r="J148" s="3"/>
      <c r="N148" s="1"/>
      <c r="O148" s="1"/>
    </row>
    <row r="149" spans="9:15" x14ac:dyDescent="0.25">
      <c r="I149" s="3"/>
      <c r="J149" s="3"/>
      <c r="N149" s="1"/>
      <c r="O149" s="1"/>
    </row>
    <row r="150" spans="9:15" x14ac:dyDescent="0.25">
      <c r="I150" s="3"/>
      <c r="J150" s="3"/>
      <c r="N150" s="1"/>
      <c r="O150" s="1"/>
    </row>
    <row r="151" spans="9:15" x14ac:dyDescent="0.25">
      <c r="I151" s="3"/>
      <c r="J151" s="3"/>
      <c r="N151" s="1"/>
      <c r="O151" s="1"/>
    </row>
    <row r="152" spans="9:15" x14ac:dyDescent="0.25">
      <c r="I152" s="3"/>
      <c r="J152" s="3"/>
      <c r="N152" s="1"/>
      <c r="O152" s="1"/>
    </row>
    <row r="153" spans="9:15" x14ac:dyDescent="0.25">
      <c r="I153" s="3"/>
      <c r="J153" s="3"/>
      <c r="N153" s="1"/>
      <c r="O153" s="1"/>
    </row>
    <row r="154" spans="9:15" x14ac:dyDescent="0.25">
      <c r="I154" s="3"/>
      <c r="J154" s="3"/>
      <c r="N154" s="1"/>
      <c r="O154" s="1"/>
    </row>
    <row r="155" spans="9:15" x14ac:dyDescent="0.25">
      <c r="I155" s="3"/>
      <c r="J155" s="3"/>
      <c r="N155" s="1"/>
      <c r="O155" s="1"/>
    </row>
    <row r="156" spans="9:15" x14ac:dyDescent="0.25">
      <c r="I156" s="3"/>
      <c r="J156" s="3"/>
      <c r="N156" s="1"/>
      <c r="O156" s="1"/>
    </row>
    <row r="157" spans="9:15" x14ac:dyDescent="0.25">
      <c r="I157" s="3"/>
      <c r="J157" s="3"/>
      <c r="N157" s="1"/>
      <c r="O157" s="1"/>
    </row>
    <row r="158" spans="9:15" x14ac:dyDescent="0.25">
      <c r="I158" s="3"/>
      <c r="J158" s="3"/>
      <c r="N158" s="1"/>
      <c r="O158" s="1"/>
    </row>
    <row r="159" spans="9:15" x14ac:dyDescent="0.25">
      <c r="I159" s="3"/>
      <c r="J159" s="3"/>
      <c r="N159" s="1"/>
      <c r="O159" s="1"/>
    </row>
    <row r="160" spans="9:15" x14ac:dyDescent="0.25">
      <c r="I160" s="3"/>
      <c r="J160" s="3"/>
      <c r="N160" s="1"/>
      <c r="O160" s="1"/>
    </row>
    <row r="161" spans="9:15" x14ac:dyDescent="0.25">
      <c r="I161" s="3"/>
      <c r="J161" s="3"/>
      <c r="N161" s="1"/>
      <c r="O161" s="1"/>
    </row>
    <row r="162" spans="9:15" x14ac:dyDescent="0.25">
      <c r="I162" s="3"/>
      <c r="J162" s="3"/>
      <c r="N162" s="1"/>
      <c r="O162" s="1"/>
    </row>
    <row r="163" spans="9:15" x14ac:dyDescent="0.25">
      <c r="I163" s="3"/>
      <c r="J163" s="3"/>
      <c r="N163" s="1"/>
      <c r="O163" s="1"/>
    </row>
    <row r="164" spans="9:15" x14ac:dyDescent="0.25">
      <c r="I164" s="3"/>
      <c r="J164" s="3"/>
      <c r="N164" s="1"/>
      <c r="O164" s="1"/>
    </row>
    <row r="165" spans="9:15" x14ac:dyDescent="0.25">
      <c r="I165" s="3"/>
      <c r="J165" s="3"/>
      <c r="N165" s="1"/>
      <c r="O165" s="1"/>
    </row>
    <row r="166" spans="9:15" x14ac:dyDescent="0.25">
      <c r="I166" s="3"/>
      <c r="J166" s="3"/>
      <c r="N166" s="1"/>
      <c r="O166" s="1"/>
    </row>
    <row r="167" spans="9:15" x14ac:dyDescent="0.25">
      <c r="I167" s="3"/>
      <c r="J167" s="3"/>
      <c r="N167" s="1"/>
      <c r="O167" s="1"/>
    </row>
    <row r="168" spans="9:15" x14ac:dyDescent="0.25">
      <c r="I168" s="3"/>
      <c r="J168" s="3"/>
      <c r="N168" s="1"/>
      <c r="O168" s="1"/>
    </row>
    <row r="169" spans="9:15" x14ac:dyDescent="0.25">
      <c r="I169" s="3"/>
      <c r="J169" s="3"/>
      <c r="N169" s="1"/>
      <c r="O169" s="1"/>
    </row>
    <row r="170" spans="9:15" x14ac:dyDescent="0.25">
      <c r="I170" s="3"/>
      <c r="J170" s="3"/>
      <c r="N170" s="1"/>
      <c r="O170" s="1"/>
    </row>
    <row r="171" spans="9:15" x14ac:dyDescent="0.25">
      <c r="I171" s="3"/>
      <c r="J171" s="3"/>
      <c r="N171" s="1"/>
      <c r="O171" s="1"/>
    </row>
    <row r="172" spans="9:15" x14ac:dyDescent="0.25">
      <c r="I172" s="3"/>
      <c r="J172" s="3"/>
      <c r="N172" s="1"/>
      <c r="O172" s="1"/>
    </row>
    <row r="173" spans="9:15" x14ac:dyDescent="0.25">
      <c r="I173" s="3"/>
      <c r="J173" s="3"/>
      <c r="N173" s="1"/>
      <c r="O173" s="1"/>
    </row>
    <row r="174" spans="9:15" x14ac:dyDescent="0.25">
      <c r="I174" s="3"/>
      <c r="J174" s="3"/>
      <c r="N174" s="1"/>
      <c r="O174" s="1"/>
    </row>
    <row r="175" spans="9:15" x14ac:dyDescent="0.25">
      <c r="I175" s="3"/>
      <c r="J175" s="3"/>
      <c r="N175" s="1"/>
      <c r="O175" s="1"/>
    </row>
    <row r="176" spans="9:15" x14ac:dyDescent="0.25">
      <c r="I176" s="3"/>
      <c r="J176" s="3"/>
      <c r="N176" s="1"/>
      <c r="O176" s="1"/>
    </row>
    <row r="177" spans="9:15" x14ac:dyDescent="0.25">
      <c r="I177" s="3"/>
      <c r="J177" s="3"/>
      <c r="N177" s="1"/>
      <c r="O177" s="1"/>
    </row>
    <row r="178" spans="9:15" x14ac:dyDescent="0.25">
      <c r="I178" s="3"/>
      <c r="J178" s="3"/>
      <c r="N178" s="1"/>
      <c r="O178" s="1"/>
    </row>
    <row r="179" spans="9:15" x14ac:dyDescent="0.25">
      <c r="I179" s="3"/>
      <c r="J179" s="3"/>
      <c r="N179" s="1"/>
      <c r="O179" s="1"/>
    </row>
    <row r="180" spans="9:15" x14ac:dyDescent="0.25">
      <c r="I180" s="3"/>
      <c r="J180" s="3"/>
      <c r="N180" s="1"/>
      <c r="O180" s="1"/>
    </row>
    <row r="181" spans="9:15" x14ac:dyDescent="0.25">
      <c r="I181" s="3"/>
      <c r="J181" s="3"/>
      <c r="N181" s="1"/>
      <c r="O181" s="1"/>
    </row>
    <row r="182" spans="9:15" x14ac:dyDescent="0.25">
      <c r="I182" s="3"/>
      <c r="J182" s="3"/>
      <c r="N182" s="1"/>
      <c r="O182" s="1"/>
    </row>
    <row r="183" spans="9:15" x14ac:dyDescent="0.25">
      <c r="I183" s="3"/>
      <c r="J183" s="3"/>
      <c r="N183" s="1"/>
      <c r="O183" s="1"/>
    </row>
    <row r="184" spans="9:15" x14ac:dyDescent="0.25">
      <c r="I184" s="3"/>
      <c r="J184" s="3"/>
      <c r="N184" s="1"/>
      <c r="O184" s="1"/>
    </row>
    <row r="185" spans="9:15" x14ac:dyDescent="0.25">
      <c r="I185" s="3"/>
      <c r="J185" s="3"/>
      <c r="N185" s="1"/>
      <c r="O185" s="1"/>
    </row>
    <row r="186" spans="9:15" x14ac:dyDescent="0.25">
      <c r="I186" s="3"/>
      <c r="J186" s="3"/>
      <c r="N186" s="1"/>
      <c r="O186" s="1"/>
    </row>
    <row r="187" spans="9:15" x14ac:dyDescent="0.25">
      <c r="I187" s="3"/>
      <c r="J187" s="3"/>
      <c r="N187" s="1"/>
      <c r="O187" s="1"/>
    </row>
    <row r="188" spans="9:15" x14ac:dyDescent="0.25">
      <c r="I188" s="3"/>
      <c r="J188" s="3"/>
      <c r="N188" s="1"/>
      <c r="O188" s="1"/>
    </row>
    <row r="189" spans="9:15" x14ac:dyDescent="0.25">
      <c r="I189" s="3"/>
      <c r="J189" s="3"/>
      <c r="N189" s="1"/>
      <c r="O189" s="1"/>
    </row>
    <row r="190" spans="9:15" x14ac:dyDescent="0.25">
      <c r="I190" s="3"/>
      <c r="J190" s="3"/>
      <c r="N190" s="1"/>
      <c r="O190" s="1"/>
    </row>
    <row r="191" spans="9:15" x14ac:dyDescent="0.25">
      <c r="I191" s="3"/>
      <c r="J191" s="3"/>
      <c r="N191" s="1"/>
      <c r="O191" s="1"/>
    </row>
    <row r="192" spans="9:15" x14ac:dyDescent="0.25">
      <c r="I192" s="3"/>
      <c r="J192" s="3"/>
      <c r="N192" s="1"/>
      <c r="O192" s="1"/>
    </row>
    <row r="193" spans="9:15" x14ac:dyDescent="0.25">
      <c r="I193" s="3"/>
      <c r="J193" s="3"/>
      <c r="N193" s="1"/>
      <c r="O193" s="1"/>
    </row>
    <row r="194" spans="9:15" x14ac:dyDescent="0.25">
      <c r="I194" s="3"/>
      <c r="J194" s="3"/>
      <c r="N194" s="1"/>
      <c r="O194" s="1"/>
    </row>
    <row r="195" spans="9:15" x14ac:dyDescent="0.25">
      <c r="I195" s="3"/>
      <c r="J195" s="3"/>
      <c r="N195" s="1"/>
      <c r="O195" s="1"/>
    </row>
    <row r="196" spans="9:15" x14ac:dyDescent="0.25">
      <c r="I196" s="3"/>
      <c r="J196" s="3"/>
      <c r="N196" s="1"/>
      <c r="O196" s="1"/>
    </row>
    <row r="197" spans="9:15" x14ac:dyDescent="0.25">
      <c r="I197" s="3"/>
      <c r="J197" s="3"/>
      <c r="N197" s="1"/>
      <c r="O197" s="1"/>
    </row>
    <row r="198" spans="9:15" x14ac:dyDescent="0.25">
      <c r="I198" s="3"/>
      <c r="J198" s="3"/>
      <c r="N198" s="1"/>
      <c r="O198" s="1"/>
    </row>
    <row r="199" spans="9:15" x14ac:dyDescent="0.25">
      <c r="I199" s="3"/>
      <c r="J199" s="3"/>
      <c r="N199" s="1"/>
      <c r="O199" s="1"/>
    </row>
    <row r="200" spans="9:15" x14ac:dyDescent="0.25">
      <c r="I200" s="3"/>
      <c r="J200" s="3"/>
      <c r="N200" s="1"/>
      <c r="O200" s="1"/>
    </row>
    <row r="201" spans="9:15" x14ac:dyDescent="0.25">
      <c r="I201" s="3"/>
      <c r="J201" s="3"/>
      <c r="N201" s="1"/>
      <c r="O201" s="1"/>
    </row>
    <row r="202" spans="9:15" x14ac:dyDescent="0.25">
      <c r="I202" s="3"/>
      <c r="J202" s="3"/>
      <c r="N202" s="1"/>
      <c r="O202" s="1"/>
    </row>
    <row r="203" spans="9:15" x14ac:dyDescent="0.25">
      <c r="I203" s="3"/>
      <c r="J203" s="3"/>
      <c r="N203" s="1"/>
      <c r="O203" s="1"/>
    </row>
    <row r="204" spans="9:15" x14ac:dyDescent="0.25">
      <c r="I204" s="3"/>
      <c r="J204" s="3"/>
      <c r="N204" s="1"/>
      <c r="O204" s="1"/>
    </row>
    <row r="205" spans="9:15" x14ac:dyDescent="0.25">
      <c r="I205" s="3"/>
      <c r="J205" s="3"/>
      <c r="N205" s="1"/>
      <c r="O205" s="1"/>
    </row>
    <row r="206" spans="9:15" x14ac:dyDescent="0.25">
      <c r="I206" s="3"/>
      <c r="J206" s="3"/>
      <c r="N206" s="1"/>
      <c r="O206" s="1"/>
    </row>
    <row r="207" spans="9:15" x14ac:dyDescent="0.25">
      <c r="I207" s="3"/>
      <c r="J207" s="3"/>
      <c r="N207" s="1"/>
      <c r="O207" s="1"/>
    </row>
    <row r="208" spans="9:15" x14ac:dyDescent="0.25">
      <c r="I208" s="3"/>
      <c r="J208" s="3"/>
      <c r="N208" s="1"/>
      <c r="O208" s="1"/>
    </row>
    <row r="209" spans="9:15" x14ac:dyDescent="0.25">
      <c r="I209" s="3"/>
      <c r="J209" s="3"/>
      <c r="N209" s="1"/>
      <c r="O209" s="1"/>
    </row>
    <row r="210" spans="9:15" x14ac:dyDescent="0.25">
      <c r="I210" s="3"/>
      <c r="J210" s="3"/>
      <c r="N210" s="1"/>
      <c r="O210" s="1"/>
    </row>
    <row r="211" spans="9:15" x14ac:dyDescent="0.25">
      <c r="I211" s="3"/>
      <c r="J211" s="3"/>
      <c r="N211" s="1"/>
      <c r="O211" s="1"/>
    </row>
    <row r="212" spans="9:15" x14ac:dyDescent="0.25">
      <c r="I212" s="3"/>
      <c r="J212" s="3"/>
      <c r="N212" s="1"/>
      <c r="O212" s="1"/>
    </row>
    <row r="213" spans="9:15" x14ac:dyDescent="0.25">
      <c r="I213" s="3"/>
      <c r="J213" s="3"/>
      <c r="N213" s="1"/>
      <c r="O213" s="1"/>
    </row>
    <row r="214" spans="9:15" x14ac:dyDescent="0.25">
      <c r="I214" s="3"/>
      <c r="J214" s="3"/>
      <c r="N214" s="1"/>
      <c r="O214" s="1"/>
    </row>
    <row r="215" spans="9:15" x14ac:dyDescent="0.25">
      <c r="I215" s="3"/>
      <c r="J215" s="3"/>
      <c r="N215" s="1"/>
      <c r="O215" s="1"/>
    </row>
    <row r="216" spans="9:15" x14ac:dyDescent="0.25">
      <c r="I216" s="3"/>
      <c r="J216" s="3"/>
      <c r="N216" s="1"/>
      <c r="O216" s="1"/>
    </row>
    <row r="217" spans="9:15" x14ac:dyDescent="0.25">
      <c r="I217" s="3"/>
      <c r="J217" s="3"/>
      <c r="N217" s="1"/>
      <c r="O217" s="1"/>
    </row>
    <row r="218" spans="9:15" x14ac:dyDescent="0.25">
      <c r="I218" s="3"/>
      <c r="J218" s="3"/>
      <c r="N218" s="1"/>
      <c r="O218" s="1"/>
    </row>
    <row r="219" spans="9:15" x14ac:dyDescent="0.25">
      <c r="I219" s="3"/>
      <c r="J219" s="3"/>
      <c r="N219" s="1"/>
      <c r="O219" s="1"/>
    </row>
    <row r="220" spans="9:15" x14ac:dyDescent="0.25">
      <c r="I220" s="3"/>
      <c r="J220" s="3"/>
      <c r="N220" s="1"/>
      <c r="O220" s="1"/>
    </row>
    <row r="221" spans="9:15" x14ac:dyDescent="0.25">
      <c r="I221" s="3"/>
      <c r="J221" s="3"/>
      <c r="N221" s="1"/>
      <c r="O221" s="1"/>
    </row>
    <row r="222" spans="9:15" x14ac:dyDescent="0.25">
      <c r="I222" s="3"/>
      <c r="J222" s="3"/>
      <c r="N222" s="1"/>
      <c r="O222" s="1"/>
    </row>
    <row r="223" spans="9:15" x14ac:dyDescent="0.25">
      <c r="I223" s="3"/>
      <c r="J223" s="3"/>
      <c r="N223" s="1"/>
      <c r="O223" s="1"/>
    </row>
    <row r="224" spans="9:15" x14ac:dyDescent="0.25">
      <c r="I224" s="3"/>
      <c r="J224" s="3"/>
      <c r="N224" s="1"/>
      <c r="O224" s="1"/>
    </row>
    <row r="225" spans="9:15" x14ac:dyDescent="0.25">
      <c r="I225" s="3"/>
      <c r="J225" s="3"/>
      <c r="N225" s="1"/>
      <c r="O225" s="1"/>
    </row>
    <row r="226" spans="9:15" x14ac:dyDescent="0.25">
      <c r="I226" s="3"/>
      <c r="J226" s="3"/>
      <c r="N226" s="1"/>
      <c r="O226" s="1"/>
    </row>
    <row r="227" spans="9:15" x14ac:dyDescent="0.25">
      <c r="I227" s="3"/>
      <c r="J227" s="3"/>
      <c r="N227" s="1"/>
      <c r="O227" s="1"/>
    </row>
    <row r="228" spans="9:15" x14ac:dyDescent="0.25">
      <c r="I228" s="3"/>
      <c r="J228" s="3"/>
      <c r="N228" s="1"/>
      <c r="O228" s="1"/>
    </row>
    <row r="229" spans="9:15" x14ac:dyDescent="0.25">
      <c r="I229" s="3"/>
      <c r="J229" s="3"/>
      <c r="N229" s="1"/>
      <c r="O229" s="1"/>
    </row>
    <row r="230" spans="9:15" x14ac:dyDescent="0.25">
      <c r="I230" s="3"/>
      <c r="J230" s="3"/>
      <c r="N230" s="1"/>
      <c r="O230" s="1"/>
    </row>
    <row r="231" spans="9:15" x14ac:dyDescent="0.25">
      <c r="I231" s="3"/>
      <c r="J231" s="3"/>
      <c r="N231" s="1"/>
      <c r="O231" s="1"/>
    </row>
    <row r="232" spans="9:15" x14ac:dyDescent="0.25">
      <c r="I232" s="3"/>
      <c r="J232" s="3"/>
      <c r="N232" s="1"/>
      <c r="O232" s="1"/>
    </row>
    <row r="233" spans="9:15" x14ac:dyDescent="0.25">
      <c r="I233" s="3"/>
      <c r="J233" s="3"/>
      <c r="N233" s="1"/>
      <c r="O233" s="1"/>
    </row>
    <row r="234" spans="9:15" x14ac:dyDescent="0.25">
      <c r="I234" s="3"/>
      <c r="J234" s="3"/>
      <c r="N234" s="1"/>
      <c r="O234" s="1"/>
    </row>
    <row r="235" spans="9:15" x14ac:dyDescent="0.25">
      <c r="I235" s="3"/>
      <c r="J235" s="3"/>
      <c r="N235" s="1"/>
      <c r="O235" s="1"/>
    </row>
    <row r="236" spans="9:15" x14ac:dyDescent="0.25">
      <c r="I236" s="3"/>
      <c r="J236" s="3"/>
      <c r="N236" s="1"/>
      <c r="O236" s="1"/>
    </row>
    <row r="237" spans="9:15" x14ac:dyDescent="0.25">
      <c r="I237" s="3"/>
      <c r="J237" s="3"/>
      <c r="N237" s="1"/>
      <c r="O237" s="1"/>
    </row>
    <row r="238" spans="9:15" x14ac:dyDescent="0.25">
      <c r="I238" s="3"/>
      <c r="J238" s="3"/>
      <c r="N238" s="1"/>
      <c r="O238" s="1"/>
    </row>
    <row r="239" spans="9:15" x14ac:dyDescent="0.25">
      <c r="I239" s="3"/>
      <c r="J239" s="3"/>
      <c r="N239" s="1"/>
      <c r="O239" s="1"/>
    </row>
    <row r="240" spans="9:15" x14ac:dyDescent="0.25">
      <c r="I240" s="3"/>
      <c r="J240" s="3"/>
      <c r="N240" s="1"/>
      <c r="O240" s="1"/>
    </row>
    <row r="241" spans="9:15" x14ac:dyDescent="0.25">
      <c r="I241" s="3"/>
      <c r="J241" s="3"/>
      <c r="N241" s="1"/>
      <c r="O241" s="1"/>
    </row>
    <row r="242" spans="9:15" x14ac:dyDescent="0.25">
      <c r="I242" s="3"/>
      <c r="J242" s="3"/>
      <c r="N242" s="1"/>
      <c r="O242" s="1"/>
    </row>
    <row r="243" spans="9:15" x14ac:dyDescent="0.25">
      <c r="I243" s="3"/>
      <c r="J243" s="3"/>
      <c r="N243" s="1"/>
      <c r="O243" s="1"/>
    </row>
    <row r="244" spans="9:15" x14ac:dyDescent="0.25">
      <c r="I244" s="3"/>
      <c r="J244" s="3"/>
      <c r="N244" s="1"/>
      <c r="O244" s="1"/>
    </row>
    <row r="245" spans="9:15" x14ac:dyDescent="0.25">
      <c r="I245" s="3"/>
      <c r="J245" s="3"/>
      <c r="N245" s="1"/>
      <c r="O245" s="1"/>
    </row>
    <row r="246" spans="9:15" x14ac:dyDescent="0.25">
      <c r="I246" s="3"/>
      <c r="J246" s="3"/>
      <c r="N246" s="1"/>
      <c r="O246" s="1"/>
    </row>
    <row r="247" spans="9:15" x14ac:dyDescent="0.25">
      <c r="I247" s="3"/>
      <c r="J247" s="3"/>
      <c r="N247" s="1"/>
      <c r="O247" s="1"/>
    </row>
    <row r="248" spans="9:15" x14ac:dyDescent="0.25">
      <c r="I248" s="3"/>
      <c r="J248" s="3"/>
      <c r="N248" s="1"/>
      <c r="O248" s="1"/>
    </row>
    <row r="249" spans="9:15" x14ac:dyDescent="0.25">
      <c r="I249" s="3"/>
      <c r="J249" s="3"/>
      <c r="N249" s="1"/>
      <c r="O249" s="1"/>
    </row>
    <row r="250" spans="9:15" x14ac:dyDescent="0.25">
      <c r="I250" s="3"/>
      <c r="J250" s="3"/>
      <c r="N250" s="1"/>
      <c r="O250" s="1"/>
    </row>
    <row r="251" spans="9:15" x14ac:dyDescent="0.25">
      <c r="I251" s="3"/>
      <c r="J251" s="3"/>
      <c r="N251" s="1"/>
      <c r="O251" s="1"/>
    </row>
    <row r="252" spans="9:15" x14ac:dyDescent="0.25">
      <c r="I252" s="3"/>
      <c r="J252" s="3"/>
      <c r="N252" s="1"/>
      <c r="O252" s="1"/>
    </row>
    <row r="253" spans="9:15" x14ac:dyDescent="0.25">
      <c r="I253" s="3"/>
      <c r="J253" s="3"/>
      <c r="N253" s="1"/>
      <c r="O253" s="1"/>
    </row>
    <row r="254" spans="9:15" x14ac:dyDescent="0.25">
      <c r="I254" s="3"/>
      <c r="J254" s="3"/>
      <c r="N254" s="1"/>
      <c r="O254" s="1"/>
    </row>
    <row r="255" spans="9:15" x14ac:dyDescent="0.25">
      <c r="I255" s="3"/>
      <c r="J255" s="3"/>
      <c r="N255" s="1"/>
      <c r="O255" s="1"/>
    </row>
    <row r="256" spans="9:15" x14ac:dyDescent="0.25">
      <c r="I256" s="3"/>
      <c r="J256" s="3"/>
      <c r="N256" s="1"/>
      <c r="O256" s="1"/>
    </row>
    <row r="257" spans="9:15" x14ac:dyDescent="0.25">
      <c r="I257" s="3"/>
      <c r="J257" s="3"/>
      <c r="N257" s="1"/>
      <c r="O257" s="1"/>
    </row>
    <row r="258" spans="9:15" x14ac:dyDescent="0.25">
      <c r="I258" s="3"/>
      <c r="J258" s="3"/>
      <c r="N258" s="1"/>
      <c r="O258" s="1"/>
    </row>
    <row r="259" spans="9:15" x14ac:dyDescent="0.25">
      <c r="I259" s="3"/>
      <c r="J259" s="3"/>
      <c r="N259" s="1"/>
      <c r="O259" s="1"/>
    </row>
    <row r="260" spans="9:15" x14ac:dyDescent="0.25">
      <c r="I260" s="3"/>
      <c r="J260" s="3"/>
      <c r="N260" s="1"/>
      <c r="O260" s="1"/>
    </row>
    <row r="261" spans="9:15" x14ac:dyDescent="0.25">
      <c r="I261" s="3"/>
      <c r="J261" s="3"/>
      <c r="N261" s="1"/>
      <c r="O261" s="1"/>
    </row>
    <row r="262" spans="9:15" x14ac:dyDescent="0.25">
      <c r="I262" s="3"/>
      <c r="J262" s="3"/>
      <c r="N262" s="1"/>
      <c r="O262" s="1"/>
    </row>
    <row r="263" spans="9:15" x14ac:dyDescent="0.25">
      <c r="I263" s="3"/>
      <c r="J263" s="3"/>
      <c r="N263" s="1"/>
      <c r="O263" s="1"/>
    </row>
    <row r="264" spans="9:15" x14ac:dyDescent="0.25">
      <c r="I264" s="3"/>
      <c r="J264" s="3"/>
      <c r="N264" s="1"/>
      <c r="O264" s="1"/>
    </row>
    <row r="265" spans="9:15" x14ac:dyDescent="0.25">
      <c r="I265" s="3"/>
      <c r="J265" s="3"/>
      <c r="N265" s="1"/>
      <c r="O265" s="1"/>
    </row>
    <row r="266" spans="9:15" x14ac:dyDescent="0.25">
      <c r="I266" s="3"/>
      <c r="J266" s="3"/>
      <c r="N266" s="1"/>
      <c r="O266" s="1"/>
    </row>
    <row r="267" spans="9:15" x14ac:dyDescent="0.25">
      <c r="I267" s="3"/>
      <c r="J267" s="3"/>
      <c r="N267" s="1"/>
      <c r="O267" s="1"/>
    </row>
    <row r="268" spans="9:15" x14ac:dyDescent="0.25">
      <c r="I268" s="3"/>
      <c r="J268" s="3"/>
      <c r="N268" s="1"/>
      <c r="O268" s="1"/>
    </row>
    <row r="269" spans="9:15" x14ac:dyDescent="0.25">
      <c r="I269" s="3"/>
      <c r="J269" s="3"/>
      <c r="N269" s="1"/>
      <c r="O269" s="1"/>
    </row>
    <row r="270" spans="9:15" x14ac:dyDescent="0.25">
      <c r="I270" s="3"/>
      <c r="J270" s="3"/>
      <c r="N270" s="1"/>
      <c r="O270" s="1"/>
    </row>
    <row r="271" spans="9:15" x14ac:dyDescent="0.25">
      <c r="I271" s="3"/>
      <c r="J271" s="3"/>
      <c r="N271" s="1"/>
      <c r="O271" s="1"/>
    </row>
    <row r="272" spans="9:15" x14ac:dyDescent="0.25">
      <c r="I272" s="3"/>
      <c r="J272" s="3"/>
      <c r="N272" s="1"/>
      <c r="O272" s="1"/>
    </row>
    <row r="273" spans="9:15" x14ac:dyDescent="0.25">
      <c r="I273" s="3"/>
      <c r="J273" s="3"/>
      <c r="N273" s="1"/>
      <c r="O273" s="1"/>
    </row>
    <row r="274" spans="9:15" x14ac:dyDescent="0.25">
      <c r="I274" s="3"/>
      <c r="J274" s="3"/>
      <c r="N274" s="1"/>
      <c r="O274" s="1"/>
    </row>
    <row r="275" spans="9:15" x14ac:dyDescent="0.25">
      <c r="I275" s="3"/>
      <c r="J275" s="3"/>
      <c r="N275" s="1"/>
      <c r="O275" s="1"/>
    </row>
    <row r="276" spans="9:15" x14ac:dyDescent="0.25">
      <c r="I276" s="3"/>
      <c r="J276" s="3"/>
      <c r="N276" s="1"/>
      <c r="O276" s="1"/>
    </row>
    <row r="277" spans="9:15" x14ac:dyDescent="0.25">
      <c r="I277" s="3"/>
      <c r="J277" s="3"/>
      <c r="N277" s="1"/>
      <c r="O277" s="1"/>
    </row>
    <row r="278" spans="9:15" x14ac:dyDescent="0.25">
      <c r="I278" s="3"/>
      <c r="J278" s="3"/>
      <c r="N278" s="1"/>
      <c r="O278" s="1"/>
    </row>
    <row r="279" spans="9:15" x14ac:dyDescent="0.25">
      <c r="I279" s="3"/>
      <c r="J279" s="3"/>
      <c r="N279" s="1"/>
      <c r="O279" s="1"/>
    </row>
    <row r="280" spans="9:15" x14ac:dyDescent="0.25">
      <c r="I280" s="3"/>
      <c r="J280" s="3"/>
      <c r="N280" s="1"/>
      <c r="O280" s="1"/>
    </row>
    <row r="281" spans="9:15" x14ac:dyDescent="0.25">
      <c r="I281" s="3"/>
      <c r="J281" s="3"/>
      <c r="N281" s="1"/>
      <c r="O281" s="1"/>
    </row>
    <row r="282" spans="9:15" x14ac:dyDescent="0.25">
      <c r="I282" s="3"/>
      <c r="J282" s="3"/>
      <c r="N282" s="1"/>
      <c r="O282" s="1"/>
    </row>
    <row r="283" spans="9:15" x14ac:dyDescent="0.25">
      <c r="I283" s="3"/>
      <c r="J283" s="3"/>
      <c r="N283" s="1"/>
      <c r="O283" s="1"/>
    </row>
    <row r="284" spans="9:15" x14ac:dyDescent="0.25">
      <c r="I284" s="3"/>
      <c r="J284" s="3"/>
      <c r="N284" s="1"/>
      <c r="O284" s="1"/>
    </row>
    <row r="285" spans="9:15" x14ac:dyDescent="0.25">
      <c r="I285" s="3"/>
      <c r="J285" s="3"/>
      <c r="N285" s="1"/>
      <c r="O285" s="1"/>
    </row>
    <row r="286" spans="9:15" x14ac:dyDescent="0.25">
      <c r="I286" s="3"/>
      <c r="J286" s="3"/>
      <c r="N286" s="1"/>
      <c r="O286" s="1"/>
    </row>
    <row r="287" spans="9:15" x14ac:dyDescent="0.25">
      <c r="I287" s="3"/>
      <c r="J287" s="3"/>
      <c r="N287" s="1"/>
      <c r="O287" s="1"/>
    </row>
    <row r="288" spans="9:15" x14ac:dyDescent="0.25">
      <c r="I288" s="3"/>
      <c r="J288" s="3"/>
      <c r="N288" s="1"/>
      <c r="O288" s="1"/>
    </row>
    <row r="289" spans="9:15" x14ac:dyDescent="0.25">
      <c r="I289" s="3"/>
      <c r="J289" s="3"/>
      <c r="N289" s="1"/>
      <c r="O289" s="1"/>
    </row>
    <row r="290" spans="9:15" x14ac:dyDescent="0.25">
      <c r="I290" s="3"/>
      <c r="J290" s="3"/>
      <c r="N290" s="1"/>
      <c r="O290" s="1"/>
    </row>
    <row r="291" spans="9:15" x14ac:dyDescent="0.25">
      <c r="I291" s="3"/>
      <c r="J291" s="3"/>
      <c r="N291" s="1"/>
      <c r="O291" s="1"/>
    </row>
    <row r="292" spans="9:15" x14ac:dyDescent="0.25">
      <c r="I292" s="3"/>
      <c r="J292" s="3"/>
      <c r="N292" s="1"/>
      <c r="O292" s="1"/>
    </row>
    <row r="293" spans="9:15" x14ac:dyDescent="0.25">
      <c r="I293" s="3"/>
      <c r="J293" s="3"/>
      <c r="N293" s="1"/>
      <c r="O293" s="1"/>
    </row>
    <row r="294" spans="9:15" x14ac:dyDescent="0.25">
      <c r="I294" s="3"/>
      <c r="J294" s="3"/>
      <c r="N294" s="1"/>
      <c r="O294" s="1"/>
    </row>
    <row r="295" spans="9:15" x14ac:dyDescent="0.25">
      <c r="I295" s="3"/>
      <c r="J295" s="3"/>
      <c r="N295" s="1"/>
      <c r="O295" s="1"/>
    </row>
    <row r="296" spans="9:15" x14ac:dyDescent="0.25">
      <c r="I296" s="3"/>
      <c r="J296" s="3"/>
      <c r="N296" s="1"/>
      <c r="O296" s="1"/>
    </row>
    <row r="297" spans="9:15" x14ac:dyDescent="0.25">
      <c r="I297" s="3"/>
      <c r="J297" s="3"/>
      <c r="N297" s="1"/>
      <c r="O297" s="1"/>
    </row>
    <row r="298" spans="9:15" x14ac:dyDescent="0.25">
      <c r="I298" s="3"/>
      <c r="J298" s="3"/>
      <c r="N298" s="1"/>
      <c r="O298" s="1"/>
    </row>
    <row r="299" spans="9:15" x14ac:dyDescent="0.25">
      <c r="I299" s="3"/>
      <c r="J299" s="3"/>
      <c r="N299" s="1"/>
      <c r="O299" s="1"/>
    </row>
    <row r="300" spans="9:15" x14ac:dyDescent="0.25">
      <c r="I300" s="3"/>
      <c r="J300" s="3"/>
      <c r="N300" s="1"/>
      <c r="O300" s="1"/>
    </row>
    <row r="301" spans="9:15" x14ac:dyDescent="0.25">
      <c r="I301" s="3"/>
      <c r="J301" s="3"/>
      <c r="N301" s="1"/>
      <c r="O301" s="1"/>
    </row>
    <row r="302" spans="9:15" x14ac:dyDescent="0.25">
      <c r="I302" s="3"/>
      <c r="J302" s="3"/>
      <c r="N302" s="1"/>
      <c r="O302" s="1"/>
    </row>
    <row r="303" spans="9:15" x14ac:dyDescent="0.25">
      <c r="I303" s="3"/>
      <c r="J303" s="3"/>
      <c r="N303" s="1"/>
      <c r="O303" s="1"/>
    </row>
    <row r="304" spans="9:15" x14ac:dyDescent="0.25">
      <c r="I304" s="3"/>
      <c r="J304" s="3"/>
      <c r="N304" s="1"/>
      <c r="O304" s="1"/>
    </row>
    <row r="305" spans="9:15" x14ac:dyDescent="0.25">
      <c r="I305" s="3"/>
      <c r="J305" s="3"/>
      <c r="N305" s="1"/>
      <c r="O305" s="1"/>
    </row>
    <row r="306" spans="9:15" x14ac:dyDescent="0.25">
      <c r="I306" s="3"/>
      <c r="J306" s="3"/>
      <c r="N306" s="1"/>
      <c r="O306" s="1"/>
    </row>
    <row r="307" spans="9:15" x14ac:dyDescent="0.25">
      <c r="I307" s="3"/>
      <c r="J307" s="3"/>
      <c r="N307" s="1"/>
      <c r="O307" s="1"/>
    </row>
    <row r="308" spans="9:15" x14ac:dyDescent="0.25">
      <c r="I308" s="3"/>
      <c r="J308" s="3"/>
      <c r="N308" s="1"/>
      <c r="O308" s="1"/>
    </row>
    <row r="309" spans="9:15" x14ac:dyDescent="0.25">
      <c r="I309" s="3"/>
      <c r="J309" s="3"/>
      <c r="N309" s="1"/>
      <c r="O309" s="1"/>
    </row>
    <row r="310" spans="9:15" x14ac:dyDescent="0.25">
      <c r="I310" s="3"/>
      <c r="J310" s="3"/>
      <c r="N310" s="1"/>
      <c r="O310" s="1"/>
    </row>
    <row r="311" spans="9:15" x14ac:dyDescent="0.25">
      <c r="I311" s="3"/>
      <c r="J311" s="3"/>
      <c r="N311" s="1"/>
      <c r="O311" s="1"/>
    </row>
    <row r="312" spans="9:15" x14ac:dyDescent="0.25">
      <c r="I312" s="3"/>
      <c r="J312" s="3"/>
      <c r="N312" s="1"/>
      <c r="O312" s="1"/>
    </row>
    <row r="313" spans="9:15" x14ac:dyDescent="0.25">
      <c r="I313" s="3"/>
      <c r="J313" s="3"/>
      <c r="N313" s="1"/>
      <c r="O313" s="1"/>
    </row>
    <row r="314" spans="9:15" x14ac:dyDescent="0.25">
      <c r="I314" s="3"/>
      <c r="J314" s="3"/>
      <c r="N314" s="1"/>
      <c r="O314" s="1"/>
    </row>
    <row r="315" spans="9:15" x14ac:dyDescent="0.25">
      <c r="I315" s="3"/>
      <c r="J315" s="3"/>
      <c r="N315" s="1"/>
      <c r="O315" s="1"/>
    </row>
    <row r="316" spans="9:15" x14ac:dyDescent="0.25">
      <c r="I316" s="3"/>
      <c r="J316" s="3"/>
      <c r="N316" s="1"/>
      <c r="O316" s="1"/>
    </row>
    <row r="317" spans="9:15" x14ac:dyDescent="0.25">
      <c r="I317" s="3"/>
      <c r="J317" s="3"/>
      <c r="N317" s="1"/>
      <c r="O317" s="1"/>
    </row>
    <row r="318" spans="9:15" x14ac:dyDescent="0.25">
      <c r="I318" s="3"/>
      <c r="J318" s="3"/>
      <c r="N318" s="1"/>
      <c r="O318" s="1"/>
    </row>
    <row r="319" spans="9:15" x14ac:dyDescent="0.25">
      <c r="I319" s="3"/>
      <c r="J319" s="3"/>
      <c r="N319" s="1"/>
      <c r="O319" s="1"/>
    </row>
    <row r="320" spans="9:15" x14ac:dyDescent="0.25">
      <c r="I320" s="3"/>
      <c r="J320" s="3"/>
      <c r="N320" s="1"/>
      <c r="O320" s="1"/>
    </row>
    <row r="321" spans="9:15" x14ac:dyDescent="0.25">
      <c r="I321" s="3"/>
      <c r="J321" s="3"/>
      <c r="N321" s="1"/>
      <c r="O321" s="1"/>
    </row>
    <row r="322" spans="9:15" x14ac:dyDescent="0.25">
      <c r="I322" s="3"/>
      <c r="J322" s="3"/>
      <c r="N322" s="1"/>
      <c r="O322" s="1"/>
    </row>
    <row r="323" spans="9:15" x14ac:dyDescent="0.25">
      <c r="I323" s="3"/>
      <c r="J323" s="3"/>
      <c r="N323" s="1"/>
      <c r="O323" s="1"/>
    </row>
    <row r="324" spans="9:15" x14ac:dyDescent="0.25">
      <c r="I324" s="3"/>
      <c r="J324" s="3"/>
      <c r="N324" s="1"/>
      <c r="O324" s="1"/>
    </row>
    <row r="325" spans="9:15" x14ac:dyDescent="0.25">
      <c r="I325" s="3"/>
      <c r="J325" s="3"/>
      <c r="N325" s="1"/>
      <c r="O325" s="1"/>
    </row>
    <row r="326" spans="9:15" x14ac:dyDescent="0.25">
      <c r="I326" s="3"/>
      <c r="J326" s="3"/>
      <c r="N326" s="1"/>
      <c r="O326" s="1"/>
    </row>
    <row r="327" spans="9:15" x14ac:dyDescent="0.25">
      <c r="I327" s="3"/>
      <c r="J327" s="3"/>
      <c r="N327" s="1"/>
      <c r="O327" s="1"/>
    </row>
    <row r="328" spans="9:15" x14ac:dyDescent="0.25">
      <c r="I328" s="3"/>
      <c r="J328" s="3"/>
      <c r="N328" s="1"/>
      <c r="O328" s="1"/>
    </row>
    <row r="329" spans="9:15" x14ac:dyDescent="0.25">
      <c r="I329" s="3"/>
      <c r="J329" s="3"/>
      <c r="N329" s="1"/>
      <c r="O329" s="1"/>
    </row>
    <row r="330" spans="9:15" x14ac:dyDescent="0.25">
      <c r="I330" s="3"/>
      <c r="J330" s="3"/>
      <c r="N330" s="1"/>
      <c r="O330" s="1"/>
    </row>
    <row r="331" spans="9:15" x14ac:dyDescent="0.25">
      <c r="I331" s="3"/>
      <c r="J331" s="3"/>
      <c r="N331" s="1"/>
      <c r="O331" s="1"/>
    </row>
    <row r="332" spans="9:15" x14ac:dyDescent="0.25">
      <c r="I332" s="3"/>
      <c r="J332" s="3"/>
      <c r="N332" s="1"/>
      <c r="O332" s="1"/>
    </row>
    <row r="333" spans="9:15" x14ac:dyDescent="0.25">
      <c r="I333" s="3"/>
      <c r="J333" s="3"/>
      <c r="N333" s="1"/>
      <c r="O333" s="1"/>
    </row>
    <row r="334" spans="9:15" x14ac:dyDescent="0.25">
      <c r="I334" s="3"/>
      <c r="J334" s="3"/>
      <c r="N334" s="1"/>
      <c r="O334" s="1"/>
    </row>
    <row r="335" spans="9:15" x14ac:dyDescent="0.25">
      <c r="I335" s="3"/>
      <c r="J335" s="3"/>
      <c r="N335" s="1"/>
      <c r="O335" s="1"/>
    </row>
    <row r="336" spans="9:15" x14ac:dyDescent="0.25">
      <c r="I336" s="3"/>
      <c r="J336" s="3"/>
      <c r="N336" s="1"/>
      <c r="O336" s="1"/>
    </row>
    <row r="337" spans="9:15" x14ac:dyDescent="0.25">
      <c r="I337" s="3"/>
      <c r="J337" s="3"/>
      <c r="N337" s="1"/>
      <c r="O337" s="1"/>
    </row>
    <row r="338" spans="9:15" x14ac:dyDescent="0.25">
      <c r="I338" s="3"/>
      <c r="J338" s="3"/>
      <c r="N338" s="1"/>
      <c r="O338" s="1"/>
    </row>
    <row r="339" spans="9:15" x14ac:dyDescent="0.25">
      <c r="I339" s="3"/>
      <c r="J339" s="3"/>
      <c r="N339" s="1"/>
      <c r="O339" s="1"/>
    </row>
    <row r="340" spans="9:15" x14ac:dyDescent="0.25">
      <c r="I340" s="3"/>
      <c r="J340" s="3"/>
      <c r="N340" s="1"/>
      <c r="O340" s="1"/>
    </row>
    <row r="341" spans="9:15" x14ac:dyDescent="0.25">
      <c r="I341" s="3"/>
      <c r="J341" s="3"/>
      <c r="N341" s="1"/>
      <c r="O341" s="1"/>
    </row>
    <row r="342" spans="9:15" x14ac:dyDescent="0.25">
      <c r="I342" s="3"/>
      <c r="J342" s="3"/>
      <c r="N342" s="1"/>
      <c r="O342" s="1"/>
    </row>
    <row r="343" spans="9:15" x14ac:dyDescent="0.25">
      <c r="I343" s="3"/>
      <c r="J343" s="3"/>
      <c r="N343" s="1"/>
      <c r="O343" s="1"/>
    </row>
    <row r="344" spans="9:15" x14ac:dyDescent="0.25">
      <c r="I344" s="3"/>
      <c r="J344" s="3"/>
      <c r="N344" s="1"/>
      <c r="O344" s="1"/>
    </row>
    <row r="345" spans="9:15" x14ac:dyDescent="0.25">
      <c r="I345" s="3"/>
      <c r="J345" s="3"/>
      <c r="N345" s="1"/>
      <c r="O345" s="1"/>
    </row>
    <row r="346" spans="9:15" x14ac:dyDescent="0.25">
      <c r="I346" s="3"/>
      <c r="J346" s="3"/>
      <c r="N346" s="1"/>
      <c r="O346" s="1"/>
    </row>
    <row r="347" spans="9:15" x14ac:dyDescent="0.25">
      <c r="I347" s="3"/>
      <c r="J347" s="3"/>
      <c r="N347" s="1"/>
      <c r="O347" s="1"/>
    </row>
    <row r="348" spans="9:15" x14ac:dyDescent="0.25">
      <c r="I348" s="3"/>
      <c r="J348" s="3"/>
      <c r="N348" s="1"/>
      <c r="O348" s="1"/>
    </row>
    <row r="349" spans="9:15" x14ac:dyDescent="0.25">
      <c r="I349" s="3"/>
      <c r="J349" s="3"/>
      <c r="N349" s="1"/>
      <c r="O349" s="1"/>
    </row>
    <row r="350" spans="9:15" x14ac:dyDescent="0.25">
      <c r="I350" s="3"/>
      <c r="J350" s="3"/>
      <c r="N350" s="1"/>
      <c r="O350" s="1"/>
    </row>
    <row r="351" spans="9:15" x14ac:dyDescent="0.25">
      <c r="I351" s="3"/>
      <c r="J351" s="3"/>
      <c r="N351" s="1"/>
      <c r="O351" s="1"/>
    </row>
    <row r="352" spans="9:15" x14ac:dyDescent="0.25">
      <c r="I352" s="3"/>
      <c r="J352" s="3"/>
      <c r="N352" s="1"/>
      <c r="O352" s="1"/>
    </row>
    <row r="353" spans="9:15" x14ac:dyDescent="0.25">
      <c r="I353" s="3"/>
      <c r="J353" s="3"/>
      <c r="N353" s="1"/>
      <c r="O353" s="1"/>
    </row>
    <row r="354" spans="9:15" x14ac:dyDescent="0.25">
      <c r="I354" s="3"/>
      <c r="J354" s="3"/>
      <c r="N354" s="1"/>
      <c r="O354" s="1"/>
    </row>
    <row r="355" spans="9:15" x14ac:dyDescent="0.25">
      <c r="I355" s="3"/>
      <c r="J355" s="3"/>
      <c r="N355" s="1"/>
      <c r="O355" s="1"/>
    </row>
    <row r="356" spans="9:15" x14ac:dyDescent="0.25">
      <c r="I356" s="3"/>
      <c r="J356" s="3"/>
      <c r="N356" s="1"/>
      <c r="O356" s="1"/>
    </row>
    <row r="357" spans="9:15" x14ac:dyDescent="0.25">
      <c r="I357" s="3"/>
      <c r="J357" s="3"/>
      <c r="N357" s="1"/>
      <c r="O357" s="1"/>
    </row>
    <row r="358" spans="9:15" x14ac:dyDescent="0.25">
      <c r="I358" s="3"/>
      <c r="J358" s="3"/>
      <c r="N358" s="1"/>
      <c r="O358" s="1"/>
    </row>
    <row r="359" spans="9:15" x14ac:dyDescent="0.25">
      <c r="I359" s="3"/>
      <c r="J359" s="3"/>
      <c r="N359" s="1"/>
      <c r="O359" s="1"/>
    </row>
    <row r="360" spans="9:15" x14ac:dyDescent="0.25">
      <c r="I360" s="3"/>
      <c r="J360" s="3"/>
      <c r="N360" s="1"/>
      <c r="O360" s="1"/>
    </row>
    <row r="361" spans="9:15" x14ac:dyDescent="0.25">
      <c r="I361" s="3"/>
      <c r="J361" s="3"/>
      <c r="N361" s="1"/>
      <c r="O361" s="1"/>
    </row>
    <row r="362" spans="9:15" x14ac:dyDescent="0.25">
      <c r="I362" s="3"/>
      <c r="J362" s="3"/>
      <c r="N362" s="1"/>
      <c r="O362" s="1"/>
    </row>
    <row r="363" spans="9:15" x14ac:dyDescent="0.25">
      <c r="I363" s="3"/>
      <c r="J363" s="3"/>
      <c r="N363" s="1"/>
      <c r="O363" s="1"/>
    </row>
    <row r="364" spans="9:15" x14ac:dyDescent="0.25">
      <c r="I364" s="3"/>
      <c r="J364" s="3"/>
      <c r="N364" s="1"/>
      <c r="O364" s="1"/>
    </row>
    <row r="365" spans="9:15" x14ac:dyDescent="0.25">
      <c r="I365" s="3"/>
      <c r="J365" s="3"/>
      <c r="N365" s="1"/>
      <c r="O365" s="1"/>
    </row>
    <row r="366" spans="9:15" x14ac:dyDescent="0.25">
      <c r="I366" s="3"/>
      <c r="J366" s="3"/>
      <c r="N366" s="1"/>
      <c r="O366" s="1"/>
    </row>
    <row r="367" spans="9:15" x14ac:dyDescent="0.25">
      <c r="I367" s="3"/>
      <c r="J367" s="3"/>
      <c r="N367" s="1"/>
      <c r="O367" s="1"/>
    </row>
    <row r="368" spans="9:15" x14ac:dyDescent="0.25">
      <c r="I368" s="3"/>
      <c r="J368" s="3"/>
      <c r="N368" s="1"/>
      <c r="O368" s="1"/>
    </row>
    <row r="369" spans="9:15" x14ac:dyDescent="0.25">
      <c r="I369" s="3"/>
      <c r="J369" s="3"/>
      <c r="N369" s="1"/>
      <c r="O369" s="1"/>
    </row>
    <row r="370" spans="9:15" x14ac:dyDescent="0.25">
      <c r="I370" s="3"/>
      <c r="J370" s="3"/>
      <c r="N370" s="1"/>
      <c r="O370" s="1"/>
    </row>
    <row r="371" spans="9:15" x14ac:dyDescent="0.25">
      <c r="I371" s="3"/>
      <c r="J371" s="3"/>
      <c r="N371" s="1"/>
      <c r="O371" s="1"/>
    </row>
    <row r="372" spans="9:15" x14ac:dyDescent="0.25">
      <c r="I372" s="3"/>
      <c r="J372" s="3"/>
      <c r="N372" s="1"/>
      <c r="O372" s="1"/>
    </row>
    <row r="373" spans="9:15" x14ac:dyDescent="0.25">
      <c r="I373" s="3"/>
      <c r="J373" s="3"/>
      <c r="N373" s="1"/>
      <c r="O373" s="1"/>
    </row>
    <row r="374" spans="9:15" x14ac:dyDescent="0.25">
      <c r="I374" s="3"/>
      <c r="J374" s="3"/>
      <c r="N374" s="1"/>
      <c r="O374" s="1"/>
    </row>
    <row r="375" spans="9:15" x14ac:dyDescent="0.25">
      <c r="I375" s="3"/>
      <c r="J375" s="3"/>
      <c r="N375" s="1"/>
      <c r="O375" s="1"/>
    </row>
    <row r="376" spans="9:15" x14ac:dyDescent="0.25">
      <c r="I376" s="3"/>
      <c r="J376" s="3"/>
      <c r="N376" s="1"/>
      <c r="O376" s="1"/>
    </row>
    <row r="377" spans="9:15" x14ac:dyDescent="0.25">
      <c r="I377" s="3"/>
      <c r="J377" s="3"/>
      <c r="N377" s="1"/>
      <c r="O377" s="1"/>
    </row>
    <row r="378" spans="9:15" x14ac:dyDescent="0.25">
      <c r="I378" s="3"/>
      <c r="J378" s="3"/>
      <c r="N378" s="1"/>
      <c r="O378" s="1"/>
    </row>
    <row r="379" spans="9:15" x14ac:dyDescent="0.25">
      <c r="I379" s="3"/>
      <c r="J379" s="3"/>
      <c r="N379" s="1"/>
      <c r="O379" s="1"/>
    </row>
    <row r="380" spans="9:15" x14ac:dyDescent="0.25">
      <c r="I380" s="3"/>
      <c r="J380" s="3"/>
      <c r="N380" s="1"/>
      <c r="O380" s="1"/>
    </row>
    <row r="381" spans="9:15" x14ac:dyDescent="0.25">
      <c r="I381" s="3"/>
      <c r="J381" s="3"/>
      <c r="N381" s="1"/>
      <c r="O381" s="1"/>
    </row>
    <row r="382" spans="9:15" x14ac:dyDescent="0.25">
      <c r="I382" s="3"/>
      <c r="J382" s="3"/>
      <c r="N382" s="1"/>
      <c r="O382" s="1"/>
    </row>
    <row r="383" spans="9:15" x14ac:dyDescent="0.25">
      <c r="I383" s="3"/>
      <c r="J383" s="3"/>
      <c r="N383" s="1"/>
      <c r="O383" s="1"/>
    </row>
    <row r="384" spans="9:15" x14ac:dyDescent="0.25">
      <c r="I384" s="3"/>
      <c r="J384" s="3"/>
      <c r="N384" s="1"/>
      <c r="O384" s="1"/>
    </row>
    <row r="385" spans="9:15" x14ac:dyDescent="0.25">
      <c r="I385" s="3"/>
      <c r="J385" s="3"/>
      <c r="N385" s="1"/>
      <c r="O385" s="1"/>
    </row>
    <row r="386" spans="9:15" x14ac:dyDescent="0.25">
      <c r="I386" s="3"/>
      <c r="J386" s="3"/>
      <c r="N386" s="1"/>
      <c r="O386" s="1"/>
    </row>
    <row r="387" spans="9:15" x14ac:dyDescent="0.25">
      <c r="I387" s="3"/>
      <c r="J387" s="3"/>
      <c r="N387" s="1"/>
      <c r="O387" s="1"/>
    </row>
    <row r="388" spans="9:15" x14ac:dyDescent="0.25">
      <c r="I388" s="3"/>
      <c r="J388" s="3"/>
      <c r="N388" s="1"/>
      <c r="O388" s="1"/>
    </row>
    <row r="389" spans="9:15" x14ac:dyDescent="0.25">
      <c r="I389" s="3"/>
      <c r="J389" s="3"/>
      <c r="N389" s="1"/>
      <c r="O389" s="1"/>
    </row>
    <row r="390" spans="9:15" x14ac:dyDescent="0.25">
      <c r="I390" s="3"/>
      <c r="J390" s="3"/>
      <c r="N390" s="1"/>
      <c r="O390" s="1"/>
    </row>
    <row r="391" spans="9:15" x14ac:dyDescent="0.25">
      <c r="I391" s="3"/>
      <c r="J391" s="3"/>
      <c r="N391" s="1"/>
      <c r="O391" s="1"/>
    </row>
    <row r="392" spans="9:15" x14ac:dyDescent="0.25">
      <c r="I392" s="3"/>
      <c r="J392" s="3"/>
      <c r="N392" s="1"/>
      <c r="O392" s="1"/>
    </row>
    <row r="393" spans="9:15" x14ac:dyDescent="0.25">
      <c r="I393" s="3"/>
      <c r="J393" s="3"/>
      <c r="N393" s="1"/>
      <c r="O393" s="1"/>
    </row>
    <row r="394" spans="9:15" x14ac:dyDescent="0.25">
      <c r="I394" s="3"/>
      <c r="J394" s="3"/>
      <c r="N394" s="1"/>
      <c r="O394" s="1"/>
    </row>
    <row r="395" spans="9:15" x14ac:dyDescent="0.25">
      <c r="I395" s="3"/>
      <c r="J395" s="3"/>
      <c r="N395" s="1"/>
      <c r="O395" s="1"/>
    </row>
    <row r="396" spans="9:15" x14ac:dyDescent="0.25">
      <c r="I396" s="3"/>
      <c r="J396" s="3"/>
      <c r="N396" s="1"/>
      <c r="O396" s="1"/>
    </row>
    <row r="397" spans="9:15" x14ac:dyDescent="0.25">
      <c r="I397" s="3"/>
      <c r="J397" s="3"/>
      <c r="N397" s="1"/>
      <c r="O397" s="1"/>
    </row>
    <row r="398" spans="9:15" x14ac:dyDescent="0.25">
      <c r="I398" s="3"/>
      <c r="J398" s="3"/>
      <c r="N398" s="1"/>
      <c r="O398" s="1"/>
    </row>
    <row r="399" spans="9:15" x14ac:dyDescent="0.25">
      <c r="I399" s="3"/>
      <c r="J399" s="3"/>
      <c r="N399" s="1"/>
      <c r="O399" s="1"/>
    </row>
    <row r="400" spans="9:15" x14ac:dyDescent="0.25">
      <c r="I400" s="3"/>
      <c r="J400" s="3"/>
      <c r="N400" s="1"/>
      <c r="O400" s="1"/>
    </row>
    <row r="401" spans="9:15" x14ac:dyDescent="0.25">
      <c r="I401" s="3"/>
      <c r="J401" s="3"/>
      <c r="N401" s="1"/>
      <c r="O401" s="1"/>
    </row>
    <row r="402" spans="9:15" x14ac:dyDescent="0.25">
      <c r="I402" s="3"/>
      <c r="J402" s="3"/>
      <c r="N402" s="1"/>
      <c r="O402" s="1"/>
    </row>
    <row r="403" spans="9:15" x14ac:dyDescent="0.25">
      <c r="I403" s="3"/>
      <c r="J403" s="3"/>
      <c r="N403" s="1"/>
      <c r="O403" s="1"/>
    </row>
    <row r="404" spans="9:15" x14ac:dyDescent="0.25">
      <c r="I404" s="3"/>
      <c r="J404" s="3"/>
      <c r="N404" s="1"/>
      <c r="O404" s="1"/>
    </row>
    <row r="405" spans="9:15" x14ac:dyDescent="0.25">
      <c r="I405" s="3"/>
      <c r="J405" s="3"/>
      <c r="N405" s="1"/>
      <c r="O405" s="1"/>
    </row>
    <row r="406" spans="9:15" x14ac:dyDescent="0.25">
      <c r="I406" s="3"/>
      <c r="J406" s="3"/>
      <c r="N406" s="1"/>
      <c r="O406" s="1"/>
    </row>
    <row r="407" spans="9:15" x14ac:dyDescent="0.25">
      <c r="I407" s="3"/>
      <c r="J407" s="3"/>
      <c r="N407" s="1"/>
      <c r="O407" s="1"/>
    </row>
    <row r="408" spans="9:15" x14ac:dyDescent="0.25">
      <c r="I408" s="3"/>
      <c r="J408" s="3"/>
      <c r="N408" s="1"/>
      <c r="O408" s="1"/>
    </row>
    <row r="409" spans="9:15" x14ac:dyDescent="0.25">
      <c r="I409" s="3"/>
      <c r="J409" s="3"/>
      <c r="N409" s="1"/>
      <c r="O409" s="1"/>
    </row>
    <row r="410" spans="9:15" x14ac:dyDescent="0.25">
      <c r="I410" s="3"/>
      <c r="J410" s="3"/>
      <c r="N410" s="1"/>
      <c r="O410" s="1"/>
    </row>
    <row r="411" spans="9:15" x14ac:dyDescent="0.25">
      <c r="I411" s="3"/>
      <c r="J411" s="3"/>
      <c r="N411" s="1"/>
      <c r="O411" s="1"/>
    </row>
    <row r="412" spans="9:15" x14ac:dyDescent="0.25">
      <c r="I412" s="3"/>
      <c r="J412" s="3"/>
      <c r="N412" s="1"/>
      <c r="O412" s="1"/>
    </row>
    <row r="413" spans="9:15" x14ac:dyDescent="0.25">
      <c r="I413" s="3"/>
      <c r="J413" s="3"/>
      <c r="N413" s="1"/>
      <c r="O413" s="1"/>
    </row>
    <row r="414" spans="9:15" x14ac:dyDescent="0.25">
      <c r="I414" s="3"/>
      <c r="J414" s="3"/>
      <c r="N414" s="1"/>
      <c r="O414" s="1"/>
    </row>
    <row r="415" spans="9:15" x14ac:dyDescent="0.25">
      <c r="I415" s="3"/>
      <c r="J415" s="3"/>
      <c r="N415" s="1"/>
      <c r="O415" s="1"/>
    </row>
    <row r="416" spans="9:15" x14ac:dyDescent="0.25">
      <c r="I416" s="3"/>
      <c r="J416" s="3"/>
      <c r="N416" s="1"/>
      <c r="O416" s="1"/>
    </row>
    <row r="417" spans="9:15" x14ac:dyDescent="0.25">
      <c r="I417" s="3"/>
      <c r="J417" s="3"/>
      <c r="N417" s="1"/>
      <c r="O417" s="1"/>
    </row>
    <row r="418" spans="9:15" x14ac:dyDescent="0.25">
      <c r="I418" s="3"/>
      <c r="J418" s="3"/>
      <c r="N418" s="1"/>
      <c r="O418" s="1"/>
    </row>
    <row r="419" spans="9:15" x14ac:dyDescent="0.25">
      <c r="I419" s="3"/>
      <c r="J419" s="3"/>
      <c r="N419" s="1"/>
      <c r="O419" s="1"/>
    </row>
    <row r="420" spans="9:15" x14ac:dyDescent="0.25">
      <c r="I420" s="3"/>
      <c r="J420" s="3"/>
      <c r="N420" s="1"/>
      <c r="O420" s="1"/>
    </row>
    <row r="421" spans="9:15" x14ac:dyDescent="0.25">
      <c r="I421" s="3"/>
      <c r="J421" s="3"/>
      <c r="N421" s="1"/>
      <c r="O421" s="1"/>
    </row>
    <row r="422" spans="9:15" x14ac:dyDescent="0.25">
      <c r="I422" s="3"/>
      <c r="J422" s="3"/>
      <c r="N422" s="1"/>
      <c r="O422" s="1"/>
    </row>
    <row r="423" spans="9:15" x14ac:dyDescent="0.25">
      <c r="I423" s="3"/>
      <c r="J423" s="3"/>
      <c r="N423" s="1"/>
      <c r="O423" s="1"/>
    </row>
    <row r="424" spans="9:15" x14ac:dyDescent="0.25">
      <c r="I424" s="3"/>
      <c r="J424" s="3"/>
      <c r="N424" s="1"/>
      <c r="O424" s="1"/>
    </row>
    <row r="425" spans="9:15" x14ac:dyDescent="0.25">
      <c r="I425" s="3"/>
      <c r="J425" s="3"/>
      <c r="N425" s="1"/>
      <c r="O425" s="1"/>
    </row>
    <row r="426" spans="9:15" x14ac:dyDescent="0.25">
      <c r="I426" s="3"/>
      <c r="J426" s="3"/>
      <c r="N426" s="1"/>
      <c r="O426" s="1"/>
    </row>
    <row r="427" spans="9:15" x14ac:dyDescent="0.25">
      <c r="I427" s="3"/>
      <c r="J427" s="3"/>
      <c r="N427" s="1"/>
      <c r="O427" s="1"/>
    </row>
    <row r="428" spans="9:15" x14ac:dyDescent="0.25">
      <c r="I428" s="3"/>
      <c r="J428" s="3"/>
      <c r="N428" s="1"/>
      <c r="O428" s="1"/>
    </row>
    <row r="429" spans="9:15" x14ac:dyDescent="0.25">
      <c r="I429" s="3"/>
      <c r="J429" s="3"/>
      <c r="N429" s="1"/>
      <c r="O429" s="1"/>
    </row>
    <row r="430" spans="9:15" x14ac:dyDescent="0.25">
      <c r="I430" s="3"/>
      <c r="J430" s="3"/>
      <c r="N430" s="1"/>
      <c r="O430" s="1"/>
    </row>
    <row r="431" spans="9:15" x14ac:dyDescent="0.25">
      <c r="I431" s="3"/>
      <c r="J431" s="3"/>
      <c r="N431" s="1"/>
      <c r="O431" s="1"/>
    </row>
    <row r="432" spans="9:15" x14ac:dyDescent="0.25">
      <c r="I432" s="3"/>
      <c r="J432" s="3"/>
      <c r="N432" s="1"/>
      <c r="O432" s="1"/>
    </row>
    <row r="433" spans="9:15" x14ac:dyDescent="0.25">
      <c r="I433" s="3"/>
      <c r="J433" s="3"/>
      <c r="N433" s="1"/>
      <c r="O433" s="1"/>
    </row>
    <row r="434" spans="9:15" x14ac:dyDescent="0.25">
      <c r="I434" s="3"/>
      <c r="J434" s="3"/>
      <c r="N434" s="1"/>
      <c r="O434" s="1"/>
    </row>
    <row r="435" spans="9:15" x14ac:dyDescent="0.25">
      <c r="I435" s="3"/>
      <c r="J435" s="3"/>
      <c r="N435" s="1"/>
      <c r="O435" s="1"/>
    </row>
    <row r="436" spans="9:15" x14ac:dyDescent="0.25">
      <c r="I436" s="3"/>
      <c r="J436" s="3"/>
      <c r="N436" s="1"/>
      <c r="O436" s="1"/>
    </row>
    <row r="437" spans="9:15" x14ac:dyDescent="0.25">
      <c r="I437" s="3"/>
      <c r="J437" s="3"/>
      <c r="N437" s="1"/>
      <c r="O437" s="1"/>
    </row>
    <row r="438" spans="9:15" x14ac:dyDescent="0.25">
      <c r="I438" s="3"/>
      <c r="J438" s="3"/>
      <c r="N438" s="1"/>
      <c r="O438" s="1"/>
    </row>
    <row r="439" spans="9:15" x14ac:dyDescent="0.25">
      <c r="I439" s="3"/>
      <c r="J439" s="3"/>
      <c r="N439" s="1"/>
      <c r="O439" s="1"/>
    </row>
    <row r="440" spans="9:15" x14ac:dyDescent="0.25">
      <c r="I440" s="3"/>
      <c r="J440" s="3"/>
      <c r="N440" s="1"/>
      <c r="O440" s="1"/>
    </row>
    <row r="441" spans="9:15" x14ac:dyDescent="0.25">
      <c r="I441" s="3"/>
      <c r="J441" s="3"/>
      <c r="N441" s="1"/>
      <c r="O441" s="1"/>
    </row>
    <row r="442" spans="9:15" x14ac:dyDescent="0.25">
      <c r="I442" s="3"/>
      <c r="J442" s="3"/>
      <c r="N442" s="1"/>
      <c r="O442" s="1"/>
    </row>
    <row r="443" spans="9:15" x14ac:dyDescent="0.25">
      <c r="I443" s="3"/>
      <c r="J443" s="3"/>
      <c r="N443" s="1"/>
      <c r="O443" s="1"/>
    </row>
    <row r="444" spans="9:15" x14ac:dyDescent="0.25">
      <c r="I444" s="3"/>
      <c r="J444" s="3"/>
      <c r="N444" s="1"/>
      <c r="O444" s="1"/>
    </row>
    <row r="445" spans="9:15" x14ac:dyDescent="0.25">
      <c r="I445" s="3"/>
      <c r="J445" s="3"/>
      <c r="N445" s="1"/>
      <c r="O445" s="1"/>
    </row>
    <row r="446" spans="9:15" x14ac:dyDescent="0.25">
      <c r="I446" s="3"/>
      <c r="J446" s="3"/>
      <c r="N446" s="1"/>
      <c r="O446" s="1"/>
    </row>
    <row r="447" spans="9:15" x14ac:dyDescent="0.25">
      <c r="I447" s="3"/>
      <c r="J447" s="3"/>
      <c r="N447" s="1"/>
      <c r="O447" s="1"/>
    </row>
    <row r="448" spans="9:15" x14ac:dyDescent="0.25">
      <c r="I448" s="3"/>
      <c r="J448" s="3"/>
      <c r="N448" s="1"/>
      <c r="O448" s="1"/>
    </row>
    <row r="449" spans="9:15" x14ac:dyDescent="0.25">
      <c r="I449" s="3"/>
      <c r="J449" s="3"/>
      <c r="N449" s="1"/>
      <c r="O449" s="1"/>
    </row>
    <row r="450" spans="9:15" x14ac:dyDescent="0.25">
      <c r="I450" s="3"/>
      <c r="J450" s="3"/>
      <c r="N450" s="1"/>
      <c r="O450" s="1"/>
    </row>
    <row r="451" spans="9:15" x14ac:dyDescent="0.25">
      <c r="I451" s="3"/>
      <c r="J451" s="3"/>
      <c r="N451" s="1"/>
      <c r="O451" s="1"/>
    </row>
    <row r="452" spans="9:15" x14ac:dyDescent="0.25">
      <c r="I452" s="3"/>
      <c r="J452" s="3"/>
      <c r="N452" s="1"/>
      <c r="O452" s="1"/>
    </row>
    <row r="453" spans="9:15" x14ac:dyDescent="0.25">
      <c r="I453" s="3"/>
      <c r="J453" s="3"/>
      <c r="N453" s="1"/>
      <c r="O453" s="1"/>
    </row>
    <row r="454" spans="9:15" x14ac:dyDescent="0.25">
      <c r="I454" s="3"/>
      <c r="J454" s="3"/>
      <c r="N454" s="1"/>
      <c r="O454" s="1"/>
    </row>
    <row r="455" spans="9:15" x14ac:dyDescent="0.25">
      <c r="I455" s="3"/>
      <c r="J455" s="3"/>
      <c r="N455" s="1"/>
      <c r="O455" s="1"/>
    </row>
    <row r="456" spans="9:15" x14ac:dyDescent="0.25">
      <c r="I456" s="3"/>
      <c r="J456" s="3"/>
      <c r="N456" s="1"/>
      <c r="O456" s="1"/>
    </row>
    <row r="457" spans="9:15" x14ac:dyDescent="0.25">
      <c r="I457" s="3"/>
      <c r="J457" s="3"/>
      <c r="N457" s="1"/>
      <c r="O457" s="1"/>
    </row>
    <row r="458" spans="9:15" x14ac:dyDescent="0.25">
      <c r="I458" s="3"/>
      <c r="J458" s="3"/>
      <c r="N458" s="1"/>
      <c r="O458" s="1"/>
    </row>
    <row r="459" spans="9:15" x14ac:dyDescent="0.25">
      <c r="I459" s="3"/>
      <c r="J459" s="3"/>
      <c r="N459" s="1"/>
      <c r="O459" s="1"/>
    </row>
    <row r="460" spans="9:15" x14ac:dyDescent="0.25">
      <c r="I460" s="3"/>
      <c r="J460" s="3"/>
      <c r="N460" s="1"/>
      <c r="O460" s="1"/>
    </row>
    <row r="461" spans="9:15" x14ac:dyDescent="0.25">
      <c r="I461" s="3"/>
      <c r="J461" s="3"/>
      <c r="N461" s="1"/>
      <c r="O461" s="1"/>
    </row>
    <row r="462" spans="9:15" x14ac:dyDescent="0.25">
      <c r="I462" s="3"/>
      <c r="J462" s="3"/>
      <c r="N462" s="1"/>
      <c r="O462" s="1"/>
    </row>
    <row r="463" spans="9:15" x14ac:dyDescent="0.25">
      <c r="I463" s="3"/>
      <c r="J463" s="3"/>
      <c r="N463" s="1"/>
      <c r="O463" s="1"/>
    </row>
    <row r="464" spans="9:15" x14ac:dyDescent="0.25">
      <c r="I464" s="3"/>
      <c r="J464" s="3"/>
      <c r="N464" s="1"/>
      <c r="O464" s="1"/>
    </row>
    <row r="465" spans="9:15" x14ac:dyDescent="0.25">
      <c r="I465" s="3"/>
      <c r="J465" s="3"/>
      <c r="N465" s="1"/>
      <c r="O465" s="1"/>
    </row>
    <row r="466" spans="9:15" x14ac:dyDescent="0.25">
      <c r="I466" s="3"/>
      <c r="J466" s="3"/>
      <c r="N466" s="1"/>
      <c r="O466" s="1"/>
    </row>
    <row r="467" spans="9:15" x14ac:dyDescent="0.25">
      <c r="I467" s="3"/>
      <c r="J467" s="3"/>
      <c r="N467" s="1"/>
      <c r="O467" s="1"/>
    </row>
    <row r="468" spans="9:15" x14ac:dyDescent="0.25">
      <c r="I468" s="3"/>
      <c r="J468" s="3"/>
      <c r="N468" s="1"/>
      <c r="O468" s="1"/>
    </row>
    <row r="469" spans="9:15" x14ac:dyDescent="0.25">
      <c r="I469" s="3"/>
      <c r="J469" s="3"/>
      <c r="N469" s="1"/>
      <c r="O469" s="1"/>
    </row>
    <row r="470" spans="9:15" x14ac:dyDescent="0.25">
      <c r="I470" s="3"/>
      <c r="J470" s="3"/>
      <c r="N470" s="1"/>
      <c r="O470" s="1"/>
    </row>
    <row r="471" spans="9:15" x14ac:dyDescent="0.25">
      <c r="I471" s="3"/>
      <c r="J471" s="3"/>
      <c r="N471" s="1"/>
      <c r="O471" s="1"/>
    </row>
    <row r="472" spans="9:15" x14ac:dyDescent="0.25">
      <c r="I472" s="3"/>
      <c r="J472" s="3"/>
      <c r="N472" s="1"/>
      <c r="O472" s="1"/>
    </row>
    <row r="473" spans="9:15" x14ac:dyDescent="0.25">
      <c r="I473" s="3"/>
      <c r="J473" s="3"/>
      <c r="N473" s="1"/>
      <c r="O473" s="1"/>
    </row>
    <row r="474" spans="9:15" x14ac:dyDescent="0.25">
      <c r="I474" s="3"/>
      <c r="J474" s="3"/>
      <c r="N474" s="1"/>
      <c r="O474" s="1"/>
    </row>
    <row r="475" spans="9:15" x14ac:dyDescent="0.25">
      <c r="I475" s="3"/>
      <c r="J475" s="3"/>
      <c r="N475" s="1"/>
      <c r="O475" s="1"/>
    </row>
    <row r="476" spans="9:15" x14ac:dyDescent="0.25">
      <c r="I476" s="3"/>
      <c r="J476" s="3"/>
      <c r="N476" s="1"/>
      <c r="O476" s="1"/>
    </row>
    <row r="477" spans="9:15" x14ac:dyDescent="0.25">
      <c r="I477" s="3"/>
      <c r="J477" s="3"/>
      <c r="N477" s="1"/>
      <c r="O477" s="1"/>
    </row>
    <row r="478" spans="9:15" x14ac:dyDescent="0.25">
      <c r="I478" s="3"/>
      <c r="J478" s="3"/>
      <c r="N478" s="1"/>
      <c r="O478" s="1"/>
    </row>
    <row r="479" spans="9:15" x14ac:dyDescent="0.25">
      <c r="I479" s="3"/>
      <c r="J479" s="3"/>
      <c r="N479" s="1"/>
      <c r="O479" s="1"/>
    </row>
    <row r="480" spans="9:15" x14ac:dyDescent="0.25">
      <c r="I480" s="3"/>
      <c r="J480" s="3"/>
      <c r="N480" s="1"/>
      <c r="O480" s="1"/>
    </row>
    <row r="481" spans="9:15" x14ac:dyDescent="0.25">
      <c r="I481" s="3"/>
      <c r="J481" s="3"/>
      <c r="N481" s="1"/>
      <c r="O481" s="1"/>
    </row>
    <row r="482" spans="9:15" x14ac:dyDescent="0.25">
      <c r="I482" s="3"/>
      <c r="J482" s="3"/>
      <c r="N482" s="1"/>
      <c r="O482" s="1"/>
    </row>
    <row r="483" spans="9:15" x14ac:dyDescent="0.25">
      <c r="I483" s="3"/>
      <c r="J483" s="3"/>
      <c r="N483" s="1"/>
      <c r="O483" s="1"/>
    </row>
    <row r="484" spans="9:15" x14ac:dyDescent="0.25">
      <c r="I484" s="3"/>
      <c r="J484" s="3"/>
      <c r="N484" s="1"/>
      <c r="O484" s="1"/>
    </row>
    <row r="485" spans="9:15" x14ac:dyDescent="0.25">
      <c r="I485" s="3"/>
      <c r="J485" s="3"/>
      <c r="N485" s="1"/>
      <c r="O485" s="1"/>
    </row>
    <row r="486" spans="9:15" x14ac:dyDescent="0.25">
      <c r="I486" s="3"/>
      <c r="J486" s="3"/>
      <c r="N486" s="1"/>
      <c r="O486" s="1"/>
    </row>
    <row r="487" spans="9:15" x14ac:dyDescent="0.25">
      <c r="I487" s="3"/>
      <c r="J487" s="3"/>
      <c r="N487" s="1"/>
      <c r="O487" s="1"/>
    </row>
    <row r="488" spans="9:15" x14ac:dyDescent="0.25">
      <c r="I488" s="3"/>
      <c r="J488" s="3"/>
      <c r="N488" s="1"/>
      <c r="O488" s="1"/>
    </row>
    <row r="489" spans="9:15" x14ac:dyDescent="0.25">
      <c r="I489" s="3"/>
      <c r="J489" s="3"/>
      <c r="N489" s="1"/>
      <c r="O489" s="1"/>
    </row>
    <row r="490" spans="9:15" x14ac:dyDescent="0.25">
      <c r="I490" s="3"/>
      <c r="J490" s="3"/>
      <c r="N490" s="1"/>
      <c r="O490" s="1"/>
    </row>
    <row r="491" spans="9:15" x14ac:dyDescent="0.25">
      <c r="I491" s="3"/>
      <c r="J491" s="3"/>
      <c r="N491" s="1"/>
      <c r="O491" s="1"/>
    </row>
    <row r="492" spans="9:15" x14ac:dyDescent="0.25">
      <c r="I492" s="3"/>
      <c r="J492" s="3"/>
      <c r="N492" s="1"/>
      <c r="O492" s="1"/>
    </row>
    <row r="493" spans="9:15" x14ac:dyDescent="0.25">
      <c r="I493" s="3"/>
      <c r="J493" s="3"/>
      <c r="N493" s="1"/>
      <c r="O493" s="1"/>
    </row>
    <row r="494" spans="9:15" x14ac:dyDescent="0.25">
      <c r="I494" s="3"/>
      <c r="J494" s="3"/>
      <c r="N494" s="1"/>
      <c r="O494" s="1"/>
    </row>
    <row r="495" spans="9:15" x14ac:dyDescent="0.25">
      <c r="I495" s="3"/>
      <c r="J495" s="3"/>
      <c r="N495" s="1"/>
      <c r="O495" s="1"/>
    </row>
    <row r="496" spans="9:15" x14ac:dyDescent="0.25">
      <c r="I496" s="3"/>
      <c r="J496" s="3"/>
      <c r="N496" s="1"/>
      <c r="O496" s="1"/>
    </row>
    <row r="497" spans="9:15" x14ac:dyDescent="0.25">
      <c r="I497" s="3"/>
      <c r="J497" s="3"/>
      <c r="N497" s="1"/>
      <c r="O497" s="1"/>
    </row>
    <row r="498" spans="9:15" x14ac:dyDescent="0.25">
      <c r="I498" s="3"/>
      <c r="J498" s="3"/>
      <c r="N498" s="1"/>
      <c r="O498" s="1"/>
    </row>
    <row r="499" spans="9:15" x14ac:dyDescent="0.25">
      <c r="I499" s="3"/>
      <c r="J499" s="3"/>
      <c r="N499" s="1"/>
      <c r="O499" s="1"/>
    </row>
    <row r="500" spans="9:15" x14ac:dyDescent="0.25">
      <c r="I500" s="3"/>
      <c r="J500" s="3"/>
      <c r="N500" s="1"/>
      <c r="O500" s="1"/>
    </row>
    <row r="501" spans="9:15" x14ac:dyDescent="0.25">
      <c r="I501" s="3"/>
      <c r="J501" s="3"/>
      <c r="N501" s="1"/>
      <c r="O501" s="1"/>
    </row>
    <row r="502" spans="9:15" x14ac:dyDescent="0.25">
      <c r="I502" s="3"/>
      <c r="J502" s="3"/>
      <c r="N502" s="1"/>
      <c r="O502" s="1"/>
    </row>
    <row r="503" spans="9:15" x14ac:dyDescent="0.25">
      <c r="I503" s="3"/>
      <c r="J503" s="3"/>
      <c r="N503" s="1"/>
      <c r="O503" s="1"/>
    </row>
    <row r="504" spans="9:15" x14ac:dyDescent="0.25">
      <c r="I504" s="3"/>
      <c r="J504" s="3"/>
      <c r="N504" s="1"/>
      <c r="O504" s="1"/>
    </row>
    <row r="505" spans="9:15" x14ac:dyDescent="0.25">
      <c r="I505" s="3"/>
      <c r="J505" s="3"/>
      <c r="N505" s="1"/>
      <c r="O505" s="1"/>
    </row>
    <row r="506" spans="9:15" x14ac:dyDescent="0.25">
      <c r="I506" s="3"/>
      <c r="J506" s="3"/>
      <c r="N506" s="1"/>
      <c r="O506" s="1"/>
    </row>
    <row r="507" spans="9:15" x14ac:dyDescent="0.25">
      <c r="I507" s="3"/>
      <c r="J507" s="3"/>
      <c r="N507" s="1"/>
      <c r="O507" s="1"/>
    </row>
    <row r="508" spans="9:15" x14ac:dyDescent="0.25">
      <c r="I508" s="3"/>
      <c r="J508" s="3"/>
      <c r="N508" s="1"/>
      <c r="O508" s="1"/>
    </row>
    <row r="509" spans="9:15" x14ac:dyDescent="0.25">
      <c r="I509" s="3"/>
      <c r="J509" s="3"/>
      <c r="N509" s="1"/>
      <c r="O509" s="1"/>
    </row>
    <row r="510" spans="9:15" x14ac:dyDescent="0.25">
      <c r="I510" s="3"/>
      <c r="J510" s="3"/>
      <c r="N510" s="1"/>
      <c r="O510" s="1"/>
    </row>
    <row r="511" spans="9:15" x14ac:dyDescent="0.25">
      <c r="I511" s="3"/>
      <c r="J511" s="3"/>
      <c r="N511" s="1"/>
      <c r="O511" s="1"/>
    </row>
    <row r="512" spans="9:15" x14ac:dyDescent="0.25">
      <c r="I512" s="3"/>
      <c r="J512" s="3"/>
      <c r="N512" s="1"/>
      <c r="O512" s="1"/>
    </row>
    <row r="513" spans="9:15" x14ac:dyDescent="0.25">
      <c r="I513" s="3"/>
      <c r="J513" s="3"/>
      <c r="N513" s="1"/>
      <c r="O513" s="1"/>
    </row>
    <row r="514" spans="9:15" x14ac:dyDescent="0.25">
      <c r="I514" s="3"/>
      <c r="J514" s="3"/>
      <c r="N514" s="1"/>
      <c r="O514" s="1"/>
    </row>
    <row r="515" spans="9:15" x14ac:dyDescent="0.25">
      <c r="I515" s="3"/>
      <c r="J515" s="3"/>
      <c r="N515" s="1"/>
      <c r="O515" s="1"/>
    </row>
    <row r="516" spans="9:15" x14ac:dyDescent="0.25">
      <c r="I516" s="3"/>
      <c r="J516" s="3"/>
      <c r="N516" s="1"/>
      <c r="O516" s="1"/>
    </row>
    <row r="517" spans="9:15" x14ac:dyDescent="0.25">
      <c r="I517" s="3"/>
      <c r="J517" s="3"/>
      <c r="N517" s="1"/>
      <c r="O517" s="1"/>
    </row>
    <row r="518" spans="9:15" x14ac:dyDescent="0.25">
      <c r="I518" s="3"/>
      <c r="J518" s="3"/>
      <c r="N518" s="1"/>
      <c r="O518" s="1"/>
    </row>
    <row r="519" spans="9:15" x14ac:dyDescent="0.25">
      <c r="I519" s="3"/>
      <c r="J519" s="3"/>
      <c r="N519" s="1"/>
      <c r="O519" s="1"/>
    </row>
    <row r="520" spans="9:15" x14ac:dyDescent="0.25">
      <c r="I520" s="3"/>
      <c r="J520" s="3"/>
      <c r="N520" s="1"/>
      <c r="O520" s="1"/>
    </row>
    <row r="521" spans="9:15" x14ac:dyDescent="0.25">
      <c r="I521" s="3"/>
      <c r="J521" s="3"/>
      <c r="N521" s="1"/>
      <c r="O521" s="1"/>
    </row>
    <row r="522" spans="9:15" x14ac:dyDescent="0.25">
      <c r="I522" s="3"/>
      <c r="J522" s="3"/>
      <c r="N522" s="1"/>
      <c r="O522" s="1"/>
    </row>
    <row r="523" spans="9:15" x14ac:dyDescent="0.25">
      <c r="I523" s="3"/>
      <c r="J523" s="3"/>
      <c r="N523" s="1"/>
      <c r="O523" s="1"/>
    </row>
    <row r="524" spans="9:15" x14ac:dyDescent="0.25">
      <c r="I524" s="3"/>
      <c r="J524" s="3"/>
      <c r="N524" s="1"/>
      <c r="O524" s="1"/>
    </row>
    <row r="525" spans="9:15" x14ac:dyDescent="0.25">
      <c r="I525" s="3"/>
      <c r="J525" s="3"/>
      <c r="N525" s="1"/>
      <c r="O525" s="1"/>
    </row>
    <row r="526" spans="9:15" x14ac:dyDescent="0.25">
      <c r="I526" s="3"/>
      <c r="J526" s="3"/>
      <c r="N526" s="1"/>
      <c r="O526" s="1"/>
    </row>
    <row r="527" spans="9:15" x14ac:dyDescent="0.25">
      <c r="I527" s="3"/>
      <c r="J527" s="3"/>
      <c r="N527" s="1"/>
      <c r="O527" s="1"/>
    </row>
    <row r="528" spans="9:15" x14ac:dyDescent="0.25">
      <c r="I528" s="3"/>
      <c r="J528" s="3"/>
      <c r="N528" s="1"/>
      <c r="O528" s="1"/>
    </row>
    <row r="529" spans="9:15" x14ac:dyDescent="0.25">
      <c r="I529" s="3"/>
      <c r="J529" s="3"/>
      <c r="N529" s="1"/>
      <c r="O529" s="1"/>
    </row>
    <row r="530" spans="9:15" x14ac:dyDescent="0.25">
      <c r="I530" s="3"/>
      <c r="J530" s="3"/>
      <c r="N530" s="1"/>
      <c r="O530" s="1"/>
    </row>
    <row r="531" spans="9:15" x14ac:dyDescent="0.25">
      <c r="I531" s="3"/>
      <c r="J531" s="3"/>
      <c r="N531" s="1"/>
      <c r="O531" s="1"/>
    </row>
    <row r="532" spans="9:15" x14ac:dyDescent="0.25">
      <c r="I532" s="3"/>
      <c r="J532" s="3"/>
      <c r="N532" s="1"/>
      <c r="O532" s="1"/>
    </row>
    <row r="533" spans="9:15" x14ac:dyDescent="0.25">
      <c r="I533" s="3"/>
      <c r="J533" s="3"/>
      <c r="N533" s="1"/>
      <c r="O533" s="1"/>
    </row>
    <row r="534" spans="9:15" x14ac:dyDescent="0.25">
      <c r="I534" s="3"/>
      <c r="J534" s="3"/>
      <c r="N534" s="1"/>
      <c r="O534" s="1"/>
    </row>
    <row r="535" spans="9:15" x14ac:dyDescent="0.25">
      <c r="I535" s="3"/>
      <c r="J535" s="3"/>
      <c r="N535" s="1"/>
      <c r="O535" s="1"/>
    </row>
    <row r="536" spans="9:15" x14ac:dyDescent="0.25">
      <c r="I536" s="3"/>
      <c r="J536" s="3"/>
      <c r="N536" s="1"/>
      <c r="O536" s="1"/>
    </row>
    <row r="537" spans="9:15" x14ac:dyDescent="0.25">
      <c r="I537" s="3"/>
      <c r="J537" s="3"/>
      <c r="N537" s="1"/>
      <c r="O537" s="1"/>
    </row>
    <row r="538" spans="9:15" x14ac:dyDescent="0.25">
      <c r="I538" s="3"/>
      <c r="J538" s="3"/>
      <c r="N538" s="1"/>
      <c r="O538" s="1"/>
    </row>
    <row r="539" spans="9:15" x14ac:dyDescent="0.25">
      <c r="I539" s="3"/>
      <c r="J539" s="3"/>
      <c r="N539" s="1"/>
      <c r="O539" s="1"/>
    </row>
    <row r="540" spans="9:15" x14ac:dyDescent="0.25">
      <c r="I540" s="3"/>
      <c r="J540" s="3"/>
      <c r="N540" s="1"/>
      <c r="O540" s="1"/>
    </row>
    <row r="541" spans="9:15" x14ac:dyDescent="0.25">
      <c r="I541" s="3"/>
      <c r="J541" s="3"/>
      <c r="N541" s="1"/>
      <c r="O541" s="1"/>
    </row>
    <row r="542" spans="9:15" x14ac:dyDescent="0.25">
      <c r="I542" s="3"/>
      <c r="J542" s="3"/>
      <c r="N542" s="1"/>
      <c r="O542" s="1"/>
    </row>
    <row r="543" spans="9:15" x14ac:dyDescent="0.25">
      <c r="I543" s="3"/>
      <c r="J543" s="3"/>
      <c r="N543" s="1"/>
      <c r="O543" s="1"/>
    </row>
    <row r="544" spans="9:15" x14ac:dyDescent="0.25">
      <c r="I544" s="3"/>
      <c r="J544" s="3"/>
      <c r="N544" s="1"/>
      <c r="O544" s="1"/>
    </row>
    <row r="545" spans="9:15" x14ac:dyDescent="0.25">
      <c r="I545" s="3"/>
      <c r="J545" s="3"/>
      <c r="N545" s="1"/>
      <c r="O545" s="1"/>
    </row>
    <row r="546" spans="9:15" x14ac:dyDescent="0.25">
      <c r="I546" s="3"/>
      <c r="J546" s="3"/>
      <c r="N546" s="1"/>
      <c r="O546" s="1"/>
    </row>
    <row r="547" spans="9:15" x14ac:dyDescent="0.25">
      <c r="I547" s="3"/>
      <c r="J547" s="3"/>
      <c r="N547" s="1"/>
      <c r="O547" s="1"/>
    </row>
    <row r="548" spans="9:15" x14ac:dyDescent="0.25">
      <c r="I548" s="3"/>
      <c r="J548" s="3"/>
      <c r="N548" s="1"/>
      <c r="O548" s="1"/>
    </row>
    <row r="549" spans="9:15" x14ac:dyDescent="0.25">
      <c r="I549" s="3"/>
      <c r="J549" s="3"/>
      <c r="N549" s="1"/>
      <c r="O549" s="1"/>
    </row>
    <row r="550" spans="9:15" x14ac:dyDescent="0.25">
      <c r="I550" s="3"/>
      <c r="J550" s="3"/>
      <c r="N550" s="1"/>
      <c r="O550" s="1"/>
    </row>
    <row r="551" spans="9:15" x14ac:dyDescent="0.25">
      <c r="I551" s="3"/>
      <c r="J551" s="3"/>
      <c r="N551" s="1"/>
      <c r="O551" s="1"/>
    </row>
    <row r="552" spans="9:15" x14ac:dyDescent="0.25">
      <c r="I552" s="3"/>
      <c r="J552" s="3"/>
      <c r="N552" s="1"/>
      <c r="O552" s="1"/>
    </row>
    <row r="553" spans="9:15" x14ac:dyDescent="0.25">
      <c r="I553" s="3"/>
      <c r="J553" s="3"/>
      <c r="N553" s="1"/>
      <c r="O553" s="1"/>
    </row>
    <row r="554" spans="9:15" x14ac:dyDescent="0.25">
      <c r="I554" s="3"/>
      <c r="J554" s="3"/>
      <c r="N554" s="1"/>
      <c r="O554" s="1"/>
    </row>
    <row r="555" spans="9:15" x14ac:dyDescent="0.25">
      <c r="I555" s="3"/>
      <c r="J555" s="3"/>
      <c r="N555" s="1"/>
      <c r="O555" s="1"/>
    </row>
    <row r="556" spans="9:15" x14ac:dyDescent="0.25">
      <c r="I556" s="3"/>
      <c r="J556" s="3"/>
      <c r="N556" s="1"/>
      <c r="O556" s="1"/>
    </row>
    <row r="557" spans="9:15" x14ac:dyDescent="0.25">
      <c r="I557" s="3"/>
      <c r="J557" s="3"/>
      <c r="N557" s="1"/>
      <c r="O557" s="1"/>
    </row>
    <row r="558" spans="9:15" x14ac:dyDescent="0.25">
      <c r="I558" s="3"/>
      <c r="J558" s="3"/>
      <c r="N558" s="1"/>
      <c r="O558" s="1"/>
    </row>
    <row r="559" spans="9:15" x14ac:dyDescent="0.25">
      <c r="I559" s="3"/>
      <c r="J559" s="3"/>
      <c r="N559" s="1"/>
      <c r="O559" s="1"/>
    </row>
    <row r="560" spans="9:15" x14ac:dyDescent="0.25">
      <c r="I560" s="3"/>
      <c r="J560" s="3"/>
      <c r="N560" s="1"/>
      <c r="O560" s="1"/>
    </row>
    <row r="561" spans="9:15" x14ac:dyDescent="0.25">
      <c r="I561" s="3"/>
      <c r="J561" s="3"/>
      <c r="N561" s="1"/>
      <c r="O561" s="1"/>
    </row>
    <row r="562" spans="9:15" x14ac:dyDescent="0.25">
      <c r="I562" s="3"/>
      <c r="J562" s="3"/>
      <c r="N562" s="1"/>
      <c r="O562" s="1"/>
    </row>
    <row r="563" spans="9:15" x14ac:dyDescent="0.25">
      <c r="I563" s="3"/>
      <c r="J563" s="3"/>
      <c r="N563" s="1"/>
      <c r="O563" s="1"/>
    </row>
    <row r="564" spans="9:15" x14ac:dyDescent="0.25">
      <c r="I564" s="3"/>
      <c r="J564" s="3"/>
      <c r="N564" s="1"/>
      <c r="O564" s="1"/>
    </row>
    <row r="565" spans="9:15" x14ac:dyDescent="0.25">
      <c r="I565" s="3"/>
      <c r="J565" s="3"/>
      <c r="N565" s="1"/>
      <c r="O565" s="1"/>
    </row>
    <row r="566" spans="9:15" x14ac:dyDescent="0.25">
      <c r="I566" s="3"/>
      <c r="J566" s="3"/>
      <c r="N566" s="1"/>
      <c r="O566" s="1"/>
    </row>
    <row r="567" spans="9:15" x14ac:dyDescent="0.25">
      <c r="I567" s="3"/>
      <c r="J567" s="3"/>
      <c r="N567" s="1"/>
      <c r="O567" s="1"/>
    </row>
    <row r="568" spans="9:15" x14ac:dyDescent="0.25">
      <c r="I568" s="3"/>
      <c r="J568" s="3"/>
      <c r="N568" s="1"/>
      <c r="O568" s="1"/>
    </row>
    <row r="569" spans="9:15" x14ac:dyDescent="0.25">
      <c r="I569" s="3"/>
      <c r="J569" s="3"/>
      <c r="N569" s="1"/>
      <c r="O569" s="1"/>
    </row>
    <row r="570" spans="9:15" x14ac:dyDescent="0.25">
      <c r="I570" s="3"/>
      <c r="J570" s="3"/>
      <c r="N570" s="1"/>
      <c r="O570" s="1"/>
    </row>
    <row r="571" spans="9:15" x14ac:dyDescent="0.25">
      <c r="I571" s="3"/>
      <c r="J571" s="3"/>
      <c r="N571" s="1"/>
      <c r="O571" s="1"/>
    </row>
    <row r="572" spans="9:15" x14ac:dyDescent="0.25">
      <c r="I572" s="3"/>
      <c r="J572" s="3"/>
      <c r="N572" s="1"/>
      <c r="O572" s="1"/>
    </row>
    <row r="573" spans="9:15" x14ac:dyDescent="0.25">
      <c r="I573" s="3"/>
      <c r="J573" s="3"/>
      <c r="N573" s="1"/>
      <c r="O573" s="1"/>
    </row>
    <row r="574" spans="9:15" x14ac:dyDescent="0.25">
      <c r="I574" s="3"/>
      <c r="J574" s="3"/>
      <c r="N574" s="1"/>
      <c r="O574" s="1"/>
    </row>
    <row r="575" spans="9:15" x14ac:dyDescent="0.25">
      <c r="I575" s="3"/>
      <c r="J575" s="3"/>
      <c r="N575" s="1"/>
      <c r="O575" s="1"/>
    </row>
    <row r="576" spans="9:15" x14ac:dyDescent="0.25">
      <c r="I576" s="3"/>
      <c r="J576" s="3"/>
      <c r="N576" s="1"/>
      <c r="O576" s="1"/>
    </row>
    <row r="577" spans="9:15" x14ac:dyDescent="0.25">
      <c r="I577" s="3"/>
      <c r="J577" s="3"/>
      <c r="N577" s="1"/>
      <c r="O577" s="1"/>
    </row>
    <row r="578" spans="9:15" x14ac:dyDescent="0.25">
      <c r="I578" s="3"/>
      <c r="J578" s="3"/>
      <c r="N578" s="1"/>
      <c r="O578" s="1"/>
    </row>
    <row r="579" spans="9:15" x14ac:dyDescent="0.25">
      <c r="I579" s="3"/>
      <c r="J579" s="3"/>
      <c r="N579" s="1"/>
      <c r="O579" s="1"/>
    </row>
    <row r="580" spans="9:15" x14ac:dyDescent="0.25">
      <c r="I580" s="3"/>
      <c r="J580" s="3"/>
      <c r="N580" s="1"/>
      <c r="O580" s="1"/>
    </row>
    <row r="581" spans="9:15" x14ac:dyDescent="0.25">
      <c r="I581" s="3"/>
      <c r="J581" s="3"/>
      <c r="N581" s="1"/>
      <c r="O581" s="1"/>
    </row>
    <row r="582" spans="9:15" x14ac:dyDescent="0.25">
      <c r="I582" s="3"/>
      <c r="J582" s="3"/>
      <c r="N582" s="1"/>
      <c r="O582" s="1"/>
    </row>
    <row r="583" spans="9:15" x14ac:dyDescent="0.25">
      <c r="I583" s="3"/>
      <c r="J583" s="3"/>
      <c r="N583" s="1"/>
      <c r="O583" s="1"/>
    </row>
    <row r="584" spans="9:15" x14ac:dyDescent="0.25">
      <c r="I584" s="3"/>
      <c r="J584" s="3"/>
      <c r="N584" s="1"/>
      <c r="O584" s="1"/>
    </row>
    <row r="585" spans="9:15" x14ac:dyDescent="0.25">
      <c r="I585" s="3"/>
      <c r="J585" s="3"/>
      <c r="N585" s="1"/>
      <c r="O585" s="1"/>
    </row>
    <row r="586" spans="9:15" x14ac:dyDescent="0.25">
      <c r="I586" s="3"/>
      <c r="J586" s="3"/>
      <c r="N586" s="1"/>
      <c r="O586" s="1"/>
    </row>
    <row r="587" spans="9:15" x14ac:dyDescent="0.25">
      <c r="I587" s="3"/>
      <c r="J587" s="3"/>
      <c r="N587" s="1"/>
      <c r="O587" s="1"/>
    </row>
    <row r="588" spans="9:15" x14ac:dyDescent="0.25">
      <c r="I588" s="3"/>
      <c r="J588" s="3"/>
      <c r="N588" s="1"/>
      <c r="O588" s="1"/>
    </row>
    <row r="589" spans="9:15" x14ac:dyDescent="0.25">
      <c r="I589" s="3"/>
      <c r="J589" s="3"/>
      <c r="N589" s="1"/>
      <c r="O589" s="1"/>
    </row>
    <row r="590" spans="9:15" x14ac:dyDescent="0.25">
      <c r="I590" s="3"/>
      <c r="J590" s="3"/>
      <c r="N590" s="1"/>
      <c r="O590" s="1"/>
    </row>
    <row r="591" spans="9:15" x14ac:dyDescent="0.25">
      <c r="I591" s="3"/>
      <c r="J591" s="3"/>
      <c r="N591" s="1"/>
      <c r="O591" s="1"/>
    </row>
    <row r="592" spans="9:15" x14ac:dyDescent="0.25">
      <c r="I592" s="3"/>
      <c r="J592" s="3"/>
      <c r="N592" s="1"/>
      <c r="O592" s="1"/>
    </row>
    <row r="593" spans="9:15" x14ac:dyDescent="0.25">
      <c r="I593" s="3"/>
      <c r="J593" s="3"/>
      <c r="N593" s="1"/>
      <c r="O593" s="1"/>
    </row>
    <row r="594" spans="9:15" x14ac:dyDescent="0.25">
      <c r="I594" s="3"/>
      <c r="J594" s="3"/>
      <c r="N594" s="1"/>
      <c r="O594" s="1"/>
    </row>
    <row r="595" spans="9:15" x14ac:dyDescent="0.25">
      <c r="I595" s="3"/>
      <c r="J595" s="3"/>
      <c r="N595" s="1"/>
      <c r="O595" s="1"/>
    </row>
    <row r="596" spans="9:15" x14ac:dyDescent="0.25">
      <c r="I596" s="3"/>
      <c r="J596" s="3"/>
      <c r="N596" s="1"/>
      <c r="O596" s="1"/>
    </row>
    <row r="597" spans="9:15" x14ac:dyDescent="0.25">
      <c r="I597" s="3"/>
      <c r="J597" s="3"/>
      <c r="N597" s="1"/>
      <c r="O597" s="1"/>
    </row>
    <row r="598" spans="9:15" x14ac:dyDescent="0.25">
      <c r="I598" s="3"/>
      <c r="J598" s="3"/>
      <c r="N598" s="1"/>
      <c r="O598" s="1"/>
    </row>
    <row r="599" spans="9:15" x14ac:dyDescent="0.25">
      <c r="I599" s="3"/>
      <c r="J599" s="3"/>
      <c r="N599" s="1"/>
      <c r="O599" s="1"/>
    </row>
    <row r="600" spans="9:15" x14ac:dyDescent="0.25">
      <c r="I600" s="3"/>
      <c r="J600" s="3"/>
      <c r="N600" s="1"/>
      <c r="O600" s="1"/>
    </row>
    <row r="601" spans="9:15" x14ac:dyDescent="0.25">
      <c r="I601" s="3"/>
      <c r="J601" s="3"/>
      <c r="N601" s="1"/>
      <c r="O601" s="1"/>
    </row>
    <row r="602" spans="9:15" x14ac:dyDescent="0.25">
      <c r="I602" s="3"/>
      <c r="J602" s="3"/>
      <c r="N602" s="1"/>
      <c r="O602" s="1"/>
    </row>
    <row r="603" spans="9:15" x14ac:dyDescent="0.25">
      <c r="I603" s="3"/>
      <c r="J603" s="3"/>
      <c r="N603" s="1"/>
      <c r="O603" s="1"/>
    </row>
    <row r="604" spans="9:15" x14ac:dyDescent="0.25">
      <c r="I604" s="3"/>
      <c r="J604" s="3"/>
      <c r="N604" s="1"/>
      <c r="O604" s="1"/>
    </row>
    <row r="605" spans="9:15" x14ac:dyDescent="0.25">
      <c r="I605" s="3"/>
      <c r="J605" s="3"/>
      <c r="N605" s="1"/>
      <c r="O605" s="1"/>
    </row>
    <row r="606" spans="9:15" x14ac:dyDescent="0.25">
      <c r="I606" s="3"/>
      <c r="J606" s="3"/>
      <c r="N606" s="1"/>
      <c r="O606" s="1"/>
    </row>
    <row r="607" spans="9:15" x14ac:dyDescent="0.25">
      <c r="I607" s="3"/>
      <c r="J607" s="3"/>
      <c r="N607" s="1"/>
      <c r="O607" s="1"/>
    </row>
    <row r="608" spans="9:15" x14ac:dyDescent="0.25">
      <c r="I608" s="3"/>
      <c r="J608" s="3"/>
      <c r="N608" s="1"/>
      <c r="O608" s="1"/>
    </row>
    <row r="609" spans="9:15" x14ac:dyDescent="0.25">
      <c r="I609" s="3"/>
      <c r="J609" s="3"/>
      <c r="N609" s="1"/>
      <c r="O609" s="1"/>
    </row>
    <row r="610" spans="9:15" x14ac:dyDescent="0.25">
      <c r="I610" s="3"/>
      <c r="J610" s="3"/>
      <c r="N610" s="1"/>
      <c r="O610" s="1"/>
    </row>
    <row r="611" spans="9:15" x14ac:dyDescent="0.25">
      <c r="I611" s="3"/>
      <c r="J611" s="3"/>
      <c r="N611" s="1"/>
      <c r="O611" s="1"/>
    </row>
    <row r="612" spans="9:15" x14ac:dyDescent="0.25">
      <c r="I612" s="3"/>
      <c r="J612" s="3"/>
      <c r="N612" s="1"/>
      <c r="O612" s="1"/>
    </row>
    <row r="613" spans="9:15" x14ac:dyDescent="0.25">
      <c r="I613" s="3"/>
      <c r="J613" s="3"/>
      <c r="N613" s="1"/>
      <c r="O613" s="1"/>
    </row>
    <row r="614" spans="9:15" x14ac:dyDescent="0.25">
      <c r="I614" s="3"/>
      <c r="J614" s="3"/>
      <c r="N614" s="1"/>
      <c r="O614" s="1"/>
    </row>
    <row r="615" spans="9:15" x14ac:dyDescent="0.25">
      <c r="I615" s="3"/>
      <c r="J615" s="3"/>
      <c r="N615" s="1"/>
      <c r="O615" s="1"/>
    </row>
    <row r="616" spans="9:15" x14ac:dyDescent="0.25">
      <c r="I616" s="3"/>
      <c r="J616" s="3"/>
      <c r="N616" s="1"/>
      <c r="O616" s="1"/>
    </row>
    <row r="617" spans="9:15" x14ac:dyDescent="0.25">
      <c r="I617" s="3"/>
      <c r="J617" s="3"/>
      <c r="N617" s="1"/>
      <c r="O617" s="1"/>
    </row>
    <row r="618" spans="9:15" x14ac:dyDescent="0.25">
      <c r="I618" s="3"/>
      <c r="J618" s="3"/>
      <c r="N618" s="1"/>
      <c r="O618" s="1"/>
    </row>
    <row r="619" spans="9:15" x14ac:dyDescent="0.25">
      <c r="I619" s="3"/>
      <c r="J619" s="3"/>
      <c r="N619" s="1"/>
      <c r="O619" s="1"/>
    </row>
    <row r="620" spans="9:15" x14ac:dyDescent="0.25">
      <c r="I620" s="3"/>
      <c r="J620" s="3"/>
      <c r="N620" s="1"/>
      <c r="O620" s="1"/>
    </row>
    <row r="621" spans="9:15" x14ac:dyDescent="0.25">
      <c r="I621" s="3"/>
      <c r="J621" s="3"/>
      <c r="N621" s="1"/>
      <c r="O621" s="1"/>
    </row>
    <row r="622" spans="9:15" x14ac:dyDescent="0.25">
      <c r="I622" s="3"/>
      <c r="J622" s="3"/>
      <c r="N622" s="1"/>
      <c r="O622" s="1"/>
    </row>
    <row r="623" spans="9:15" x14ac:dyDescent="0.25">
      <c r="I623" s="3"/>
      <c r="J623" s="3"/>
      <c r="N623" s="1"/>
      <c r="O623" s="1"/>
    </row>
    <row r="624" spans="9:15" x14ac:dyDescent="0.25">
      <c r="I624" s="3"/>
      <c r="J624" s="3"/>
      <c r="N624" s="1"/>
      <c r="O624" s="1"/>
    </row>
    <row r="625" spans="9:15" x14ac:dyDescent="0.25">
      <c r="I625" s="3"/>
      <c r="J625" s="3"/>
      <c r="N625" s="1"/>
      <c r="O625" s="1"/>
    </row>
    <row r="626" spans="9:15" x14ac:dyDescent="0.25">
      <c r="I626" s="3"/>
      <c r="J626" s="3"/>
      <c r="N626" s="1"/>
      <c r="O626" s="1"/>
    </row>
    <row r="627" spans="9:15" x14ac:dyDescent="0.25">
      <c r="I627" s="3"/>
      <c r="J627" s="3"/>
      <c r="N627" s="1"/>
      <c r="O627" s="1"/>
    </row>
    <row r="628" spans="9:15" x14ac:dyDescent="0.25">
      <c r="I628" s="3"/>
      <c r="J628" s="3"/>
      <c r="N628" s="1"/>
      <c r="O628" s="1"/>
    </row>
    <row r="629" spans="9:15" x14ac:dyDescent="0.25">
      <c r="I629" s="3"/>
      <c r="J629" s="3"/>
      <c r="N629" s="1"/>
      <c r="O629" s="1"/>
    </row>
    <row r="630" spans="9:15" x14ac:dyDescent="0.25">
      <c r="I630" s="3"/>
      <c r="J630" s="3"/>
      <c r="N630" s="1"/>
      <c r="O630" s="1"/>
    </row>
    <row r="631" spans="9:15" x14ac:dyDescent="0.25">
      <c r="I631" s="3"/>
      <c r="J631" s="3"/>
      <c r="N631" s="1"/>
      <c r="O631" s="1"/>
    </row>
    <row r="632" spans="9:15" x14ac:dyDescent="0.25">
      <c r="I632" s="3"/>
      <c r="J632" s="3"/>
      <c r="N632" s="1"/>
      <c r="O632" s="1"/>
    </row>
    <row r="633" spans="9:15" x14ac:dyDescent="0.25">
      <c r="I633" s="3"/>
      <c r="J633" s="3"/>
      <c r="N633" s="1"/>
      <c r="O633" s="1"/>
    </row>
    <row r="634" spans="9:15" x14ac:dyDescent="0.25">
      <c r="I634" s="3"/>
      <c r="J634" s="3"/>
      <c r="N634" s="1"/>
      <c r="O634" s="1"/>
    </row>
    <row r="635" spans="9:15" x14ac:dyDescent="0.25">
      <c r="I635" s="3"/>
      <c r="J635" s="3"/>
      <c r="N635" s="1"/>
      <c r="O635" s="1"/>
    </row>
    <row r="636" spans="9:15" x14ac:dyDescent="0.25">
      <c r="I636" s="3"/>
      <c r="J636" s="3"/>
      <c r="N636" s="1"/>
      <c r="O636" s="1"/>
    </row>
    <row r="637" spans="9:15" x14ac:dyDescent="0.25">
      <c r="I637" s="3"/>
      <c r="J637" s="3"/>
      <c r="N637" s="1"/>
      <c r="O637" s="1"/>
    </row>
    <row r="638" spans="9:15" x14ac:dyDescent="0.25">
      <c r="I638" s="3"/>
      <c r="J638" s="3"/>
      <c r="N638" s="1"/>
      <c r="O638" s="1"/>
    </row>
    <row r="639" spans="9:15" x14ac:dyDescent="0.25">
      <c r="I639" s="3"/>
      <c r="J639" s="3"/>
      <c r="N639" s="1"/>
      <c r="O639" s="1"/>
    </row>
    <row r="640" spans="9:15" x14ac:dyDescent="0.25">
      <c r="I640" s="3"/>
      <c r="J640" s="3"/>
      <c r="N640" s="1"/>
      <c r="O640" s="1"/>
    </row>
    <row r="641" spans="9:15" x14ac:dyDescent="0.25">
      <c r="I641" s="3"/>
      <c r="J641" s="3"/>
      <c r="N641" s="1"/>
      <c r="O641" s="1"/>
    </row>
    <row r="642" spans="9:15" x14ac:dyDescent="0.25">
      <c r="I642" s="3"/>
      <c r="J642" s="3"/>
      <c r="N642" s="1"/>
      <c r="O642" s="1"/>
    </row>
    <row r="643" spans="9:15" x14ac:dyDescent="0.25">
      <c r="I643" s="3"/>
      <c r="J643" s="3"/>
      <c r="N643" s="1"/>
      <c r="O643" s="1"/>
    </row>
    <row r="644" spans="9:15" x14ac:dyDescent="0.25">
      <c r="I644" s="3"/>
      <c r="J644" s="3"/>
      <c r="N644" s="1"/>
      <c r="O644" s="1"/>
    </row>
    <row r="645" spans="9:15" x14ac:dyDescent="0.25">
      <c r="I645" s="3"/>
      <c r="J645" s="3"/>
      <c r="N645" s="1"/>
      <c r="O645" s="1"/>
    </row>
    <row r="646" spans="9:15" x14ac:dyDescent="0.25">
      <c r="I646" s="3"/>
      <c r="J646" s="3"/>
      <c r="N646" s="1"/>
      <c r="O646" s="1"/>
    </row>
    <row r="647" spans="9:15" x14ac:dyDescent="0.25">
      <c r="I647" s="3"/>
      <c r="J647" s="3"/>
      <c r="N647" s="1"/>
      <c r="O647" s="1"/>
    </row>
    <row r="648" spans="9:15" x14ac:dyDescent="0.25">
      <c r="I648" s="3"/>
      <c r="J648" s="3"/>
      <c r="N648" s="1"/>
      <c r="O648" s="1"/>
    </row>
    <row r="649" spans="9:15" x14ac:dyDescent="0.25">
      <c r="I649" s="3"/>
      <c r="J649" s="3"/>
      <c r="N649" s="1"/>
      <c r="O649" s="1"/>
    </row>
    <row r="650" spans="9:15" x14ac:dyDescent="0.25">
      <c r="I650" s="3"/>
      <c r="J650" s="3"/>
      <c r="N650" s="1"/>
      <c r="O650" s="1"/>
    </row>
    <row r="651" spans="9:15" x14ac:dyDescent="0.25">
      <c r="I651" s="3"/>
      <c r="J651" s="3"/>
      <c r="N651" s="1"/>
      <c r="O651" s="1"/>
    </row>
    <row r="652" spans="9:15" x14ac:dyDescent="0.25">
      <c r="I652" s="3"/>
      <c r="J652" s="3"/>
      <c r="N652" s="1"/>
      <c r="O652" s="1"/>
    </row>
    <row r="653" spans="9:15" x14ac:dyDescent="0.25">
      <c r="I653" s="3"/>
      <c r="J653" s="3"/>
      <c r="N653" s="1"/>
      <c r="O653" s="1"/>
    </row>
    <row r="654" spans="9:15" x14ac:dyDescent="0.25">
      <c r="I654" s="3"/>
      <c r="J654" s="3"/>
      <c r="N654" s="1"/>
      <c r="O654" s="1"/>
    </row>
    <row r="655" spans="9:15" x14ac:dyDescent="0.25">
      <c r="I655" s="3"/>
      <c r="J655" s="3"/>
      <c r="N655" s="1"/>
      <c r="O655" s="1"/>
    </row>
    <row r="656" spans="9:15" x14ac:dyDescent="0.25">
      <c r="I656" s="3"/>
      <c r="J656" s="3"/>
      <c r="N656" s="1"/>
      <c r="O656" s="1"/>
    </row>
    <row r="657" spans="9:15" x14ac:dyDescent="0.25">
      <c r="I657" s="3"/>
      <c r="J657" s="3"/>
      <c r="N657" s="1"/>
      <c r="O657" s="1"/>
    </row>
    <row r="658" spans="9:15" x14ac:dyDescent="0.25">
      <c r="I658" s="3"/>
      <c r="J658" s="3"/>
      <c r="N658" s="1"/>
      <c r="O658" s="1"/>
    </row>
    <row r="659" spans="9:15" x14ac:dyDescent="0.25">
      <c r="I659" s="3"/>
      <c r="J659" s="3"/>
      <c r="N659" s="1"/>
      <c r="O659" s="1"/>
    </row>
    <row r="660" spans="9:15" x14ac:dyDescent="0.25">
      <c r="I660" s="3"/>
      <c r="J660" s="3"/>
      <c r="N660" s="1"/>
      <c r="O660" s="1"/>
    </row>
    <row r="661" spans="9:15" x14ac:dyDescent="0.25">
      <c r="I661" s="3"/>
      <c r="J661" s="3"/>
      <c r="N661" s="1"/>
      <c r="O661" s="1"/>
    </row>
    <row r="662" spans="9:15" x14ac:dyDescent="0.25">
      <c r="I662" s="3"/>
      <c r="J662" s="3"/>
      <c r="N662" s="1"/>
      <c r="O662" s="1"/>
    </row>
    <row r="663" spans="9:15" x14ac:dyDescent="0.25">
      <c r="I663" s="3"/>
      <c r="J663" s="3"/>
      <c r="N663" s="1"/>
      <c r="O663" s="1"/>
    </row>
    <row r="664" spans="9:15" x14ac:dyDescent="0.25">
      <c r="I664" s="3"/>
      <c r="J664" s="3"/>
      <c r="N664" s="1"/>
      <c r="O664" s="1"/>
    </row>
    <row r="665" spans="9:15" x14ac:dyDescent="0.25">
      <c r="I665" s="3"/>
      <c r="J665" s="3"/>
      <c r="N665" s="1"/>
      <c r="O665" s="1"/>
    </row>
    <row r="666" spans="9:15" x14ac:dyDescent="0.25">
      <c r="I666" s="3"/>
      <c r="J666" s="3"/>
      <c r="N666" s="1"/>
      <c r="O666" s="1"/>
    </row>
    <row r="667" spans="9:15" x14ac:dyDescent="0.25">
      <c r="I667" s="3"/>
      <c r="J667" s="3"/>
      <c r="N667" s="1"/>
      <c r="O667" s="1"/>
    </row>
    <row r="668" spans="9:15" x14ac:dyDescent="0.25">
      <c r="I668" s="3"/>
      <c r="J668" s="3"/>
      <c r="N668" s="1"/>
      <c r="O668" s="1"/>
    </row>
    <row r="669" spans="9:15" x14ac:dyDescent="0.25">
      <c r="I669" s="3"/>
      <c r="J669" s="3"/>
      <c r="N669" s="1"/>
      <c r="O669" s="1"/>
    </row>
    <row r="670" spans="9:15" x14ac:dyDescent="0.25">
      <c r="I670" s="3"/>
      <c r="J670" s="3"/>
      <c r="N670" s="1"/>
      <c r="O670" s="1"/>
    </row>
    <row r="671" spans="9:15" x14ac:dyDescent="0.25">
      <c r="I671" s="3"/>
      <c r="J671" s="3"/>
      <c r="N671" s="1"/>
      <c r="O671" s="1"/>
    </row>
    <row r="672" spans="9:15" x14ac:dyDescent="0.25">
      <c r="I672" s="3"/>
      <c r="J672" s="3"/>
      <c r="N672" s="1"/>
      <c r="O672" s="1"/>
    </row>
    <row r="673" spans="9:15" x14ac:dyDescent="0.25">
      <c r="I673" s="3"/>
      <c r="J673" s="3"/>
      <c r="N673" s="1"/>
      <c r="O673" s="1"/>
    </row>
    <row r="674" spans="9:15" x14ac:dyDescent="0.25">
      <c r="I674" s="3"/>
      <c r="J674" s="3"/>
      <c r="N674" s="1"/>
      <c r="O674" s="1"/>
    </row>
    <row r="675" spans="9:15" x14ac:dyDescent="0.25">
      <c r="I675" s="3"/>
      <c r="J675" s="3"/>
      <c r="N675" s="1"/>
      <c r="O675" s="1"/>
    </row>
    <row r="676" spans="9:15" x14ac:dyDescent="0.25">
      <c r="I676" s="3"/>
      <c r="J676" s="3"/>
      <c r="N676" s="1"/>
      <c r="O676" s="1"/>
    </row>
    <row r="677" spans="9:15" x14ac:dyDescent="0.25">
      <c r="I677" s="3"/>
      <c r="J677" s="3"/>
      <c r="N677" s="1"/>
      <c r="O677" s="1"/>
    </row>
    <row r="678" spans="9:15" x14ac:dyDescent="0.25">
      <c r="I678" s="3"/>
      <c r="J678" s="3"/>
      <c r="N678" s="1"/>
      <c r="O678" s="1"/>
    </row>
    <row r="679" spans="9:15" x14ac:dyDescent="0.25">
      <c r="I679" s="3"/>
      <c r="J679" s="3"/>
      <c r="N679" s="1"/>
      <c r="O679" s="1"/>
    </row>
    <row r="680" spans="9:15" x14ac:dyDescent="0.25">
      <c r="I680" s="3"/>
      <c r="J680" s="3"/>
      <c r="N680" s="1"/>
      <c r="O680" s="1"/>
    </row>
    <row r="681" spans="9:15" x14ac:dyDescent="0.25">
      <c r="I681" s="3"/>
      <c r="J681" s="3"/>
      <c r="N681" s="1"/>
      <c r="O681" s="1"/>
    </row>
    <row r="682" spans="9:15" x14ac:dyDescent="0.25">
      <c r="I682" s="3"/>
      <c r="J682" s="3"/>
      <c r="N682" s="1"/>
      <c r="O682" s="1"/>
    </row>
    <row r="683" spans="9:15" x14ac:dyDescent="0.25">
      <c r="I683" s="3"/>
      <c r="J683" s="3"/>
      <c r="N683" s="1"/>
      <c r="O683" s="1"/>
    </row>
    <row r="684" spans="9:15" x14ac:dyDescent="0.25">
      <c r="I684" s="3"/>
      <c r="J684" s="3"/>
      <c r="N684" s="1"/>
      <c r="O684" s="1"/>
    </row>
    <row r="685" spans="9:15" x14ac:dyDescent="0.25">
      <c r="I685" s="3"/>
      <c r="J685" s="3"/>
      <c r="N685" s="1"/>
      <c r="O685" s="1"/>
    </row>
    <row r="686" spans="9:15" x14ac:dyDescent="0.25">
      <c r="I686" s="3"/>
      <c r="J686" s="3"/>
      <c r="N686" s="1"/>
      <c r="O686" s="1"/>
    </row>
    <row r="687" spans="9:15" x14ac:dyDescent="0.25">
      <c r="I687" s="3"/>
      <c r="J687" s="3"/>
      <c r="N687" s="1"/>
      <c r="O687" s="1"/>
    </row>
    <row r="688" spans="9:15" x14ac:dyDescent="0.25">
      <c r="I688" s="3"/>
      <c r="J688" s="3"/>
      <c r="N688" s="1"/>
      <c r="O688" s="1"/>
    </row>
    <row r="689" spans="9:15" x14ac:dyDescent="0.25">
      <c r="I689" s="3"/>
      <c r="J689" s="3"/>
      <c r="N689" s="1"/>
      <c r="O689" s="1"/>
    </row>
    <row r="690" spans="9:15" x14ac:dyDescent="0.25">
      <c r="I690" s="3"/>
      <c r="J690" s="3"/>
      <c r="N690" s="1"/>
      <c r="O690" s="1"/>
    </row>
    <row r="691" spans="9:15" x14ac:dyDescent="0.25">
      <c r="I691" s="3"/>
      <c r="J691" s="3"/>
      <c r="N691" s="1"/>
      <c r="O691" s="1"/>
    </row>
    <row r="692" spans="9:15" x14ac:dyDescent="0.25">
      <c r="I692" s="3"/>
      <c r="J692" s="3"/>
      <c r="N692" s="1"/>
      <c r="O692" s="1"/>
    </row>
    <row r="693" spans="9:15" x14ac:dyDescent="0.25">
      <c r="I693" s="3"/>
      <c r="J693" s="3"/>
      <c r="N693" s="1"/>
      <c r="O693" s="1"/>
    </row>
    <row r="694" spans="9:15" x14ac:dyDescent="0.25">
      <c r="I694" s="3"/>
      <c r="J694" s="3"/>
      <c r="N694" s="1"/>
      <c r="O694" s="1"/>
    </row>
    <row r="695" spans="9:15" x14ac:dyDescent="0.25">
      <c r="I695" s="3"/>
      <c r="J695" s="3"/>
      <c r="N695" s="1"/>
      <c r="O695" s="1"/>
    </row>
    <row r="696" spans="9:15" x14ac:dyDescent="0.25">
      <c r="I696" s="3"/>
      <c r="J696" s="3"/>
      <c r="N696" s="1"/>
      <c r="O696" s="1"/>
    </row>
    <row r="697" spans="9:15" x14ac:dyDescent="0.25">
      <c r="I697" s="3"/>
      <c r="J697" s="3"/>
      <c r="N697" s="1"/>
      <c r="O697" s="1"/>
    </row>
    <row r="698" spans="9:15" x14ac:dyDescent="0.25">
      <c r="I698" s="3"/>
      <c r="J698" s="3"/>
      <c r="N698" s="1"/>
      <c r="O698" s="1"/>
    </row>
    <row r="699" spans="9:15" x14ac:dyDescent="0.25">
      <c r="I699" s="3"/>
      <c r="J699" s="3"/>
      <c r="N699" s="1"/>
      <c r="O699" s="1"/>
    </row>
    <row r="700" spans="9:15" x14ac:dyDescent="0.25">
      <c r="I700" s="3"/>
      <c r="J700" s="3"/>
      <c r="N700" s="1"/>
      <c r="O700" s="1"/>
    </row>
    <row r="701" spans="9:15" x14ac:dyDescent="0.25">
      <c r="I701" s="3"/>
      <c r="J701" s="3"/>
      <c r="N701" s="1"/>
      <c r="O701" s="1"/>
    </row>
    <row r="702" spans="9:15" x14ac:dyDescent="0.25">
      <c r="I702" s="3"/>
      <c r="J702" s="3"/>
      <c r="N702" s="1"/>
      <c r="O702" s="1"/>
    </row>
    <row r="703" spans="9:15" x14ac:dyDescent="0.25">
      <c r="I703" s="3"/>
      <c r="J703" s="3"/>
      <c r="N703" s="1"/>
      <c r="O703" s="1"/>
    </row>
    <row r="704" spans="9:15" x14ac:dyDescent="0.25">
      <c r="I704" s="3"/>
      <c r="J704" s="3"/>
      <c r="N704" s="1"/>
      <c r="O704" s="1"/>
    </row>
    <row r="705" spans="9:15" x14ac:dyDescent="0.25">
      <c r="I705" s="3"/>
      <c r="J705" s="3"/>
      <c r="N705" s="1"/>
      <c r="O705" s="1"/>
    </row>
    <row r="706" spans="9:15" x14ac:dyDescent="0.25">
      <c r="I706" s="3"/>
      <c r="J706" s="3"/>
      <c r="N706" s="1"/>
      <c r="O706" s="1"/>
    </row>
    <row r="707" spans="9:15" x14ac:dyDescent="0.25">
      <c r="I707" s="3"/>
      <c r="J707" s="3"/>
      <c r="N707" s="1"/>
      <c r="O707" s="1"/>
    </row>
    <row r="708" spans="9:15" x14ac:dyDescent="0.25">
      <c r="I708" s="3"/>
      <c r="J708" s="3"/>
      <c r="N708" s="1"/>
      <c r="O708" s="1"/>
    </row>
    <row r="709" spans="9:15" x14ac:dyDescent="0.25">
      <c r="I709" s="3"/>
      <c r="J709" s="3"/>
      <c r="N709" s="1"/>
      <c r="O709" s="1"/>
    </row>
    <row r="710" spans="9:15" x14ac:dyDescent="0.25">
      <c r="I710" s="3"/>
      <c r="J710" s="3"/>
      <c r="N710" s="1"/>
      <c r="O710" s="1"/>
    </row>
    <row r="711" spans="9:15" x14ac:dyDescent="0.25">
      <c r="I711" s="3"/>
      <c r="J711" s="3"/>
      <c r="N711" s="1"/>
      <c r="O711" s="1"/>
    </row>
    <row r="712" spans="9:15" x14ac:dyDescent="0.25">
      <c r="I712" s="3"/>
      <c r="J712" s="3"/>
      <c r="N712" s="1"/>
      <c r="O712" s="1"/>
    </row>
    <row r="713" spans="9:15" x14ac:dyDescent="0.25">
      <c r="I713" s="3"/>
      <c r="J713" s="3"/>
      <c r="N713" s="1"/>
      <c r="O713" s="1"/>
    </row>
    <row r="714" spans="9:15" x14ac:dyDescent="0.25">
      <c r="I714" s="3"/>
      <c r="J714" s="3"/>
      <c r="N714" s="1"/>
      <c r="O714" s="1"/>
    </row>
    <row r="715" spans="9:15" x14ac:dyDescent="0.25">
      <c r="I715" s="3"/>
      <c r="J715" s="3"/>
      <c r="N715" s="1"/>
      <c r="O715" s="1"/>
    </row>
    <row r="716" spans="9:15" x14ac:dyDescent="0.25">
      <c r="I716" s="3"/>
      <c r="J716" s="3"/>
      <c r="N716" s="1"/>
      <c r="O716" s="1"/>
    </row>
    <row r="717" spans="9:15" x14ac:dyDescent="0.25">
      <c r="I717" s="3"/>
      <c r="J717" s="3"/>
      <c r="N717" s="1"/>
      <c r="O717" s="1"/>
    </row>
    <row r="718" spans="9:15" x14ac:dyDescent="0.25">
      <c r="I718" s="3"/>
      <c r="J718" s="3"/>
      <c r="N718" s="1"/>
      <c r="O718" s="1"/>
    </row>
    <row r="719" spans="9:15" x14ac:dyDescent="0.25">
      <c r="I719" s="3"/>
      <c r="J719" s="3"/>
      <c r="N719" s="1"/>
      <c r="O719" s="1"/>
    </row>
    <row r="720" spans="9:15" x14ac:dyDescent="0.25">
      <c r="I720" s="3"/>
      <c r="J720" s="3"/>
      <c r="N720" s="1"/>
      <c r="O720" s="1"/>
    </row>
    <row r="721" spans="9:15" x14ac:dyDescent="0.25">
      <c r="I721" s="3"/>
      <c r="J721" s="3"/>
      <c r="N721" s="1"/>
      <c r="O721" s="1"/>
    </row>
    <row r="722" spans="9:15" x14ac:dyDescent="0.25">
      <c r="I722" s="3"/>
      <c r="J722" s="3"/>
      <c r="N722" s="1"/>
      <c r="O722" s="1"/>
    </row>
    <row r="723" spans="9:15" x14ac:dyDescent="0.25">
      <c r="I723" s="3"/>
      <c r="J723" s="3"/>
      <c r="N723" s="1"/>
      <c r="O723" s="1"/>
    </row>
    <row r="724" spans="9:15" x14ac:dyDescent="0.25">
      <c r="I724" s="3"/>
      <c r="J724" s="3"/>
      <c r="N724" s="1"/>
      <c r="O724" s="1"/>
    </row>
    <row r="725" spans="9:15" x14ac:dyDescent="0.25">
      <c r="I725" s="3"/>
      <c r="J725" s="3"/>
      <c r="N725" s="1"/>
      <c r="O725" s="1"/>
    </row>
    <row r="726" spans="9:15" x14ac:dyDescent="0.25">
      <c r="I726" s="3"/>
      <c r="J726" s="3"/>
      <c r="N726" s="1"/>
      <c r="O726" s="1"/>
    </row>
    <row r="727" spans="9:15" x14ac:dyDescent="0.25">
      <c r="I727" s="3"/>
      <c r="J727" s="3"/>
      <c r="N727" s="1"/>
      <c r="O727" s="1"/>
    </row>
    <row r="728" spans="9:15" x14ac:dyDescent="0.25">
      <c r="I728" s="3"/>
      <c r="J728" s="3"/>
      <c r="N728" s="1"/>
      <c r="O728" s="1"/>
    </row>
    <row r="729" spans="9:15" x14ac:dyDescent="0.25">
      <c r="I729" s="3"/>
      <c r="J729" s="3"/>
      <c r="N729" s="1"/>
      <c r="O729" s="1"/>
    </row>
    <row r="730" spans="9:15" x14ac:dyDescent="0.25">
      <c r="I730" s="3"/>
      <c r="J730" s="3"/>
      <c r="N730" s="1"/>
      <c r="O730" s="1"/>
    </row>
    <row r="731" spans="9:15" x14ac:dyDescent="0.25">
      <c r="I731" s="3"/>
      <c r="J731" s="3"/>
      <c r="N731" s="1"/>
      <c r="O731" s="1"/>
    </row>
    <row r="732" spans="9:15" x14ac:dyDescent="0.25">
      <c r="I732" s="3"/>
      <c r="J732" s="3"/>
      <c r="N732" s="1"/>
      <c r="O732" s="1"/>
    </row>
    <row r="733" spans="9:15" x14ac:dyDescent="0.25">
      <c r="I733" s="3"/>
      <c r="J733" s="3"/>
      <c r="N733" s="1"/>
      <c r="O733" s="1"/>
    </row>
    <row r="734" spans="9:15" x14ac:dyDescent="0.25">
      <c r="I734" s="3"/>
      <c r="J734" s="3"/>
      <c r="N734" s="1"/>
      <c r="O734" s="1"/>
    </row>
    <row r="735" spans="9:15" x14ac:dyDescent="0.25">
      <c r="I735" s="3"/>
      <c r="J735" s="3"/>
      <c r="N735" s="1"/>
      <c r="O735" s="1"/>
    </row>
    <row r="736" spans="9:15" x14ac:dyDescent="0.25">
      <c r="I736" s="3"/>
      <c r="J736" s="3"/>
      <c r="N736" s="1"/>
      <c r="O736" s="1"/>
    </row>
    <row r="737" spans="9:15" x14ac:dyDescent="0.25">
      <c r="I737" s="3"/>
      <c r="J737" s="3"/>
      <c r="N737" s="1"/>
      <c r="O737" s="1"/>
    </row>
    <row r="738" spans="9:15" x14ac:dyDescent="0.25">
      <c r="I738" s="3"/>
      <c r="J738" s="3"/>
      <c r="N738" s="1"/>
      <c r="O738" s="1"/>
    </row>
    <row r="739" spans="9:15" x14ac:dyDescent="0.25">
      <c r="I739" s="3"/>
      <c r="J739" s="3"/>
      <c r="N739" s="1"/>
      <c r="O739" s="1"/>
    </row>
    <row r="740" spans="9:15" x14ac:dyDescent="0.25">
      <c r="I740" s="3"/>
      <c r="J740" s="3"/>
      <c r="N740" s="1"/>
      <c r="O740" s="1"/>
    </row>
    <row r="741" spans="9:15" x14ac:dyDescent="0.25">
      <c r="I741" s="3"/>
      <c r="J741" s="3"/>
      <c r="N741" s="1"/>
      <c r="O741" s="1"/>
    </row>
    <row r="742" spans="9:15" x14ac:dyDescent="0.25">
      <c r="I742" s="3"/>
      <c r="J742" s="3"/>
      <c r="N742" s="1"/>
      <c r="O742" s="1"/>
    </row>
    <row r="743" spans="9:15" x14ac:dyDescent="0.25">
      <c r="I743" s="3"/>
      <c r="J743" s="3"/>
      <c r="N743" s="1"/>
      <c r="O743" s="1"/>
    </row>
    <row r="744" spans="9:15" x14ac:dyDescent="0.25">
      <c r="I744" s="3"/>
      <c r="J744" s="3"/>
      <c r="N744" s="1"/>
      <c r="O744" s="1"/>
    </row>
    <row r="745" spans="9:15" x14ac:dyDescent="0.25">
      <c r="I745" s="3"/>
      <c r="J745" s="3"/>
      <c r="N745" s="1"/>
      <c r="O745" s="1"/>
    </row>
    <row r="746" spans="9:15" x14ac:dyDescent="0.25">
      <c r="I746" s="3"/>
      <c r="J746" s="3"/>
      <c r="N746" s="1"/>
      <c r="O746" s="1"/>
    </row>
    <row r="747" spans="9:15" x14ac:dyDescent="0.25">
      <c r="I747" s="3"/>
      <c r="J747" s="3"/>
      <c r="N747" s="1"/>
      <c r="O747" s="1"/>
    </row>
    <row r="748" spans="9:15" x14ac:dyDescent="0.25">
      <c r="I748" s="3"/>
      <c r="J748" s="3"/>
      <c r="N748" s="1"/>
      <c r="O748" s="1"/>
    </row>
    <row r="749" spans="9:15" x14ac:dyDescent="0.25">
      <c r="I749" s="3"/>
      <c r="J749" s="3"/>
      <c r="N749" s="1"/>
      <c r="O749" s="1"/>
    </row>
    <row r="750" spans="9:15" x14ac:dyDescent="0.25">
      <c r="I750" s="3"/>
      <c r="J750" s="3"/>
      <c r="N750" s="1"/>
      <c r="O750" s="1"/>
    </row>
    <row r="751" spans="9:15" x14ac:dyDescent="0.25">
      <c r="I751" s="3"/>
      <c r="J751" s="3"/>
      <c r="N751" s="1"/>
      <c r="O751" s="1"/>
    </row>
    <row r="752" spans="9:15" x14ac:dyDescent="0.25">
      <c r="I752" s="3"/>
      <c r="J752" s="3"/>
      <c r="N752" s="1"/>
      <c r="O752" s="1"/>
    </row>
    <row r="753" spans="9:15" x14ac:dyDescent="0.25">
      <c r="I753" s="3"/>
      <c r="J753" s="3"/>
      <c r="N753" s="1"/>
      <c r="O753" s="1"/>
    </row>
    <row r="754" spans="9:15" x14ac:dyDescent="0.25">
      <c r="I754" s="3"/>
      <c r="J754" s="3"/>
      <c r="N754" s="1"/>
      <c r="O754" s="1"/>
    </row>
    <row r="755" spans="9:15" x14ac:dyDescent="0.25">
      <c r="I755" s="3"/>
      <c r="J755" s="3"/>
      <c r="N755" s="1"/>
      <c r="O755" s="1"/>
    </row>
    <row r="756" spans="9:15" x14ac:dyDescent="0.25">
      <c r="I756" s="3"/>
      <c r="J756" s="3"/>
      <c r="N756" s="1"/>
      <c r="O756" s="1"/>
    </row>
    <row r="757" spans="9:15" x14ac:dyDescent="0.25">
      <c r="I757" s="3"/>
      <c r="J757" s="3"/>
      <c r="N757" s="1"/>
      <c r="O757" s="1"/>
    </row>
    <row r="758" spans="9:15" x14ac:dyDescent="0.25">
      <c r="I758" s="3"/>
      <c r="J758" s="3"/>
      <c r="N758" s="1"/>
      <c r="O758" s="1"/>
    </row>
    <row r="759" spans="9:15" x14ac:dyDescent="0.25">
      <c r="I759" s="3"/>
      <c r="J759" s="3"/>
      <c r="N759" s="1"/>
      <c r="O759" s="1"/>
    </row>
    <row r="760" spans="9:15" x14ac:dyDescent="0.25">
      <c r="I760" s="3"/>
      <c r="J760" s="3"/>
      <c r="N760" s="1"/>
      <c r="O760" s="1"/>
    </row>
    <row r="761" spans="9:15" x14ac:dyDescent="0.25">
      <c r="I761" s="3"/>
      <c r="J761" s="3"/>
      <c r="N761" s="1"/>
      <c r="O761" s="1"/>
    </row>
    <row r="762" spans="9:15" x14ac:dyDescent="0.25">
      <c r="I762" s="3"/>
      <c r="J762" s="3"/>
      <c r="N762" s="1"/>
      <c r="O762" s="1"/>
    </row>
    <row r="763" spans="9:15" x14ac:dyDescent="0.25">
      <c r="I763" s="3"/>
      <c r="J763" s="3"/>
      <c r="N763" s="1"/>
      <c r="O763" s="1"/>
    </row>
    <row r="764" spans="9:15" x14ac:dyDescent="0.25">
      <c r="I764" s="3"/>
      <c r="J764" s="3"/>
      <c r="N764" s="1"/>
      <c r="O764" s="1"/>
    </row>
    <row r="765" spans="9:15" x14ac:dyDescent="0.25">
      <c r="I765" s="3"/>
      <c r="J765" s="3"/>
      <c r="N765" s="1"/>
      <c r="O765" s="1"/>
    </row>
    <row r="766" spans="9:15" x14ac:dyDescent="0.25">
      <c r="I766" s="3"/>
      <c r="J766" s="3"/>
      <c r="N766" s="1"/>
      <c r="O766" s="1"/>
    </row>
    <row r="767" spans="9:15" x14ac:dyDescent="0.25">
      <c r="I767" s="3"/>
      <c r="J767" s="3"/>
      <c r="N767" s="1"/>
      <c r="O767" s="1"/>
    </row>
    <row r="768" spans="9:15" x14ac:dyDescent="0.25">
      <c r="I768" s="3"/>
      <c r="J768" s="3"/>
      <c r="N768" s="1"/>
      <c r="O768" s="1"/>
    </row>
    <row r="769" spans="9:15" x14ac:dyDescent="0.25">
      <c r="I769" s="3"/>
      <c r="J769" s="3"/>
      <c r="N769" s="1"/>
      <c r="O769" s="1"/>
    </row>
    <row r="770" spans="9:15" x14ac:dyDescent="0.25">
      <c r="I770" s="3"/>
      <c r="J770" s="3"/>
      <c r="N770" s="1"/>
      <c r="O770" s="1"/>
    </row>
    <row r="771" spans="9:15" x14ac:dyDescent="0.25">
      <c r="I771" s="3"/>
      <c r="J771" s="3"/>
      <c r="N771" s="1"/>
      <c r="O771" s="1"/>
    </row>
    <row r="772" spans="9:15" x14ac:dyDescent="0.25">
      <c r="I772" s="3"/>
      <c r="J772" s="3"/>
      <c r="N772" s="1"/>
      <c r="O772" s="1"/>
    </row>
    <row r="773" spans="9:15" x14ac:dyDescent="0.25">
      <c r="I773" s="3"/>
      <c r="J773" s="3"/>
      <c r="N773" s="1"/>
      <c r="O773" s="1"/>
    </row>
    <row r="774" spans="9:15" x14ac:dyDescent="0.25">
      <c r="I774" s="3"/>
      <c r="J774" s="3"/>
      <c r="N774" s="1"/>
      <c r="O774" s="1"/>
    </row>
    <row r="775" spans="9:15" x14ac:dyDescent="0.25">
      <c r="I775" s="3"/>
      <c r="J775" s="3"/>
      <c r="N775" s="1"/>
      <c r="O775" s="1"/>
    </row>
    <row r="776" spans="9:15" x14ac:dyDescent="0.25">
      <c r="I776" s="3"/>
      <c r="J776" s="3"/>
      <c r="N776" s="1"/>
      <c r="O776" s="1"/>
    </row>
    <row r="777" spans="9:15" x14ac:dyDescent="0.25">
      <c r="I777" s="3"/>
      <c r="J777" s="3"/>
      <c r="N777" s="1"/>
      <c r="O777" s="1"/>
    </row>
    <row r="778" spans="9:15" x14ac:dyDescent="0.25">
      <c r="I778" s="3"/>
      <c r="J778" s="3"/>
      <c r="N778" s="1"/>
      <c r="O778" s="1"/>
    </row>
    <row r="779" spans="9:15" x14ac:dyDescent="0.25">
      <c r="I779" s="3"/>
      <c r="J779" s="3"/>
      <c r="N779" s="1"/>
      <c r="O779" s="1"/>
    </row>
    <row r="780" spans="9:15" x14ac:dyDescent="0.25">
      <c r="I780" s="3"/>
      <c r="J780" s="3"/>
      <c r="N780" s="1"/>
      <c r="O780" s="1"/>
    </row>
    <row r="781" spans="9:15" x14ac:dyDescent="0.25">
      <c r="I781" s="3"/>
      <c r="J781" s="3"/>
      <c r="N781" s="1"/>
      <c r="O781" s="1"/>
    </row>
    <row r="782" spans="9:15" x14ac:dyDescent="0.25">
      <c r="I782" s="3"/>
      <c r="J782" s="3"/>
      <c r="N782" s="1"/>
      <c r="O782" s="1"/>
    </row>
    <row r="783" spans="9:15" x14ac:dyDescent="0.25">
      <c r="I783" s="3"/>
      <c r="J783" s="3"/>
      <c r="N783" s="1"/>
      <c r="O783" s="1"/>
    </row>
    <row r="784" spans="9:15" x14ac:dyDescent="0.25">
      <c r="I784" s="3"/>
      <c r="J784" s="3"/>
      <c r="N784" s="1"/>
      <c r="O784" s="1"/>
    </row>
    <row r="785" spans="9:15" x14ac:dyDescent="0.25">
      <c r="I785" s="3"/>
      <c r="J785" s="3"/>
      <c r="N785" s="1"/>
      <c r="O785" s="1"/>
    </row>
    <row r="786" spans="9:15" x14ac:dyDescent="0.25">
      <c r="I786" s="3"/>
      <c r="J786" s="3"/>
      <c r="N786" s="1"/>
      <c r="O786" s="1"/>
    </row>
    <row r="787" spans="9:15" x14ac:dyDescent="0.25">
      <c r="I787" s="3"/>
      <c r="J787" s="3"/>
      <c r="N787" s="1"/>
      <c r="O787" s="1"/>
    </row>
    <row r="788" spans="9:15" x14ac:dyDescent="0.25">
      <c r="I788" s="3"/>
      <c r="J788" s="3"/>
      <c r="N788" s="1"/>
      <c r="O788" s="1"/>
    </row>
    <row r="789" spans="9:15" x14ac:dyDescent="0.25">
      <c r="I789" s="3"/>
      <c r="J789" s="3"/>
      <c r="N789" s="1"/>
      <c r="O789" s="1"/>
    </row>
    <row r="790" spans="9:15" x14ac:dyDescent="0.25">
      <c r="I790" s="3"/>
      <c r="J790" s="3"/>
      <c r="N790" s="1"/>
      <c r="O790" s="1"/>
    </row>
    <row r="791" spans="9:15" x14ac:dyDescent="0.25">
      <c r="I791" s="3"/>
      <c r="J791" s="3"/>
      <c r="N791" s="1"/>
      <c r="O791" s="1"/>
    </row>
    <row r="792" spans="9:15" x14ac:dyDescent="0.25">
      <c r="I792" s="3"/>
      <c r="J792" s="3"/>
      <c r="N792" s="1"/>
      <c r="O792" s="1"/>
    </row>
    <row r="793" spans="9:15" x14ac:dyDescent="0.25">
      <c r="I793" s="3"/>
      <c r="J793" s="3"/>
      <c r="N793" s="1"/>
      <c r="O793" s="1"/>
    </row>
    <row r="794" spans="9:15" x14ac:dyDescent="0.25">
      <c r="I794" s="3"/>
      <c r="J794" s="3"/>
      <c r="N794" s="1"/>
      <c r="O794" s="1"/>
    </row>
    <row r="795" spans="9:15" x14ac:dyDescent="0.25">
      <c r="I795" s="3"/>
      <c r="J795" s="3"/>
      <c r="N795" s="1"/>
      <c r="O795" s="1"/>
    </row>
    <row r="796" spans="9:15" x14ac:dyDescent="0.25">
      <c r="I796" s="3"/>
      <c r="J796" s="3"/>
      <c r="N796" s="1"/>
      <c r="O796" s="1"/>
    </row>
    <row r="797" spans="9:15" x14ac:dyDescent="0.25">
      <c r="I797" s="3"/>
      <c r="J797" s="3"/>
      <c r="N797" s="1"/>
      <c r="O797" s="1"/>
    </row>
    <row r="798" spans="9:15" x14ac:dyDescent="0.25">
      <c r="I798" s="3"/>
      <c r="J798" s="3"/>
      <c r="N798" s="1"/>
      <c r="O798" s="1"/>
    </row>
    <row r="799" spans="9:15" x14ac:dyDescent="0.25">
      <c r="I799" s="3"/>
      <c r="J799" s="3"/>
      <c r="N799" s="1"/>
      <c r="O799" s="1"/>
    </row>
    <row r="800" spans="9:15" x14ac:dyDescent="0.25">
      <c r="I800" s="3"/>
      <c r="J800" s="3"/>
      <c r="N800" s="1"/>
      <c r="O800" s="1"/>
    </row>
    <row r="801" spans="9:15" x14ac:dyDescent="0.25">
      <c r="I801" s="3"/>
      <c r="J801" s="3"/>
      <c r="N801" s="1"/>
      <c r="O801" s="1"/>
    </row>
    <row r="802" spans="9:15" x14ac:dyDescent="0.25">
      <c r="I802" s="3"/>
      <c r="J802" s="3"/>
      <c r="N802" s="1"/>
      <c r="O802" s="1"/>
    </row>
    <row r="803" spans="9:15" x14ac:dyDescent="0.25">
      <c r="I803" s="3"/>
      <c r="J803" s="3"/>
      <c r="N803" s="1"/>
      <c r="O803" s="1"/>
    </row>
    <row r="804" spans="9:15" x14ac:dyDescent="0.25">
      <c r="I804" s="3"/>
      <c r="J804" s="3"/>
      <c r="N804" s="1"/>
      <c r="O804" s="1"/>
    </row>
    <row r="805" spans="9:15" x14ac:dyDescent="0.25">
      <c r="I805" s="3"/>
      <c r="J805" s="3"/>
      <c r="N805" s="1"/>
      <c r="O805" s="1"/>
    </row>
    <row r="806" spans="9:15" x14ac:dyDescent="0.25">
      <c r="I806" s="3"/>
      <c r="J806" s="3"/>
      <c r="N806" s="1"/>
      <c r="O806" s="1"/>
    </row>
    <row r="807" spans="9:15" x14ac:dyDescent="0.25">
      <c r="I807" s="3"/>
      <c r="J807" s="3"/>
      <c r="N807" s="1"/>
      <c r="O807" s="1"/>
    </row>
    <row r="808" spans="9:15" x14ac:dyDescent="0.25">
      <c r="I808" s="3"/>
      <c r="J808" s="3"/>
      <c r="N808" s="1"/>
      <c r="O808" s="1"/>
    </row>
    <row r="809" spans="9:15" x14ac:dyDescent="0.25">
      <c r="I809" s="3"/>
      <c r="J809" s="3"/>
      <c r="N809" s="1"/>
      <c r="O809" s="1"/>
    </row>
    <row r="810" spans="9:15" x14ac:dyDescent="0.25">
      <c r="I810" s="3"/>
      <c r="J810" s="3"/>
      <c r="N810" s="1"/>
      <c r="O810" s="1"/>
    </row>
    <row r="811" spans="9:15" x14ac:dyDescent="0.25">
      <c r="I811" s="3"/>
      <c r="J811" s="3"/>
      <c r="N811" s="1"/>
      <c r="O811" s="1"/>
    </row>
    <row r="812" spans="9:15" x14ac:dyDescent="0.25">
      <c r="I812" s="3"/>
      <c r="J812" s="3"/>
      <c r="N812" s="1"/>
      <c r="O812" s="1"/>
    </row>
    <row r="813" spans="9:15" x14ac:dyDescent="0.25">
      <c r="I813" s="3"/>
      <c r="J813" s="3"/>
      <c r="N813" s="1"/>
      <c r="O813" s="1"/>
    </row>
    <row r="814" spans="9:15" x14ac:dyDescent="0.25">
      <c r="I814" s="3"/>
      <c r="J814" s="3"/>
      <c r="N814" s="1"/>
      <c r="O814" s="1"/>
    </row>
    <row r="815" spans="9:15" x14ac:dyDescent="0.25">
      <c r="I815" s="3"/>
      <c r="J815" s="3"/>
      <c r="N815" s="1"/>
      <c r="O815" s="1"/>
    </row>
    <row r="816" spans="9:15" x14ac:dyDescent="0.25">
      <c r="I816" s="3"/>
      <c r="J816" s="3"/>
      <c r="N816" s="1"/>
      <c r="O816" s="1"/>
    </row>
    <row r="817" spans="9:15" x14ac:dyDescent="0.25">
      <c r="I817" s="3"/>
      <c r="J817" s="3"/>
      <c r="N817" s="1"/>
      <c r="O817" s="1"/>
    </row>
    <row r="818" spans="9:15" x14ac:dyDescent="0.25">
      <c r="I818" s="3"/>
      <c r="J818" s="3"/>
      <c r="N818" s="1"/>
      <c r="O818" s="1"/>
    </row>
    <row r="819" spans="9:15" x14ac:dyDescent="0.25">
      <c r="I819" s="3"/>
      <c r="J819" s="3"/>
      <c r="N819" s="1"/>
      <c r="O819" s="1"/>
    </row>
    <row r="820" spans="9:15" x14ac:dyDescent="0.25">
      <c r="I820" s="3"/>
      <c r="J820" s="3"/>
      <c r="N820" s="1"/>
      <c r="O820" s="1"/>
    </row>
    <row r="821" spans="9:15" x14ac:dyDescent="0.25">
      <c r="I821" s="3"/>
      <c r="J821" s="3"/>
      <c r="N821" s="1"/>
      <c r="O821" s="1"/>
    </row>
    <row r="822" spans="9:15" x14ac:dyDescent="0.25">
      <c r="I822" s="3"/>
      <c r="J822" s="3"/>
      <c r="N822" s="1"/>
      <c r="O822" s="1"/>
    </row>
    <row r="823" spans="9:15" x14ac:dyDescent="0.25">
      <c r="I823" s="3"/>
      <c r="J823" s="3"/>
      <c r="N823" s="1"/>
      <c r="O823" s="1"/>
    </row>
    <row r="824" spans="9:15" x14ac:dyDescent="0.25">
      <c r="I824" s="3"/>
      <c r="J824" s="3"/>
      <c r="N824" s="1"/>
      <c r="O824" s="1"/>
    </row>
    <row r="825" spans="9:15" x14ac:dyDescent="0.25">
      <c r="I825" s="3"/>
      <c r="J825" s="3"/>
      <c r="N825" s="1"/>
      <c r="O825" s="1"/>
    </row>
    <row r="826" spans="9:15" x14ac:dyDescent="0.25">
      <c r="I826" s="3"/>
      <c r="J826" s="3"/>
      <c r="N826" s="1"/>
      <c r="O826" s="1"/>
    </row>
    <row r="827" spans="9:15" x14ac:dyDescent="0.25">
      <c r="I827" s="3"/>
      <c r="J827" s="3"/>
      <c r="N827" s="1"/>
      <c r="O827" s="1"/>
    </row>
    <row r="828" spans="9:15" x14ac:dyDescent="0.25">
      <c r="I828" s="3"/>
      <c r="J828" s="3"/>
      <c r="N828" s="1"/>
      <c r="O828" s="1"/>
    </row>
    <row r="829" spans="9:15" x14ac:dyDescent="0.25">
      <c r="I829" s="3"/>
      <c r="J829" s="3"/>
      <c r="N829" s="1"/>
      <c r="O829" s="1"/>
    </row>
    <row r="830" spans="9:15" x14ac:dyDescent="0.25">
      <c r="I830" s="3"/>
      <c r="J830" s="3"/>
      <c r="N830" s="1"/>
      <c r="O830" s="1"/>
    </row>
    <row r="831" spans="9:15" x14ac:dyDescent="0.25">
      <c r="I831" s="3"/>
      <c r="J831" s="3"/>
      <c r="N831" s="1"/>
      <c r="O831" s="1"/>
    </row>
    <row r="832" spans="9:15" x14ac:dyDescent="0.25">
      <c r="I832" s="3"/>
      <c r="J832" s="3"/>
      <c r="N832" s="1"/>
      <c r="O832" s="1"/>
    </row>
    <row r="833" spans="9:15" x14ac:dyDescent="0.25">
      <c r="I833" s="3"/>
      <c r="J833" s="3"/>
      <c r="N833" s="1"/>
      <c r="O833" s="1"/>
    </row>
    <row r="834" spans="9:15" x14ac:dyDescent="0.25">
      <c r="I834" s="3"/>
      <c r="J834" s="3"/>
      <c r="N834" s="1"/>
      <c r="O834" s="1"/>
    </row>
    <row r="835" spans="9:15" x14ac:dyDescent="0.25">
      <c r="I835" s="3"/>
      <c r="J835" s="3"/>
      <c r="N835" s="1"/>
      <c r="O835" s="1"/>
    </row>
    <row r="836" spans="9:15" x14ac:dyDescent="0.25">
      <c r="I836" s="3"/>
      <c r="J836" s="3"/>
      <c r="N836" s="1"/>
      <c r="O836" s="1"/>
    </row>
    <row r="837" spans="9:15" x14ac:dyDescent="0.25">
      <c r="I837" s="3"/>
      <c r="J837" s="3"/>
      <c r="N837" s="1"/>
      <c r="O837" s="1"/>
    </row>
    <row r="838" spans="9:15" x14ac:dyDescent="0.25">
      <c r="I838" s="3"/>
      <c r="J838" s="3"/>
      <c r="N838" s="1"/>
      <c r="O838" s="1"/>
    </row>
    <row r="839" spans="9:15" x14ac:dyDescent="0.25">
      <c r="I839" s="3"/>
      <c r="J839" s="3"/>
      <c r="N839" s="1"/>
      <c r="O839" s="1"/>
    </row>
    <row r="840" spans="9:15" x14ac:dyDescent="0.25">
      <c r="I840" s="3"/>
      <c r="J840" s="3"/>
      <c r="N840" s="1"/>
      <c r="O840" s="1"/>
    </row>
    <row r="841" spans="9:15" x14ac:dyDescent="0.25">
      <c r="I841" s="3"/>
      <c r="J841" s="3"/>
      <c r="N841" s="1"/>
      <c r="O841" s="1"/>
    </row>
    <row r="842" spans="9:15" x14ac:dyDescent="0.25">
      <c r="I842" s="3"/>
      <c r="J842" s="3"/>
      <c r="N842" s="1"/>
      <c r="O842" s="1"/>
    </row>
    <row r="843" spans="9:15" x14ac:dyDescent="0.25">
      <c r="I843" s="3"/>
      <c r="J843" s="3"/>
      <c r="N843" s="1"/>
      <c r="O843" s="1"/>
    </row>
    <row r="844" spans="9:15" x14ac:dyDescent="0.25">
      <c r="I844" s="3"/>
      <c r="J844" s="3"/>
      <c r="N844" s="1"/>
      <c r="O844" s="1"/>
    </row>
    <row r="845" spans="9:15" x14ac:dyDescent="0.25">
      <c r="I845" s="3"/>
      <c r="J845" s="3"/>
      <c r="N845" s="1"/>
      <c r="O845" s="1"/>
    </row>
    <row r="846" spans="9:15" x14ac:dyDescent="0.25">
      <c r="I846" s="3"/>
      <c r="J846" s="3"/>
      <c r="N846" s="1"/>
      <c r="O846" s="1"/>
    </row>
    <row r="847" spans="9:15" x14ac:dyDescent="0.25">
      <c r="I847" s="3"/>
      <c r="J847" s="3"/>
      <c r="N847" s="1"/>
      <c r="O847" s="1"/>
    </row>
    <row r="848" spans="9:15" x14ac:dyDescent="0.25">
      <c r="I848" s="3"/>
      <c r="J848" s="3"/>
      <c r="N848" s="1"/>
      <c r="O848" s="1"/>
    </row>
    <row r="849" spans="9:15" x14ac:dyDescent="0.25">
      <c r="I849" s="3"/>
      <c r="J849" s="3"/>
      <c r="N849" s="1"/>
      <c r="O849" s="1"/>
    </row>
    <row r="850" spans="9:15" x14ac:dyDescent="0.25">
      <c r="I850" s="3"/>
      <c r="J850" s="3"/>
      <c r="N850" s="1"/>
      <c r="O850" s="1"/>
    </row>
    <row r="851" spans="9:15" x14ac:dyDescent="0.25">
      <c r="I851" s="3"/>
      <c r="J851" s="3"/>
      <c r="N851" s="1"/>
      <c r="O851" s="1"/>
    </row>
    <row r="852" spans="9:15" x14ac:dyDescent="0.25">
      <c r="I852" s="3"/>
      <c r="J852" s="3"/>
      <c r="N852" s="1"/>
      <c r="O852" s="1"/>
    </row>
    <row r="853" spans="9:15" x14ac:dyDescent="0.25">
      <c r="I853" s="3"/>
      <c r="J853" s="3"/>
      <c r="N853" s="1"/>
      <c r="O853" s="1"/>
    </row>
    <row r="854" spans="9:15" x14ac:dyDescent="0.25">
      <c r="I854" s="3"/>
      <c r="J854" s="3"/>
      <c r="N854" s="1"/>
      <c r="O854" s="1"/>
    </row>
    <row r="855" spans="9:15" x14ac:dyDescent="0.25">
      <c r="I855" s="3"/>
      <c r="J855" s="3"/>
      <c r="N855" s="1"/>
      <c r="O855" s="1"/>
    </row>
    <row r="856" spans="9:15" x14ac:dyDescent="0.25">
      <c r="I856" s="3"/>
      <c r="J856" s="3"/>
      <c r="N856" s="1"/>
      <c r="O856" s="1"/>
    </row>
    <row r="857" spans="9:15" x14ac:dyDescent="0.25">
      <c r="I857" s="3"/>
      <c r="J857" s="3"/>
      <c r="N857" s="1"/>
      <c r="O857" s="1"/>
    </row>
    <row r="858" spans="9:15" x14ac:dyDescent="0.25">
      <c r="I858" s="3"/>
      <c r="J858" s="3"/>
      <c r="N858" s="1"/>
      <c r="O858" s="1"/>
    </row>
    <row r="859" spans="9:15" x14ac:dyDescent="0.25">
      <c r="I859" s="3"/>
      <c r="J859" s="3"/>
      <c r="N859" s="1"/>
      <c r="O859" s="1"/>
    </row>
    <row r="860" spans="9:15" x14ac:dyDescent="0.25">
      <c r="I860" s="3"/>
      <c r="J860" s="3"/>
      <c r="N860" s="1"/>
      <c r="O860" s="1"/>
    </row>
    <row r="861" spans="9:15" x14ac:dyDescent="0.25">
      <c r="I861" s="3"/>
      <c r="J861" s="3"/>
      <c r="N861" s="1"/>
      <c r="O861" s="1"/>
    </row>
    <row r="862" spans="9:15" x14ac:dyDescent="0.25">
      <c r="I862" s="3"/>
      <c r="J862" s="3"/>
      <c r="N862" s="1"/>
      <c r="O862" s="1"/>
    </row>
    <row r="863" spans="9:15" x14ac:dyDescent="0.25">
      <c r="I863" s="3"/>
      <c r="J863" s="3"/>
      <c r="N863" s="1"/>
      <c r="O863" s="1"/>
    </row>
    <row r="864" spans="9:15" x14ac:dyDescent="0.25">
      <c r="I864" s="3"/>
      <c r="J864" s="3"/>
      <c r="N864" s="1"/>
      <c r="O864" s="1"/>
    </row>
    <row r="865" spans="9:15" x14ac:dyDescent="0.25">
      <c r="I865" s="3"/>
      <c r="J865" s="3"/>
      <c r="N865" s="1"/>
      <c r="O865" s="1"/>
    </row>
    <row r="866" spans="9:15" x14ac:dyDescent="0.25">
      <c r="I866" s="3"/>
      <c r="J866" s="3"/>
      <c r="N866" s="1"/>
      <c r="O866" s="1"/>
    </row>
    <row r="867" spans="9:15" x14ac:dyDescent="0.25">
      <c r="I867" s="3"/>
      <c r="J867" s="3"/>
      <c r="N867" s="1"/>
      <c r="O867" s="1"/>
    </row>
    <row r="868" spans="9:15" x14ac:dyDescent="0.25">
      <c r="I868" s="3"/>
      <c r="J868" s="3"/>
      <c r="N868" s="1"/>
      <c r="O868" s="1"/>
    </row>
    <row r="869" spans="9:15" x14ac:dyDescent="0.25">
      <c r="I869" s="3"/>
      <c r="J869" s="3"/>
      <c r="N869" s="1"/>
      <c r="O869" s="1"/>
    </row>
    <row r="870" spans="9:15" x14ac:dyDescent="0.25">
      <c r="I870" s="3"/>
      <c r="J870" s="3"/>
      <c r="N870" s="1"/>
      <c r="O870" s="1"/>
    </row>
    <row r="871" spans="9:15" x14ac:dyDescent="0.25">
      <c r="I871" s="3"/>
      <c r="J871" s="3"/>
      <c r="N871" s="1"/>
      <c r="O871" s="1"/>
    </row>
    <row r="872" spans="9:15" x14ac:dyDescent="0.25">
      <c r="I872" s="3"/>
      <c r="J872" s="3"/>
      <c r="N872" s="1"/>
      <c r="O872" s="1"/>
    </row>
    <row r="873" spans="9:15" x14ac:dyDescent="0.25">
      <c r="I873" s="3"/>
      <c r="J873" s="3"/>
      <c r="N873" s="1"/>
      <c r="O873" s="1"/>
    </row>
    <row r="874" spans="9:15" x14ac:dyDescent="0.25">
      <c r="I874" s="3"/>
      <c r="J874" s="3"/>
      <c r="N874" s="1"/>
      <c r="O874" s="1"/>
    </row>
    <row r="875" spans="9:15" x14ac:dyDescent="0.25">
      <c r="I875" s="3"/>
      <c r="J875" s="3"/>
      <c r="N875" s="1"/>
      <c r="O875" s="1"/>
    </row>
    <row r="876" spans="9:15" x14ac:dyDescent="0.25">
      <c r="I876" s="3"/>
      <c r="J876" s="3"/>
      <c r="N876" s="1"/>
      <c r="O876" s="1"/>
    </row>
    <row r="877" spans="9:15" x14ac:dyDescent="0.25">
      <c r="I877" s="3"/>
      <c r="J877" s="3"/>
      <c r="N877" s="1"/>
      <c r="O877" s="1"/>
    </row>
    <row r="878" spans="9:15" x14ac:dyDescent="0.25">
      <c r="I878" s="3"/>
      <c r="J878" s="3"/>
      <c r="N878" s="1"/>
      <c r="O878" s="1"/>
    </row>
    <row r="879" spans="9:15" x14ac:dyDescent="0.25">
      <c r="I879" s="3"/>
      <c r="J879" s="3"/>
      <c r="N879" s="1"/>
      <c r="O879" s="1"/>
    </row>
    <row r="880" spans="9:15" x14ac:dyDescent="0.25">
      <c r="I880" s="3"/>
      <c r="J880" s="3"/>
      <c r="N880" s="1"/>
      <c r="O880" s="1"/>
    </row>
    <row r="881" spans="9:15" x14ac:dyDescent="0.25">
      <c r="I881" s="3"/>
      <c r="J881" s="3"/>
      <c r="N881" s="1"/>
      <c r="O881" s="1"/>
    </row>
    <row r="882" spans="9:15" x14ac:dyDescent="0.25">
      <c r="I882" s="3"/>
      <c r="J882" s="3"/>
      <c r="N882" s="1"/>
      <c r="O882" s="1"/>
    </row>
    <row r="883" spans="9:15" x14ac:dyDescent="0.25">
      <c r="I883" s="3"/>
      <c r="J883" s="3"/>
      <c r="N883" s="1"/>
      <c r="O883" s="1"/>
    </row>
    <row r="884" spans="9:15" x14ac:dyDescent="0.25">
      <c r="I884" s="3"/>
      <c r="J884" s="3"/>
      <c r="N884" s="1"/>
      <c r="O884" s="1"/>
    </row>
    <row r="885" spans="9:15" x14ac:dyDescent="0.25">
      <c r="I885" s="3"/>
      <c r="J885" s="3"/>
      <c r="N885" s="1"/>
      <c r="O885" s="1"/>
    </row>
    <row r="886" spans="9:15" x14ac:dyDescent="0.25">
      <c r="I886" s="3"/>
      <c r="J886" s="3"/>
      <c r="N886" s="1"/>
      <c r="O886" s="1"/>
    </row>
    <row r="887" spans="9:15" x14ac:dyDescent="0.25">
      <c r="I887" s="3"/>
      <c r="J887" s="3"/>
      <c r="N887" s="1"/>
      <c r="O887" s="1"/>
    </row>
    <row r="888" spans="9:15" x14ac:dyDescent="0.25">
      <c r="I888" s="3"/>
      <c r="J888" s="3"/>
      <c r="N888" s="1"/>
      <c r="O888" s="1"/>
    </row>
    <row r="889" spans="9:15" x14ac:dyDescent="0.25">
      <c r="I889" s="3"/>
      <c r="J889" s="3"/>
      <c r="N889" s="1"/>
      <c r="O889" s="1"/>
    </row>
    <row r="890" spans="9:15" x14ac:dyDescent="0.25">
      <c r="I890" s="3"/>
      <c r="J890" s="3"/>
      <c r="N890" s="1"/>
      <c r="O890" s="1"/>
    </row>
    <row r="891" spans="9:15" x14ac:dyDescent="0.25">
      <c r="I891" s="3"/>
      <c r="J891" s="3"/>
      <c r="N891" s="1"/>
      <c r="O891" s="1"/>
    </row>
    <row r="892" spans="9:15" x14ac:dyDescent="0.25">
      <c r="I892" s="3"/>
      <c r="J892" s="3"/>
      <c r="N892" s="1"/>
      <c r="O892" s="1"/>
    </row>
    <row r="893" spans="9:15" x14ac:dyDescent="0.25">
      <c r="I893" s="3"/>
      <c r="J893" s="3"/>
      <c r="N893" s="1"/>
      <c r="O893" s="1"/>
    </row>
    <row r="894" spans="9:15" x14ac:dyDescent="0.25">
      <c r="I894" s="3"/>
      <c r="J894" s="3"/>
      <c r="N894" s="1"/>
      <c r="O894" s="1"/>
    </row>
    <row r="895" spans="9:15" x14ac:dyDescent="0.25">
      <c r="I895" s="3"/>
      <c r="J895" s="3"/>
      <c r="N895" s="1"/>
      <c r="O895" s="1"/>
    </row>
    <row r="896" spans="9:15" x14ac:dyDescent="0.25">
      <c r="I896" s="3"/>
      <c r="J896" s="3"/>
      <c r="N896" s="1"/>
      <c r="O896" s="1"/>
    </row>
    <row r="897" spans="9:15" x14ac:dyDescent="0.25">
      <c r="I897" s="3"/>
      <c r="J897" s="3"/>
      <c r="N897" s="1"/>
      <c r="O897" s="1"/>
    </row>
    <row r="898" spans="9:15" x14ac:dyDescent="0.25">
      <c r="I898" s="3"/>
      <c r="J898" s="3"/>
      <c r="N898" s="1"/>
      <c r="O898" s="1"/>
    </row>
    <row r="899" spans="9:15" x14ac:dyDescent="0.25">
      <c r="I899" s="3"/>
      <c r="J899" s="3"/>
      <c r="N899" s="1"/>
      <c r="O899" s="1"/>
    </row>
    <row r="900" spans="9:15" x14ac:dyDescent="0.25">
      <c r="I900" s="3"/>
      <c r="J900" s="3"/>
      <c r="N900" s="1"/>
      <c r="O900" s="1"/>
    </row>
    <row r="901" spans="9:15" x14ac:dyDescent="0.25">
      <c r="I901" s="3"/>
      <c r="J901" s="3"/>
      <c r="N901" s="1"/>
      <c r="O901" s="1"/>
    </row>
    <row r="902" spans="9:15" x14ac:dyDescent="0.25">
      <c r="I902" s="3"/>
      <c r="J902" s="3"/>
      <c r="N902" s="1"/>
      <c r="O902" s="1"/>
    </row>
    <row r="903" spans="9:15" x14ac:dyDescent="0.25">
      <c r="I903" s="3"/>
      <c r="J903" s="3"/>
      <c r="N903" s="1"/>
      <c r="O903" s="1"/>
    </row>
    <row r="904" spans="9:15" x14ac:dyDescent="0.25">
      <c r="I904" s="3"/>
      <c r="J904" s="3"/>
      <c r="N904" s="1"/>
      <c r="O904" s="1"/>
    </row>
    <row r="905" spans="9:15" x14ac:dyDescent="0.25">
      <c r="I905" s="3"/>
      <c r="J905" s="3"/>
      <c r="N905" s="1"/>
      <c r="O905" s="1"/>
    </row>
    <row r="906" spans="9:15" x14ac:dyDescent="0.25">
      <c r="I906" s="3"/>
      <c r="J906" s="3"/>
      <c r="N906" s="1"/>
      <c r="O906" s="1"/>
    </row>
    <row r="907" spans="9:15" x14ac:dyDescent="0.25">
      <c r="I907" s="3"/>
      <c r="J907" s="3"/>
      <c r="N907" s="1"/>
      <c r="O907" s="1"/>
    </row>
    <row r="908" spans="9:15" x14ac:dyDescent="0.25">
      <c r="I908" s="3"/>
      <c r="J908" s="3"/>
      <c r="N908" s="1"/>
      <c r="O908" s="1"/>
    </row>
    <row r="909" spans="9:15" x14ac:dyDescent="0.25">
      <c r="I909" s="3"/>
      <c r="J909" s="3"/>
      <c r="N909" s="1"/>
      <c r="O909" s="1"/>
    </row>
    <row r="910" spans="9:15" x14ac:dyDescent="0.25">
      <c r="I910" s="3"/>
      <c r="J910" s="3"/>
      <c r="N910" s="1"/>
      <c r="O910" s="1"/>
    </row>
    <row r="911" spans="9:15" x14ac:dyDescent="0.25">
      <c r="I911" s="3"/>
      <c r="J911" s="3"/>
      <c r="N911" s="1"/>
      <c r="O911" s="1"/>
    </row>
    <row r="912" spans="9:15" x14ac:dyDescent="0.25">
      <c r="I912" s="3"/>
      <c r="J912" s="3"/>
      <c r="N912" s="1"/>
      <c r="O912" s="1"/>
    </row>
    <row r="913" spans="9:15" x14ac:dyDescent="0.25">
      <c r="I913" s="3"/>
      <c r="J913" s="3"/>
      <c r="N913" s="1"/>
      <c r="O913" s="1"/>
    </row>
    <row r="914" spans="9:15" x14ac:dyDescent="0.25">
      <c r="I914" s="3"/>
      <c r="J914" s="3"/>
      <c r="N914" s="1"/>
      <c r="O914" s="1"/>
    </row>
    <row r="915" spans="9:15" x14ac:dyDescent="0.25">
      <c r="I915" s="3"/>
      <c r="J915" s="3"/>
      <c r="N915" s="1"/>
      <c r="O915" s="1"/>
    </row>
    <row r="916" spans="9:15" x14ac:dyDescent="0.25">
      <c r="I916" s="3"/>
      <c r="J916" s="3"/>
      <c r="N916" s="1"/>
      <c r="O916" s="1"/>
    </row>
    <row r="917" spans="9:15" x14ac:dyDescent="0.25">
      <c r="I917" s="3"/>
      <c r="J917" s="3"/>
      <c r="N917" s="1"/>
      <c r="O917" s="1"/>
    </row>
    <row r="918" spans="9:15" x14ac:dyDescent="0.25">
      <c r="I918" s="3"/>
      <c r="J918" s="3"/>
      <c r="N918" s="1"/>
      <c r="O918" s="1"/>
    </row>
    <row r="919" spans="9:15" x14ac:dyDescent="0.25">
      <c r="I919" s="3"/>
      <c r="J919" s="3"/>
      <c r="N919" s="1"/>
      <c r="O919" s="1"/>
    </row>
    <row r="920" spans="9:15" x14ac:dyDescent="0.25">
      <c r="I920" s="3"/>
      <c r="J920" s="3"/>
      <c r="N920" s="1"/>
      <c r="O920" s="1"/>
    </row>
    <row r="921" spans="9:15" x14ac:dyDescent="0.25">
      <c r="I921" s="3"/>
      <c r="J921" s="3"/>
      <c r="N921" s="1"/>
      <c r="O921" s="1"/>
    </row>
    <row r="922" spans="9:15" x14ac:dyDescent="0.25">
      <c r="I922" s="3"/>
      <c r="J922" s="3"/>
      <c r="N922" s="1"/>
      <c r="O922" s="1"/>
    </row>
    <row r="923" spans="9:15" x14ac:dyDescent="0.25">
      <c r="I923" s="3"/>
      <c r="J923" s="3"/>
      <c r="N923" s="1"/>
      <c r="O923" s="1"/>
    </row>
    <row r="924" spans="9:15" x14ac:dyDescent="0.25">
      <c r="I924" s="3"/>
      <c r="J924" s="3"/>
      <c r="N924" s="1"/>
      <c r="O924" s="1"/>
    </row>
    <row r="925" spans="9:15" x14ac:dyDescent="0.25">
      <c r="I925" s="3"/>
      <c r="J925" s="3"/>
      <c r="N925" s="1"/>
      <c r="O925" s="1"/>
    </row>
    <row r="926" spans="9:15" x14ac:dyDescent="0.25">
      <c r="I926" s="3"/>
      <c r="J926" s="3"/>
      <c r="N926" s="1"/>
      <c r="O926" s="1"/>
    </row>
    <row r="927" spans="9:15" x14ac:dyDescent="0.25">
      <c r="I927" s="3"/>
      <c r="J927" s="3"/>
      <c r="N927" s="1"/>
      <c r="O927" s="1"/>
    </row>
    <row r="928" spans="9:15" x14ac:dyDescent="0.25">
      <c r="I928" s="3"/>
      <c r="J928" s="3"/>
      <c r="N928" s="1"/>
      <c r="O928" s="1"/>
    </row>
    <row r="929" spans="9:15" x14ac:dyDescent="0.25">
      <c r="I929" s="3"/>
      <c r="J929" s="3"/>
      <c r="N929" s="1"/>
      <c r="O929" s="1"/>
    </row>
    <row r="930" spans="9:15" x14ac:dyDescent="0.25">
      <c r="I930" s="3"/>
      <c r="J930" s="3"/>
      <c r="N930" s="1"/>
      <c r="O930" s="1"/>
    </row>
    <row r="931" spans="9:15" x14ac:dyDescent="0.25">
      <c r="I931" s="3"/>
      <c r="J931" s="3"/>
      <c r="N931" s="1"/>
      <c r="O931" s="1"/>
    </row>
    <row r="932" spans="9:15" x14ac:dyDescent="0.25">
      <c r="I932" s="3"/>
      <c r="J932" s="3"/>
      <c r="N932" s="1"/>
      <c r="O932" s="1"/>
    </row>
    <row r="933" spans="9:15" x14ac:dyDescent="0.25">
      <c r="I933" s="3"/>
      <c r="J933" s="3"/>
      <c r="N933" s="1"/>
      <c r="O933" s="1"/>
    </row>
    <row r="934" spans="9:15" x14ac:dyDescent="0.25">
      <c r="I934" s="3"/>
      <c r="J934" s="3"/>
      <c r="N934" s="1"/>
      <c r="O934" s="1"/>
    </row>
    <row r="935" spans="9:15" x14ac:dyDescent="0.25">
      <c r="I935" s="3"/>
      <c r="J935" s="3"/>
      <c r="N935" s="1"/>
      <c r="O935" s="1"/>
    </row>
    <row r="936" spans="9:15" x14ac:dyDescent="0.25">
      <c r="I936" s="3"/>
      <c r="J936" s="3"/>
      <c r="N936" s="1"/>
      <c r="O936" s="1"/>
    </row>
    <row r="937" spans="9:15" x14ac:dyDescent="0.25">
      <c r="I937" s="3"/>
      <c r="J937" s="3"/>
      <c r="N937" s="1"/>
      <c r="O937" s="1"/>
    </row>
    <row r="938" spans="9:15" x14ac:dyDescent="0.25">
      <c r="I938" s="3"/>
      <c r="J938" s="3"/>
      <c r="N938" s="1"/>
      <c r="O938" s="1"/>
    </row>
    <row r="939" spans="9:15" x14ac:dyDescent="0.25">
      <c r="I939" s="3"/>
      <c r="J939" s="3"/>
      <c r="N939" s="1"/>
      <c r="O939" s="1"/>
    </row>
    <row r="940" spans="9:15" x14ac:dyDescent="0.25">
      <c r="I940" s="3"/>
      <c r="J940" s="3"/>
      <c r="N940" s="1"/>
      <c r="O940" s="1"/>
    </row>
    <row r="941" spans="9:15" x14ac:dyDescent="0.25">
      <c r="I941" s="3"/>
      <c r="J941" s="3"/>
      <c r="N941" s="1"/>
      <c r="O941" s="1"/>
    </row>
    <row r="942" spans="9:15" x14ac:dyDescent="0.25">
      <c r="I942" s="3"/>
      <c r="J942" s="3"/>
      <c r="N942" s="1"/>
      <c r="O942" s="1"/>
    </row>
    <row r="943" spans="9:15" x14ac:dyDescent="0.25">
      <c r="I943" s="3"/>
      <c r="J943" s="3"/>
      <c r="N943" s="1"/>
      <c r="O943" s="1"/>
    </row>
    <row r="944" spans="9:15" x14ac:dyDescent="0.25">
      <c r="I944" s="3"/>
      <c r="J944" s="3"/>
      <c r="N944" s="1"/>
      <c r="O944" s="1"/>
    </row>
    <row r="945" spans="9:15" x14ac:dyDescent="0.25">
      <c r="I945" s="3"/>
      <c r="J945" s="3"/>
      <c r="N945" s="1"/>
      <c r="O945" s="1"/>
    </row>
    <row r="946" spans="9:15" x14ac:dyDescent="0.25">
      <c r="I946" s="3"/>
      <c r="J946" s="3"/>
      <c r="N946" s="1"/>
      <c r="O946" s="1"/>
    </row>
    <row r="947" spans="9:15" x14ac:dyDescent="0.25">
      <c r="I947" s="3"/>
      <c r="J947" s="3"/>
      <c r="N947" s="1"/>
      <c r="O947" s="1"/>
    </row>
    <row r="948" spans="9:15" x14ac:dyDescent="0.25">
      <c r="I948" s="3"/>
      <c r="J948" s="3"/>
      <c r="N948" s="1"/>
      <c r="O948" s="1"/>
    </row>
    <row r="949" spans="9:15" x14ac:dyDescent="0.25">
      <c r="I949" s="3"/>
      <c r="J949" s="3"/>
      <c r="N949" s="1"/>
      <c r="O949" s="1"/>
    </row>
    <row r="950" spans="9:15" x14ac:dyDescent="0.25">
      <c r="I950" s="3"/>
      <c r="J950" s="3"/>
      <c r="N950" s="1"/>
      <c r="O950" s="1"/>
    </row>
    <row r="951" spans="9:15" x14ac:dyDescent="0.25">
      <c r="I951" s="3"/>
      <c r="J951" s="3"/>
      <c r="N951" s="1"/>
      <c r="O951" s="1"/>
    </row>
    <row r="952" spans="9:15" x14ac:dyDescent="0.25">
      <c r="I952" s="3"/>
      <c r="J952" s="3"/>
      <c r="N952" s="1"/>
      <c r="O952" s="1"/>
    </row>
    <row r="953" spans="9:15" x14ac:dyDescent="0.25">
      <c r="I953" s="3"/>
      <c r="J953" s="3"/>
      <c r="N953" s="1"/>
      <c r="O953" s="1"/>
    </row>
    <row r="954" spans="9:15" x14ac:dyDescent="0.25">
      <c r="I954" s="3"/>
      <c r="J954" s="3"/>
      <c r="N954" s="1"/>
      <c r="O954" s="1"/>
    </row>
    <row r="955" spans="9:15" x14ac:dyDescent="0.25">
      <c r="I955" s="3"/>
      <c r="J955" s="3"/>
      <c r="N955" s="1"/>
      <c r="O955" s="1"/>
    </row>
    <row r="956" spans="9:15" x14ac:dyDescent="0.25">
      <c r="I956" s="3"/>
      <c r="J956" s="3"/>
      <c r="N956" s="1"/>
      <c r="O956" s="1"/>
    </row>
    <row r="957" spans="9:15" x14ac:dyDescent="0.25">
      <c r="I957" s="3"/>
      <c r="J957" s="3"/>
      <c r="N957" s="1"/>
      <c r="O957" s="1"/>
    </row>
    <row r="958" spans="9:15" x14ac:dyDescent="0.25">
      <c r="I958" s="3"/>
      <c r="J958" s="3"/>
      <c r="N958" s="1"/>
      <c r="O958" s="1"/>
    </row>
    <row r="959" spans="9:15" x14ac:dyDescent="0.25">
      <c r="I959" s="3"/>
      <c r="J959" s="3"/>
      <c r="N959" s="1"/>
      <c r="O959" s="1"/>
    </row>
    <row r="960" spans="9:15" x14ac:dyDescent="0.25">
      <c r="I960" s="3"/>
      <c r="J960" s="3"/>
      <c r="N960" s="1"/>
      <c r="O960" s="1"/>
    </row>
    <row r="961" spans="9:15" x14ac:dyDescent="0.25">
      <c r="I961" s="3"/>
      <c r="J961" s="3"/>
      <c r="N961" s="1"/>
      <c r="O961" s="1"/>
    </row>
    <row r="962" spans="9:15" x14ac:dyDescent="0.25">
      <c r="I962" s="3"/>
      <c r="J962" s="3"/>
      <c r="N962" s="1"/>
      <c r="O962" s="1"/>
    </row>
    <row r="963" spans="9:15" x14ac:dyDescent="0.25">
      <c r="I963" s="3"/>
      <c r="J963" s="3"/>
      <c r="N963" s="1"/>
      <c r="O963" s="1"/>
    </row>
    <row r="964" spans="9:15" x14ac:dyDescent="0.25">
      <c r="I964" s="3"/>
      <c r="J964" s="3"/>
      <c r="N964" s="1"/>
      <c r="O964" s="1"/>
    </row>
    <row r="965" spans="9:15" x14ac:dyDescent="0.25">
      <c r="I965" s="3"/>
      <c r="J965" s="3"/>
      <c r="N965" s="1"/>
      <c r="O965" s="1"/>
    </row>
    <row r="966" spans="9:15" x14ac:dyDescent="0.25">
      <c r="I966" s="3"/>
      <c r="J966" s="3"/>
      <c r="N966" s="1"/>
      <c r="O966" s="1"/>
    </row>
    <row r="967" spans="9:15" x14ac:dyDescent="0.25">
      <c r="I967" s="3"/>
      <c r="J967" s="3"/>
      <c r="N967" s="1"/>
      <c r="O967" s="1"/>
    </row>
    <row r="968" spans="9:15" x14ac:dyDescent="0.25">
      <c r="I968" s="3"/>
      <c r="J968" s="3"/>
      <c r="N968" s="1"/>
      <c r="O968" s="1"/>
    </row>
    <row r="969" spans="9:15" x14ac:dyDescent="0.25">
      <c r="I969" s="3"/>
      <c r="J969" s="3"/>
      <c r="N969" s="1"/>
      <c r="O969" s="1"/>
    </row>
    <row r="970" spans="9:15" x14ac:dyDescent="0.25">
      <c r="I970" s="3"/>
      <c r="J970" s="3"/>
      <c r="N970" s="1"/>
      <c r="O970" s="1"/>
    </row>
    <row r="971" spans="9:15" x14ac:dyDescent="0.25">
      <c r="I971" s="3"/>
      <c r="J971" s="3"/>
      <c r="N971" s="1"/>
      <c r="O971" s="1"/>
    </row>
    <row r="972" spans="9:15" x14ac:dyDescent="0.25">
      <c r="I972" s="3"/>
      <c r="J972" s="3"/>
      <c r="N972" s="1"/>
      <c r="O972" s="1"/>
    </row>
    <row r="973" spans="9:15" x14ac:dyDescent="0.25">
      <c r="I973" s="3"/>
      <c r="J973" s="3"/>
      <c r="N973" s="1"/>
      <c r="O973" s="1"/>
    </row>
    <row r="974" spans="9:15" x14ac:dyDescent="0.25">
      <c r="I974" s="3"/>
      <c r="J974" s="3"/>
      <c r="N974" s="1"/>
      <c r="O974" s="1"/>
    </row>
    <row r="975" spans="9:15" x14ac:dyDescent="0.25">
      <c r="I975" s="3"/>
      <c r="J975" s="3"/>
      <c r="N975" s="1"/>
      <c r="O975" s="1"/>
    </row>
    <row r="976" spans="9:15" x14ac:dyDescent="0.25">
      <c r="I976" s="3"/>
      <c r="J976" s="3"/>
      <c r="N976" s="1"/>
      <c r="O976" s="1"/>
    </row>
    <row r="977" spans="9:15" x14ac:dyDescent="0.25">
      <c r="I977" s="3"/>
      <c r="J977" s="3"/>
      <c r="N977" s="1"/>
      <c r="O977" s="1"/>
    </row>
    <row r="978" spans="9:15" x14ac:dyDescent="0.25">
      <c r="I978" s="3"/>
      <c r="J978" s="3"/>
      <c r="N978" s="1"/>
      <c r="O978" s="1"/>
    </row>
    <row r="979" spans="9:15" x14ac:dyDescent="0.25">
      <c r="I979" s="3"/>
      <c r="J979" s="3"/>
      <c r="N979" s="1"/>
      <c r="O979" s="1"/>
    </row>
    <row r="980" spans="9:15" x14ac:dyDescent="0.25">
      <c r="I980" s="3"/>
      <c r="J980" s="3"/>
      <c r="N980" s="1"/>
      <c r="O980" s="1"/>
    </row>
    <row r="981" spans="9:15" x14ac:dyDescent="0.25">
      <c r="I981" s="3"/>
      <c r="J981" s="3"/>
      <c r="N981" s="1"/>
      <c r="O981" s="1"/>
    </row>
    <row r="982" spans="9:15" x14ac:dyDescent="0.25">
      <c r="I982" s="3"/>
      <c r="J982" s="3"/>
      <c r="N982" s="1"/>
      <c r="O982" s="1"/>
    </row>
    <row r="983" spans="9:15" x14ac:dyDescent="0.25">
      <c r="I983" s="3"/>
      <c r="J983" s="3"/>
      <c r="N983" s="1"/>
      <c r="O983" s="1"/>
    </row>
    <row r="984" spans="9:15" x14ac:dyDescent="0.25">
      <c r="I984" s="3"/>
      <c r="J984" s="3"/>
      <c r="N984" s="1"/>
      <c r="O984" s="1"/>
    </row>
    <row r="985" spans="9:15" x14ac:dyDescent="0.25">
      <c r="I985" s="3"/>
      <c r="J985" s="3"/>
      <c r="N985" s="1"/>
      <c r="O985" s="1"/>
    </row>
    <row r="986" spans="9:15" x14ac:dyDescent="0.25">
      <c r="I986" s="3"/>
      <c r="J986" s="3"/>
      <c r="N986" s="1"/>
      <c r="O986" s="1"/>
    </row>
    <row r="987" spans="9:15" x14ac:dyDescent="0.25">
      <c r="I987" s="3"/>
      <c r="J987" s="3"/>
      <c r="N987" s="1"/>
      <c r="O987" s="1"/>
    </row>
    <row r="988" spans="9:15" x14ac:dyDescent="0.25">
      <c r="I988" s="3"/>
      <c r="J988" s="3"/>
      <c r="N988" s="1"/>
      <c r="O988" s="1"/>
    </row>
    <row r="989" spans="9:15" x14ac:dyDescent="0.25">
      <c r="I989" s="3"/>
      <c r="J989" s="3"/>
      <c r="N989" s="1"/>
      <c r="O989" s="1"/>
    </row>
    <row r="990" spans="9:15" x14ac:dyDescent="0.25">
      <c r="I990" s="3"/>
      <c r="J990" s="3"/>
      <c r="N990" s="1"/>
      <c r="O990" s="1"/>
    </row>
    <row r="991" spans="9:15" x14ac:dyDescent="0.25">
      <c r="I991" s="3"/>
      <c r="J991" s="3"/>
      <c r="N991" s="1"/>
      <c r="O991" s="1"/>
    </row>
    <row r="992" spans="9:15" x14ac:dyDescent="0.25">
      <c r="I992" s="3"/>
      <c r="J992" s="3"/>
      <c r="N992" s="1"/>
      <c r="O992" s="1"/>
    </row>
    <row r="993" spans="9:15" x14ac:dyDescent="0.25">
      <c r="I993" s="3"/>
      <c r="J993" s="3"/>
      <c r="N993" s="1"/>
      <c r="O993" s="1"/>
    </row>
    <row r="994" spans="9:15" x14ac:dyDescent="0.25">
      <c r="I994" s="3"/>
      <c r="J994" s="3"/>
      <c r="N994" s="1"/>
      <c r="O994" s="1"/>
    </row>
    <row r="995" spans="9:15" x14ac:dyDescent="0.25">
      <c r="I995" s="3"/>
      <c r="J995" s="3"/>
      <c r="N995" s="1"/>
      <c r="O995" s="1"/>
    </row>
    <row r="996" spans="9:15" x14ac:dyDescent="0.25">
      <c r="I996" s="3"/>
      <c r="J996" s="3"/>
      <c r="N996" s="1"/>
      <c r="O996" s="1"/>
    </row>
    <row r="997" spans="9:15" x14ac:dyDescent="0.25">
      <c r="I997" s="3"/>
      <c r="J997" s="3"/>
      <c r="N997" s="1"/>
      <c r="O997" s="1"/>
    </row>
    <row r="998" spans="9:15" x14ac:dyDescent="0.25">
      <c r="I998" s="3"/>
      <c r="J998" s="3"/>
      <c r="N998" s="1"/>
      <c r="O998" s="1"/>
    </row>
    <row r="999" spans="9:15" x14ac:dyDescent="0.25">
      <c r="I999" s="3"/>
      <c r="J999" s="3"/>
      <c r="N999" s="1"/>
      <c r="O999" s="1"/>
    </row>
    <row r="1000" spans="9:15" x14ac:dyDescent="0.25">
      <c r="I1000" s="3"/>
      <c r="J1000" s="3"/>
      <c r="N1000" s="1"/>
      <c r="O1000" s="1"/>
    </row>
    <row r="1001" spans="9:15" x14ac:dyDescent="0.25">
      <c r="I1001" s="3"/>
      <c r="J1001" s="3"/>
      <c r="N1001" s="1"/>
      <c r="O1001" s="1"/>
    </row>
    <row r="1002" spans="9:15" x14ac:dyDescent="0.25">
      <c r="I1002" s="3"/>
      <c r="J1002" s="3"/>
      <c r="N1002" s="1"/>
      <c r="O1002" s="1"/>
    </row>
    <row r="1003" spans="9:15" x14ac:dyDescent="0.25">
      <c r="I1003" s="3"/>
      <c r="J1003" s="3"/>
      <c r="N1003" s="1"/>
      <c r="O1003" s="1"/>
    </row>
    <row r="1004" spans="9:15" x14ac:dyDescent="0.25">
      <c r="I1004" s="3"/>
      <c r="J1004" s="3"/>
      <c r="N1004" s="1"/>
      <c r="O1004" s="1"/>
    </row>
    <row r="1005" spans="9:15" x14ac:dyDescent="0.25">
      <c r="I1005" s="3"/>
      <c r="J1005" s="3"/>
      <c r="N1005" s="1"/>
      <c r="O1005" s="1"/>
    </row>
    <row r="1006" spans="9:15" x14ac:dyDescent="0.25">
      <c r="I1006" s="3"/>
      <c r="J1006" s="3"/>
      <c r="N1006" s="1"/>
      <c r="O1006" s="1"/>
    </row>
    <row r="1007" spans="9:15" x14ac:dyDescent="0.25">
      <c r="I1007" s="3"/>
      <c r="J1007" s="3"/>
      <c r="N1007" s="1"/>
      <c r="O1007" s="1"/>
    </row>
    <row r="1008" spans="9:15" x14ac:dyDescent="0.25">
      <c r="I1008" s="3"/>
      <c r="J1008" s="3"/>
      <c r="N1008" s="1"/>
      <c r="O1008" s="1"/>
    </row>
    <row r="1009" spans="9:15" x14ac:dyDescent="0.25">
      <c r="I1009" s="3"/>
      <c r="J1009" s="3"/>
      <c r="N1009" s="1"/>
      <c r="O1009" s="1"/>
    </row>
    <row r="1010" spans="9:15" x14ac:dyDescent="0.25">
      <c r="I1010" s="3"/>
      <c r="J1010" s="3"/>
      <c r="N1010" s="1"/>
      <c r="O1010" s="1"/>
    </row>
    <row r="1011" spans="9:15" x14ac:dyDescent="0.25">
      <c r="I1011" s="3"/>
      <c r="J1011" s="3"/>
      <c r="N1011" s="1"/>
      <c r="O1011" s="1"/>
    </row>
    <row r="1012" spans="9:15" x14ac:dyDescent="0.25">
      <c r="I1012" s="3"/>
      <c r="J1012" s="3"/>
      <c r="N1012" s="1"/>
      <c r="O1012" s="1"/>
    </row>
    <row r="1013" spans="9:15" x14ac:dyDescent="0.25">
      <c r="I1013" s="3"/>
      <c r="J1013" s="3"/>
      <c r="N1013" s="1"/>
      <c r="O1013" s="1"/>
    </row>
    <row r="1014" spans="9:15" x14ac:dyDescent="0.25">
      <c r="I1014" s="3"/>
      <c r="J1014" s="3"/>
      <c r="N1014" s="1"/>
      <c r="O1014" s="1"/>
    </row>
    <row r="1015" spans="9:15" x14ac:dyDescent="0.25">
      <c r="I1015" s="3"/>
      <c r="J1015" s="3"/>
      <c r="N1015" s="1"/>
      <c r="O1015" s="1"/>
    </row>
    <row r="1016" spans="9:15" x14ac:dyDescent="0.25">
      <c r="I1016" s="3"/>
      <c r="J1016" s="3"/>
      <c r="N1016" s="1"/>
      <c r="O1016" s="1"/>
    </row>
    <row r="1017" spans="9:15" x14ac:dyDescent="0.25">
      <c r="I1017" s="3"/>
      <c r="J1017" s="3"/>
      <c r="N1017" s="1"/>
      <c r="O1017" s="1"/>
    </row>
    <row r="1018" spans="9:15" x14ac:dyDescent="0.25">
      <c r="I1018" s="3"/>
      <c r="J1018" s="3"/>
      <c r="N1018" s="1"/>
      <c r="O1018" s="1"/>
    </row>
    <row r="1019" spans="9:15" x14ac:dyDescent="0.25">
      <c r="I1019" s="3"/>
      <c r="J1019" s="3"/>
      <c r="N1019" s="1"/>
      <c r="O1019" s="1"/>
    </row>
    <row r="1020" spans="9:15" x14ac:dyDescent="0.25">
      <c r="I1020" s="3"/>
      <c r="J1020" s="3"/>
      <c r="N1020" s="1"/>
      <c r="O1020" s="1"/>
    </row>
    <row r="1021" spans="9:15" x14ac:dyDescent="0.25">
      <c r="I1021" s="3"/>
      <c r="J1021" s="3"/>
      <c r="N1021" s="1"/>
      <c r="O1021" s="1"/>
    </row>
    <row r="1022" spans="9:15" x14ac:dyDescent="0.25">
      <c r="I1022" s="3"/>
      <c r="J1022" s="3"/>
      <c r="N1022" s="1"/>
      <c r="O1022" s="1"/>
    </row>
    <row r="1023" spans="9:15" x14ac:dyDescent="0.25">
      <c r="I1023" s="3"/>
      <c r="J1023" s="3"/>
      <c r="N1023" s="1"/>
      <c r="O1023" s="1"/>
    </row>
    <row r="1024" spans="9:15" x14ac:dyDescent="0.25">
      <c r="I1024" s="3"/>
      <c r="J1024" s="3"/>
      <c r="N1024" s="1"/>
      <c r="O1024" s="1"/>
    </row>
    <row r="1025" spans="9:15" x14ac:dyDescent="0.25">
      <c r="I1025" s="3"/>
      <c r="J1025" s="3"/>
      <c r="N1025" s="1"/>
      <c r="O1025" s="1"/>
    </row>
    <row r="1026" spans="9:15" x14ac:dyDescent="0.25">
      <c r="I1026" s="3"/>
      <c r="J1026" s="3"/>
      <c r="N1026" s="1"/>
      <c r="O1026" s="1"/>
    </row>
    <row r="1027" spans="9:15" x14ac:dyDescent="0.25">
      <c r="I1027" s="3"/>
      <c r="J1027" s="3"/>
      <c r="N1027" s="1"/>
      <c r="O1027" s="1"/>
    </row>
    <row r="1028" spans="9:15" x14ac:dyDescent="0.25">
      <c r="I1028" s="3"/>
      <c r="J1028" s="3"/>
      <c r="N1028" s="1"/>
      <c r="O1028" s="1"/>
    </row>
    <row r="1029" spans="9:15" x14ac:dyDescent="0.25">
      <c r="I1029" s="3"/>
      <c r="J1029" s="3"/>
      <c r="N1029" s="1"/>
      <c r="O1029" s="1"/>
    </row>
    <row r="1030" spans="9:15" x14ac:dyDescent="0.25">
      <c r="I1030" s="3"/>
      <c r="J1030" s="3"/>
      <c r="N1030" s="1"/>
      <c r="O1030" s="1"/>
    </row>
    <row r="1031" spans="9:15" x14ac:dyDescent="0.25">
      <c r="I1031" s="3"/>
      <c r="J1031" s="3"/>
      <c r="N1031" s="1"/>
      <c r="O1031" s="1"/>
    </row>
    <row r="1032" spans="9:15" x14ac:dyDescent="0.25">
      <c r="I1032" s="3"/>
      <c r="J1032" s="3"/>
      <c r="N1032" s="1"/>
      <c r="O1032" s="1"/>
    </row>
    <row r="1033" spans="9:15" x14ac:dyDescent="0.25">
      <c r="I1033" s="3"/>
      <c r="J1033" s="3"/>
      <c r="N1033" s="1"/>
      <c r="O1033" s="1"/>
    </row>
    <row r="1034" spans="9:15" x14ac:dyDescent="0.25">
      <c r="I1034" s="3"/>
      <c r="J1034" s="3"/>
      <c r="N1034" s="1"/>
      <c r="O1034" s="1"/>
    </row>
    <row r="1035" spans="9:15" x14ac:dyDescent="0.25">
      <c r="I1035" s="3"/>
      <c r="J1035" s="3"/>
      <c r="N1035" s="1"/>
      <c r="O1035" s="1"/>
    </row>
    <row r="1036" spans="9:15" x14ac:dyDescent="0.25">
      <c r="I1036" s="3"/>
      <c r="J1036" s="3"/>
      <c r="N1036" s="1"/>
      <c r="O1036" s="1"/>
    </row>
    <row r="1037" spans="9:15" x14ac:dyDescent="0.25">
      <c r="I1037" s="3"/>
      <c r="J1037" s="3"/>
      <c r="N1037" s="1"/>
      <c r="O1037" s="1"/>
    </row>
    <row r="1038" spans="9:15" x14ac:dyDescent="0.25">
      <c r="I1038" s="3"/>
      <c r="J1038" s="3"/>
      <c r="N1038" s="1"/>
      <c r="O1038" s="1"/>
    </row>
    <row r="1039" spans="9:15" x14ac:dyDescent="0.25">
      <c r="I1039" s="3"/>
      <c r="J1039" s="3"/>
      <c r="N1039" s="1"/>
      <c r="O1039" s="1"/>
    </row>
    <row r="1040" spans="9:15" x14ac:dyDescent="0.25">
      <c r="I1040" s="3"/>
      <c r="J1040" s="3"/>
      <c r="N1040" s="1"/>
      <c r="O1040" s="1"/>
    </row>
    <row r="1041" spans="9:15" x14ac:dyDescent="0.25">
      <c r="I1041" s="3"/>
      <c r="J1041" s="3"/>
      <c r="N1041" s="1"/>
      <c r="O1041" s="1"/>
    </row>
    <row r="1042" spans="9:15" x14ac:dyDescent="0.25">
      <c r="I1042" s="3"/>
      <c r="J1042" s="3"/>
      <c r="N1042" s="1"/>
      <c r="O1042" s="1"/>
    </row>
    <row r="1043" spans="9:15" x14ac:dyDescent="0.25">
      <c r="I1043" s="3"/>
      <c r="J1043" s="3"/>
      <c r="N1043" s="1"/>
      <c r="O1043" s="1"/>
    </row>
    <row r="1044" spans="9:15" x14ac:dyDescent="0.25">
      <c r="I1044" s="3"/>
      <c r="J1044" s="3"/>
      <c r="N1044" s="1"/>
      <c r="O1044" s="1"/>
    </row>
    <row r="1045" spans="9:15" x14ac:dyDescent="0.25">
      <c r="I1045" s="3"/>
      <c r="J1045" s="3"/>
      <c r="N1045" s="1"/>
      <c r="O1045" s="1"/>
    </row>
    <row r="1046" spans="9:15" x14ac:dyDescent="0.25">
      <c r="I1046" s="3"/>
      <c r="J1046" s="3"/>
      <c r="N1046" s="1"/>
      <c r="O1046" s="1"/>
    </row>
    <row r="1047" spans="9:15" x14ac:dyDescent="0.25">
      <c r="I1047" s="3"/>
      <c r="J1047" s="3"/>
      <c r="N1047" s="1"/>
      <c r="O1047" s="1"/>
    </row>
    <row r="1048" spans="9:15" x14ac:dyDescent="0.25">
      <c r="I1048" s="3"/>
      <c r="J1048" s="3"/>
      <c r="N1048" s="1"/>
      <c r="O1048" s="1"/>
    </row>
    <row r="1049" spans="9:15" x14ac:dyDescent="0.25">
      <c r="I1049" s="3"/>
      <c r="J1049" s="3"/>
      <c r="N1049" s="1"/>
      <c r="O1049" s="1"/>
    </row>
    <row r="1050" spans="9:15" x14ac:dyDescent="0.25">
      <c r="I1050" s="3"/>
      <c r="J1050" s="3"/>
      <c r="N1050" s="1"/>
      <c r="O1050" s="1"/>
    </row>
    <row r="1051" spans="9:15" x14ac:dyDescent="0.25">
      <c r="I1051" s="3"/>
      <c r="J1051" s="3"/>
      <c r="N1051" s="1"/>
      <c r="O1051" s="1"/>
    </row>
    <row r="1052" spans="9:15" x14ac:dyDescent="0.25">
      <c r="I1052" s="3"/>
      <c r="J1052" s="3"/>
      <c r="N1052" s="1"/>
      <c r="O1052" s="1"/>
    </row>
    <row r="1053" spans="9:15" x14ac:dyDescent="0.25">
      <c r="I1053" s="3"/>
      <c r="J1053" s="3"/>
      <c r="N1053" s="1"/>
      <c r="O1053" s="1"/>
    </row>
    <row r="1054" spans="9:15" x14ac:dyDescent="0.25">
      <c r="I1054" s="3"/>
      <c r="J1054" s="3"/>
      <c r="N1054" s="1"/>
      <c r="O1054" s="1"/>
    </row>
    <row r="1055" spans="9:15" x14ac:dyDescent="0.25">
      <c r="I1055" s="3"/>
      <c r="J1055" s="3"/>
      <c r="N1055" s="1"/>
      <c r="O1055" s="1"/>
    </row>
    <row r="1056" spans="9:15" x14ac:dyDescent="0.25">
      <c r="I1056" s="3"/>
      <c r="J1056" s="3"/>
      <c r="N1056" s="1"/>
      <c r="O1056" s="1"/>
    </row>
    <row r="1057" spans="9:15" x14ac:dyDescent="0.25">
      <c r="I1057" s="3"/>
      <c r="J1057" s="3"/>
      <c r="N1057" s="1"/>
      <c r="O1057" s="1"/>
    </row>
    <row r="1058" spans="9:15" x14ac:dyDescent="0.25">
      <c r="I1058" s="3"/>
      <c r="J1058" s="3"/>
      <c r="N1058" s="1"/>
      <c r="O1058" s="1"/>
    </row>
    <row r="1059" spans="9:15" x14ac:dyDescent="0.25">
      <c r="I1059" s="3"/>
      <c r="J1059" s="3"/>
      <c r="N1059" s="1"/>
      <c r="O1059" s="1"/>
    </row>
    <row r="1060" spans="9:15" x14ac:dyDescent="0.25">
      <c r="I1060" s="3"/>
      <c r="J1060" s="3"/>
      <c r="N1060" s="1"/>
      <c r="O1060" s="1"/>
    </row>
    <row r="1061" spans="9:15" x14ac:dyDescent="0.25">
      <c r="I1061" s="3"/>
      <c r="J1061" s="3"/>
      <c r="N1061" s="1"/>
      <c r="O1061" s="1"/>
    </row>
    <row r="1062" spans="9:15" x14ac:dyDescent="0.25">
      <c r="I1062" s="3"/>
      <c r="J1062" s="3"/>
      <c r="N1062" s="1"/>
      <c r="O1062" s="1"/>
    </row>
    <row r="1063" spans="9:15" x14ac:dyDescent="0.25">
      <c r="I1063" s="3"/>
      <c r="J1063" s="3"/>
      <c r="N1063" s="1"/>
      <c r="O1063" s="1"/>
    </row>
    <row r="1064" spans="9:15" x14ac:dyDescent="0.25">
      <c r="I1064" s="3"/>
      <c r="J1064" s="3"/>
      <c r="N1064" s="1"/>
      <c r="O1064" s="1"/>
    </row>
    <row r="1065" spans="9:15" x14ac:dyDescent="0.25">
      <c r="I1065" s="3"/>
      <c r="J1065" s="3"/>
      <c r="N1065" s="1"/>
      <c r="O1065" s="1"/>
    </row>
    <row r="1066" spans="9:15" x14ac:dyDescent="0.25">
      <c r="I1066" s="3"/>
      <c r="J1066" s="3"/>
      <c r="N1066" s="1"/>
      <c r="O1066" s="1"/>
    </row>
    <row r="1067" spans="9:15" x14ac:dyDescent="0.25">
      <c r="I1067" s="3"/>
      <c r="J1067" s="3"/>
      <c r="N1067" s="1"/>
      <c r="O1067" s="1"/>
    </row>
    <row r="1068" spans="9:15" x14ac:dyDescent="0.25">
      <c r="I1068" s="3"/>
      <c r="J1068" s="3"/>
      <c r="N1068" s="1"/>
      <c r="O1068" s="1"/>
    </row>
    <row r="1069" spans="9:15" x14ac:dyDescent="0.25">
      <c r="I1069" s="3"/>
      <c r="J1069" s="3"/>
      <c r="N1069" s="1"/>
      <c r="O1069" s="1"/>
    </row>
    <row r="1070" spans="9:15" x14ac:dyDescent="0.25">
      <c r="I1070" s="3"/>
      <c r="J1070" s="3"/>
      <c r="N1070" s="1"/>
      <c r="O1070" s="1"/>
    </row>
    <row r="1071" spans="9:15" x14ac:dyDescent="0.25">
      <c r="I1071" s="3"/>
      <c r="J1071" s="3"/>
      <c r="N1071" s="1"/>
      <c r="O1071" s="1"/>
    </row>
    <row r="1072" spans="9:15" x14ac:dyDescent="0.25">
      <c r="I1072" s="3"/>
      <c r="J1072" s="3"/>
      <c r="N1072" s="1"/>
      <c r="O1072" s="1"/>
    </row>
    <row r="1073" spans="9:15" x14ac:dyDescent="0.25">
      <c r="I1073" s="3"/>
      <c r="J1073" s="3"/>
      <c r="N1073" s="1"/>
      <c r="O1073" s="1"/>
    </row>
    <row r="1074" spans="9:15" x14ac:dyDescent="0.25">
      <c r="I1074" s="3"/>
      <c r="J1074" s="3"/>
      <c r="N1074" s="1"/>
      <c r="O1074" s="1"/>
    </row>
    <row r="1075" spans="9:15" x14ac:dyDescent="0.25">
      <c r="I1075" s="3"/>
      <c r="J1075" s="3"/>
      <c r="N1075" s="1"/>
      <c r="O1075" s="1"/>
    </row>
    <row r="1076" spans="9:15" x14ac:dyDescent="0.25">
      <c r="I1076" s="3"/>
      <c r="J1076" s="3"/>
      <c r="N1076" s="1"/>
      <c r="O1076" s="1"/>
    </row>
    <row r="1048576" spans="2:2" x14ac:dyDescent="0.25">
      <c r="B1048576" s="78"/>
    </row>
  </sheetData>
  <mergeCells count="1">
    <mergeCell ref="A7:B7"/>
  </mergeCells>
  <conditionalFormatting sqref="Q14:Q38">
    <cfRule type="containsText" dxfId="30" priority="3" operator="containsText" text="FALSE">
      <formula>NOT(ISERROR(SEARCH("FALSE",Q14)))</formula>
    </cfRule>
    <cfRule type="containsText" dxfId="29" priority="4" operator="containsText" text="TRUE">
      <formula>NOT(ISERROR(SEARCH("TRUE",Q14)))</formula>
    </cfRule>
  </conditionalFormatting>
  <conditionalFormatting sqref="R14:R38">
    <cfRule type="containsText" dxfId="28" priority="1" operator="containsText" text="FALSE">
      <formula>NOT(ISERROR(SEARCH("FALSE",R14)))</formula>
    </cfRule>
    <cfRule type="containsText" dxfId="27" priority="2" operator="containsText" text="TRUE">
      <formula>NOT(ISERROR(SEARCH("TRUE",R14)))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Calculators</vt:lpstr>
      <vt:lpstr>Body Armor</vt:lpstr>
      <vt:lpstr>Armored Rigs</vt:lpstr>
      <vt:lpstr>Helmets and Masks</vt:lpstr>
      <vt:lpstr>Additional Armor &amp; Visors</vt:lpstr>
      <vt:lpstr>Ammo vs Armor</vt:lpstr>
      <vt:lpstr>Materials and Durability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</dc:creator>
  <cp:lastModifiedBy>M</cp:lastModifiedBy>
  <cp:lastPrinted>2021-08-02T00:12:44Z</cp:lastPrinted>
  <dcterms:created xsi:type="dcterms:W3CDTF">2021-08-01T03:30:00Z</dcterms:created>
  <dcterms:modified xsi:type="dcterms:W3CDTF">2022-02-21T09:59:10Z</dcterms:modified>
</cp:coreProperties>
</file>